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0515" windowHeight="9030" firstSheet="7" activeTab="14"/>
  </bookViews>
  <sheets>
    <sheet name="2021" sheetId="3" r:id="rId1"/>
    <sheet name="KOMULATIF 2022" sheetId="18" r:id="rId2"/>
    <sheet name="JANUARI 2023" sheetId="19" r:id="rId3"/>
    <sheet name="FEBRUARI 2023" sheetId="20" r:id="rId4"/>
    <sheet name="MARET 2023" sheetId="21" r:id="rId5"/>
    <sheet name="APRIL 2023" sheetId="22" r:id="rId6"/>
    <sheet name="MEI 2023" sheetId="23" r:id="rId7"/>
    <sheet name="JUNI 2023" sheetId="24" r:id="rId8"/>
    <sheet name="JULI 2023" sheetId="25" r:id="rId9"/>
    <sheet name="AGUSTUS" sheetId="26" r:id="rId10"/>
    <sheet name="SEPTEMBER" sheetId="27" r:id="rId11"/>
    <sheet name="OKTOBER" sheetId="28" r:id="rId12"/>
    <sheet name="OKTOBER PERUBAHAN" sheetId="29" r:id="rId13"/>
    <sheet name="NOVEMBER" sheetId="30" r:id="rId14"/>
    <sheet name="DESEMBER" sheetId="31" r:id="rId15"/>
  </sheets>
  <definedNames>
    <definedName name="_xlnm.Print_Area" localSheetId="3">'FEBRUARI 2023'!$A$1:$K$96</definedName>
    <definedName name="_xlnm.Print_Area" localSheetId="2">'JANUARI 2023'!$A$1:$K$96</definedName>
    <definedName name="_xlnm.Print_Area" localSheetId="4">'MARET 2023'!$A$1:$K$97</definedName>
    <definedName name="_xlnm.Print_Titles" localSheetId="5">'APRIL 2023'!$5:$7</definedName>
    <definedName name="_xlnm.Print_Titles" localSheetId="3">'FEBRUARI 2023'!$5:$7</definedName>
    <definedName name="_xlnm.Print_Titles" localSheetId="2">'JANUARI 2023'!$5:$7</definedName>
    <definedName name="_xlnm.Print_Titles" localSheetId="4">'MARET 2023'!$5:$7</definedName>
  </definedNames>
  <calcPr calcId="144525" calcMode="manual"/>
</workbook>
</file>

<file path=xl/calcChain.xml><?xml version="1.0" encoding="utf-8"?>
<calcChain xmlns="http://schemas.openxmlformats.org/spreadsheetml/2006/main">
  <c r="G121" i="31" l="1"/>
  <c r="G120" i="31"/>
  <c r="G119" i="31"/>
  <c r="G118" i="31"/>
  <c r="G114" i="31"/>
  <c r="G112" i="31"/>
  <c r="G437" i="31" l="1"/>
  <c r="G428" i="31"/>
  <c r="G485" i="31" l="1"/>
  <c r="G438" i="31"/>
  <c r="G389" i="31"/>
  <c r="G388" i="31"/>
  <c r="G377" i="31"/>
  <c r="G335" i="31"/>
  <c r="G334" i="31"/>
  <c r="G287" i="31"/>
  <c r="G286" i="31"/>
  <c r="G284" i="31"/>
  <c r="G276" i="31"/>
  <c r="G275" i="31"/>
  <c r="G190" i="31"/>
  <c r="G241" i="31"/>
  <c r="G356" i="31"/>
  <c r="G354" i="31"/>
  <c r="G352" i="31"/>
  <c r="G348" i="31"/>
  <c r="G214" i="31"/>
  <c r="G209" i="31"/>
  <c r="G207" i="31"/>
  <c r="G206" i="31"/>
  <c r="G205" i="31"/>
  <c r="G202" i="31"/>
  <c r="G158" i="31"/>
  <c r="G153" i="31"/>
  <c r="G405" i="31"/>
  <c r="G402" i="31"/>
  <c r="G309" i="31"/>
  <c r="G305" i="31"/>
  <c r="G304" i="31"/>
  <c r="G302" i="31"/>
  <c r="G301" i="31"/>
  <c r="G299" i="31"/>
  <c r="G298" i="31"/>
  <c r="G256" i="31"/>
  <c r="G456" i="31"/>
  <c r="G454" i="31"/>
  <c r="G143" i="31"/>
  <c r="G142" i="31"/>
  <c r="G141" i="31"/>
  <c r="G140" i="31"/>
  <c r="G137" i="31"/>
  <c r="G136" i="31"/>
  <c r="G135" i="31"/>
  <c r="G132" i="31"/>
  <c r="G131" i="31"/>
  <c r="G129" i="31"/>
  <c r="G128" i="31"/>
  <c r="G127" i="31"/>
  <c r="G110" i="31"/>
  <c r="G97" i="31"/>
  <c r="G91" i="31"/>
  <c r="G90" i="31"/>
  <c r="G85" i="31"/>
  <c r="G84" i="31"/>
  <c r="G83" i="31"/>
  <c r="G72" i="31"/>
  <c r="G68" i="31"/>
  <c r="G44" i="31"/>
  <c r="G69" i="31"/>
  <c r="G43" i="31"/>
  <c r="G39" i="31"/>
  <c r="G38" i="31"/>
  <c r="G484" i="31" l="1"/>
  <c r="G474" i="31"/>
  <c r="G436" i="31"/>
  <c r="G427" i="31"/>
  <c r="G386" i="31"/>
  <c r="G240" i="31"/>
  <c r="J201" i="31" l="1"/>
  <c r="G201" i="31"/>
  <c r="G401" i="31"/>
  <c r="J299" i="31"/>
  <c r="G260" i="31"/>
  <c r="J454" i="31"/>
  <c r="J110" i="31"/>
  <c r="G89" i="31"/>
  <c r="G67" i="31"/>
  <c r="G61" i="31"/>
  <c r="G42" i="31"/>
  <c r="G20" i="31"/>
  <c r="G482" i="31" l="1"/>
  <c r="G473" i="31"/>
  <c r="G333" i="31"/>
  <c r="G324" i="31"/>
  <c r="G189" i="31"/>
  <c r="G188" i="31"/>
  <c r="G178" i="31"/>
  <c r="G356" i="30" l="1"/>
  <c r="G354" i="30"/>
  <c r="G353" i="31"/>
  <c r="E353" i="31" s="1"/>
  <c r="J352" i="31"/>
  <c r="G347" i="31"/>
  <c r="G346" i="31"/>
  <c r="G345" i="31"/>
  <c r="J205" i="31"/>
  <c r="G203" i="31"/>
  <c r="G160" i="31"/>
  <c r="H160" i="31" s="1"/>
  <c r="G159" i="31"/>
  <c r="J158" i="31"/>
  <c r="G413" i="31"/>
  <c r="J413" i="31" s="1"/>
  <c r="G410" i="31"/>
  <c r="H410" i="31" s="1"/>
  <c r="G407" i="31"/>
  <c r="G406" i="31"/>
  <c r="H406" i="31" s="1"/>
  <c r="J405" i="31"/>
  <c r="G404" i="31"/>
  <c r="H401" i="31"/>
  <c r="J304" i="31"/>
  <c r="G266" i="31"/>
  <c r="G264" i="31"/>
  <c r="G258" i="31"/>
  <c r="G257" i="31"/>
  <c r="J256" i="31"/>
  <c r="G253" i="31"/>
  <c r="G252" i="31"/>
  <c r="G464" i="31"/>
  <c r="G463" i="31"/>
  <c r="G462" i="31"/>
  <c r="G458" i="31"/>
  <c r="J458" i="31" s="1"/>
  <c r="G455" i="31"/>
  <c r="G451" i="31"/>
  <c r="J451" i="31" s="1"/>
  <c r="G450" i="31"/>
  <c r="J450" i="31" s="1"/>
  <c r="G449" i="31"/>
  <c r="J132" i="30"/>
  <c r="J131" i="30"/>
  <c r="J143" i="30"/>
  <c r="J142" i="30"/>
  <c r="J141" i="30"/>
  <c r="J140" i="30"/>
  <c r="J139" i="30"/>
  <c r="J143" i="31"/>
  <c r="J142" i="31"/>
  <c r="J141" i="31"/>
  <c r="J140" i="31"/>
  <c r="J139" i="31"/>
  <c r="J135" i="31"/>
  <c r="G134" i="31"/>
  <c r="G133" i="31"/>
  <c r="H133" i="31" s="1"/>
  <c r="J132" i="31"/>
  <c r="J131" i="31"/>
  <c r="J129" i="31"/>
  <c r="J127" i="31"/>
  <c r="J123" i="31"/>
  <c r="J121" i="31"/>
  <c r="J119" i="31"/>
  <c r="J118" i="31"/>
  <c r="G116" i="31"/>
  <c r="G113" i="31"/>
  <c r="H113" i="31" s="1"/>
  <c r="G109" i="31"/>
  <c r="J109" i="31" s="1"/>
  <c r="J97" i="31"/>
  <c r="G88" i="31"/>
  <c r="J88" i="31" s="1"/>
  <c r="G86" i="31"/>
  <c r="H86" i="31" s="1"/>
  <c r="G82" i="31"/>
  <c r="G79" i="31"/>
  <c r="E79" i="31" s="1"/>
  <c r="G77" i="31"/>
  <c r="E77" i="31" s="1"/>
  <c r="G76" i="31"/>
  <c r="J76" i="31" s="1"/>
  <c r="C77" i="31"/>
  <c r="G75" i="31"/>
  <c r="J75" i="31" s="1"/>
  <c r="G57" i="31"/>
  <c r="G41" i="31"/>
  <c r="G37" i="31"/>
  <c r="G36" i="31"/>
  <c r="G35" i="31"/>
  <c r="G34" i="31"/>
  <c r="G33" i="31"/>
  <c r="G32" i="31"/>
  <c r="G31" i="31"/>
  <c r="G30" i="31"/>
  <c r="G18" i="31"/>
  <c r="G13" i="31"/>
  <c r="J13" i="31" s="1"/>
  <c r="G24" i="31"/>
  <c r="C489" i="31"/>
  <c r="J488" i="31"/>
  <c r="G488" i="31"/>
  <c r="G487" i="31"/>
  <c r="G486" i="31"/>
  <c r="J486" i="31" s="1"/>
  <c r="J485" i="31"/>
  <c r="E485" i="31"/>
  <c r="J484" i="31"/>
  <c r="H484" i="31"/>
  <c r="E484" i="31"/>
  <c r="D484" i="31"/>
  <c r="I484" i="31" s="1"/>
  <c r="G483" i="31"/>
  <c r="G489" i="31" s="1"/>
  <c r="J482" i="31"/>
  <c r="H482" i="31"/>
  <c r="E482" i="31"/>
  <c r="D482" i="31"/>
  <c r="C481" i="31"/>
  <c r="D485" i="31" s="1"/>
  <c r="C475" i="31"/>
  <c r="J474" i="31"/>
  <c r="E474" i="31"/>
  <c r="J473" i="31"/>
  <c r="D473" i="31"/>
  <c r="D475" i="31" s="1"/>
  <c r="C472" i="31"/>
  <c r="D474" i="31" s="1"/>
  <c r="C465" i="31"/>
  <c r="J461" i="31"/>
  <c r="G461" i="31"/>
  <c r="J460" i="31"/>
  <c r="G460" i="31"/>
  <c r="J459" i="31"/>
  <c r="G459" i="31"/>
  <c r="D459" i="31"/>
  <c r="E458" i="31"/>
  <c r="J457" i="31"/>
  <c r="H457" i="31"/>
  <c r="G457" i="31"/>
  <c r="E457" i="31"/>
  <c r="D457" i="31"/>
  <c r="I457" i="31" s="1"/>
  <c r="J456" i="31"/>
  <c r="J455" i="31"/>
  <c r="E455" i="31"/>
  <c r="J453" i="31"/>
  <c r="G453" i="31"/>
  <c r="J452" i="31"/>
  <c r="G452" i="31"/>
  <c r="H451" i="31"/>
  <c r="D451" i="31"/>
  <c r="I451" i="31" s="1"/>
  <c r="E450" i="31"/>
  <c r="J448" i="31"/>
  <c r="H448" i="31"/>
  <c r="G448" i="31"/>
  <c r="E448" i="31"/>
  <c r="D448" i="31"/>
  <c r="I448" i="31" s="1"/>
  <c r="C447" i="31"/>
  <c r="D458" i="31" s="1"/>
  <c r="C440" i="31"/>
  <c r="G439" i="31"/>
  <c r="J439" i="31" s="1"/>
  <c r="J438" i="31"/>
  <c r="E438" i="31"/>
  <c r="J437" i="31"/>
  <c r="H437" i="31"/>
  <c r="E437" i="31"/>
  <c r="J436" i="31"/>
  <c r="E436" i="31"/>
  <c r="C435" i="31"/>
  <c r="D438" i="31" s="1"/>
  <c r="C429" i="31"/>
  <c r="J428" i="31"/>
  <c r="H428" i="31"/>
  <c r="E428" i="31"/>
  <c r="G429" i="31"/>
  <c r="E427" i="31"/>
  <c r="C426" i="31"/>
  <c r="D427" i="31" s="1"/>
  <c r="C419" i="31"/>
  <c r="J418" i="31"/>
  <c r="G418" i="31"/>
  <c r="J417" i="31"/>
  <c r="G417" i="31"/>
  <c r="D417" i="31"/>
  <c r="G416" i="31"/>
  <c r="J415" i="31"/>
  <c r="G415" i="31"/>
  <c r="J414" i="31"/>
  <c r="G414" i="31"/>
  <c r="J412" i="31"/>
  <c r="G412" i="31"/>
  <c r="J411" i="31"/>
  <c r="G411" i="31"/>
  <c r="J410" i="31"/>
  <c r="E410" i="31"/>
  <c r="G409" i="31"/>
  <c r="J409" i="31" s="1"/>
  <c r="G408" i="31"/>
  <c r="J408" i="31" s="1"/>
  <c r="E408" i="31"/>
  <c r="H407" i="31"/>
  <c r="J406" i="31"/>
  <c r="E406" i="31"/>
  <c r="J403" i="31"/>
  <c r="G403" i="31"/>
  <c r="J402" i="31"/>
  <c r="H402" i="31"/>
  <c r="E402" i="31"/>
  <c r="J401" i="31"/>
  <c r="E401" i="31"/>
  <c r="G400" i="31"/>
  <c r="J400" i="31" s="1"/>
  <c r="G399" i="31"/>
  <c r="C398" i="31"/>
  <c r="C391" i="31"/>
  <c r="J390" i="31"/>
  <c r="G390" i="31"/>
  <c r="J389" i="31"/>
  <c r="H389" i="31"/>
  <c r="E389" i="31"/>
  <c r="D389" i="31"/>
  <c r="I389" i="31" s="1"/>
  <c r="J387" i="31"/>
  <c r="H387" i="31"/>
  <c r="G387" i="31"/>
  <c r="E387" i="31"/>
  <c r="E386" i="31"/>
  <c r="C385" i="31"/>
  <c r="C379" i="31"/>
  <c r="J378" i="31"/>
  <c r="H378" i="31"/>
  <c r="G378" i="31"/>
  <c r="E378" i="31"/>
  <c r="E377" i="31"/>
  <c r="C376" i="31"/>
  <c r="D377" i="31" s="1"/>
  <c r="C369" i="31"/>
  <c r="J368" i="31"/>
  <c r="G367" i="31"/>
  <c r="J367" i="31" s="1"/>
  <c r="D367" i="31"/>
  <c r="G366" i="31"/>
  <c r="G365" i="31"/>
  <c r="G364" i="31"/>
  <c r="J363" i="31"/>
  <c r="G363" i="31"/>
  <c r="D363" i="31"/>
  <c r="G362" i="31"/>
  <c r="J362" i="31" s="1"/>
  <c r="D362" i="31"/>
  <c r="J361" i="31"/>
  <c r="G361" i="31"/>
  <c r="D361" i="31"/>
  <c r="G360" i="31"/>
  <c r="J360" i="31" s="1"/>
  <c r="G359" i="31"/>
  <c r="J359" i="31" s="1"/>
  <c r="G358" i="31"/>
  <c r="J358" i="31" s="1"/>
  <c r="G357" i="31"/>
  <c r="J357" i="31" s="1"/>
  <c r="J356" i="31"/>
  <c r="E356" i="31"/>
  <c r="J355" i="31"/>
  <c r="H355" i="31"/>
  <c r="G355" i="31"/>
  <c r="E355" i="31"/>
  <c r="J353" i="31"/>
  <c r="J351" i="31"/>
  <c r="G351" i="31"/>
  <c r="J350" i="31"/>
  <c r="G350" i="31"/>
  <c r="J349" i="31"/>
  <c r="G349" i="31"/>
  <c r="J348" i="31"/>
  <c r="J347" i="31"/>
  <c r="H347" i="31"/>
  <c r="E347" i="31"/>
  <c r="G369" i="31"/>
  <c r="E345" i="31"/>
  <c r="C344" i="31"/>
  <c r="D356" i="31" s="1"/>
  <c r="C337" i="31"/>
  <c r="J336" i="31"/>
  <c r="G336" i="31"/>
  <c r="J335" i="31"/>
  <c r="H335" i="31"/>
  <c r="E335" i="31"/>
  <c r="D335" i="31"/>
  <c r="J334" i="31"/>
  <c r="E334" i="31"/>
  <c r="J333" i="31"/>
  <c r="H333" i="31"/>
  <c r="G337" i="31"/>
  <c r="E333" i="31"/>
  <c r="D333" i="31"/>
  <c r="I333" i="31" s="1"/>
  <c r="C332" i="31"/>
  <c r="D334" i="31" s="1"/>
  <c r="C326" i="31"/>
  <c r="G325" i="31"/>
  <c r="J325" i="31" s="1"/>
  <c r="E325" i="31"/>
  <c r="J324" i="31"/>
  <c r="H324" i="31"/>
  <c r="E324" i="31"/>
  <c r="C323" i="31"/>
  <c r="D325" i="31" s="1"/>
  <c r="C316" i="31"/>
  <c r="J315" i="31"/>
  <c r="G315" i="31"/>
  <c r="G314" i="31"/>
  <c r="G313" i="31"/>
  <c r="J312" i="31"/>
  <c r="H312" i="31"/>
  <c r="G312" i="31"/>
  <c r="E312" i="31"/>
  <c r="D312" i="31"/>
  <c r="I312" i="31" s="1"/>
  <c r="G311" i="31"/>
  <c r="J311" i="31" s="1"/>
  <c r="D311" i="31"/>
  <c r="J310" i="31"/>
  <c r="H310" i="31"/>
  <c r="G310" i="31"/>
  <c r="E310" i="31"/>
  <c r="D310" i="31"/>
  <c r="I310" i="31" s="1"/>
  <c r="J309" i="31"/>
  <c r="E309" i="31"/>
  <c r="J308" i="31"/>
  <c r="H308" i="31"/>
  <c r="G308" i="31"/>
  <c r="E308" i="31"/>
  <c r="D308" i="31"/>
  <c r="I308" i="31" s="1"/>
  <c r="G307" i="31"/>
  <c r="J307" i="31" s="1"/>
  <c r="E307" i="31"/>
  <c r="G306" i="31"/>
  <c r="J305" i="31"/>
  <c r="E305" i="31"/>
  <c r="J303" i="31"/>
  <c r="G303" i="31"/>
  <c r="J302" i="31"/>
  <c r="H302" i="31"/>
  <c r="E302" i="31"/>
  <c r="D302" i="31"/>
  <c r="J301" i="31"/>
  <c r="E301" i="31"/>
  <c r="J300" i="31"/>
  <c r="G300" i="31"/>
  <c r="J298" i="31"/>
  <c r="H298" i="31"/>
  <c r="G316" i="31"/>
  <c r="E298" i="31"/>
  <c r="D298" i="31"/>
  <c r="C297" i="31"/>
  <c r="D309" i="31" s="1"/>
  <c r="C289" i="31"/>
  <c r="G288" i="31"/>
  <c r="J288" i="31" s="1"/>
  <c r="E287" i="31"/>
  <c r="J286" i="31"/>
  <c r="H286" i="31"/>
  <c r="E286" i="31"/>
  <c r="G285" i="31"/>
  <c r="E285" i="31"/>
  <c r="J284" i="31"/>
  <c r="H284" i="31"/>
  <c r="E284" i="31"/>
  <c r="D284" i="31"/>
  <c r="C283" i="31"/>
  <c r="D287" i="31" s="1"/>
  <c r="G277" i="31"/>
  <c r="C277" i="31"/>
  <c r="E276" i="31"/>
  <c r="J275" i="31"/>
  <c r="H275" i="31"/>
  <c r="E275" i="31"/>
  <c r="D275" i="31"/>
  <c r="C274" i="31"/>
  <c r="D276" i="31" s="1"/>
  <c r="C267" i="31"/>
  <c r="J265" i="31"/>
  <c r="J263" i="31"/>
  <c r="G263" i="31"/>
  <c r="J262" i="31"/>
  <c r="H262" i="31"/>
  <c r="G262" i="31"/>
  <c r="E262" i="31"/>
  <c r="D262" i="31"/>
  <c r="I262" i="31" s="1"/>
  <c r="G261" i="31"/>
  <c r="J261" i="31" s="1"/>
  <c r="E260" i="31"/>
  <c r="J259" i="31"/>
  <c r="H259" i="31"/>
  <c r="G259" i="31"/>
  <c r="E259" i="31"/>
  <c r="D259" i="31"/>
  <c r="I259" i="31" s="1"/>
  <c r="J258" i="31"/>
  <c r="J257" i="31"/>
  <c r="H257" i="31"/>
  <c r="E257" i="31"/>
  <c r="G255" i="31"/>
  <c r="J255" i="31" s="1"/>
  <c r="G254" i="31"/>
  <c r="E254" i="31" s="1"/>
  <c r="J253" i="31"/>
  <c r="H253" i="31"/>
  <c r="E253" i="31"/>
  <c r="G251" i="31"/>
  <c r="E251" i="31"/>
  <c r="C250" i="31"/>
  <c r="J242" i="31"/>
  <c r="G242" i="31"/>
  <c r="J241" i="31"/>
  <c r="H241" i="31"/>
  <c r="E241" i="31"/>
  <c r="E240" i="31"/>
  <c r="C240" i="31"/>
  <c r="C237" i="31" s="1"/>
  <c r="G239" i="31"/>
  <c r="J239" i="31" s="1"/>
  <c r="G238" i="31"/>
  <c r="E238" i="31"/>
  <c r="G230" i="31"/>
  <c r="J229" i="31"/>
  <c r="H229" i="31"/>
  <c r="G229" i="31"/>
  <c r="C229" i="31"/>
  <c r="E229" i="31" s="1"/>
  <c r="G228" i="31"/>
  <c r="G231" i="31" s="1"/>
  <c r="C228" i="31"/>
  <c r="C220" i="31"/>
  <c r="G219" i="31"/>
  <c r="J218" i="31"/>
  <c r="G218" i="31"/>
  <c r="G217" i="31"/>
  <c r="G216" i="31"/>
  <c r="J216" i="31" s="1"/>
  <c r="G215" i="31"/>
  <c r="J215" i="31" s="1"/>
  <c r="E214" i="31"/>
  <c r="J213" i="31"/>
  <c r="G213" i="31"/>
  <c r="J212" i="31"/>
  <c r="G212" i="31"/>
  <c r="J211" i="31"/>
  <c r="G211" i="31"/>
  <c r="J210" i="31"/>
  <c r="G210" i="31"/>
  <c r="J209" i="31"/>
  <c r="H209" i="31"/>
  <c r="E209" i="31"/>
  <c r="G208" i="31"/>
  <c r="E208" i="31" s="1"/>
  <c r="J207" i="31"/>
  <c r="H207" i="31"/>
  <c r="E207" i="31"/>
  <c r="E206" i="31"/>
  <c r="J204" i="31"/>
  <c r="G204" i="31"/>
  <c r="J202" i="31"/>
  <c r="H202" i="31"/>
  <c r="E202" i="31"/>
  <c r="G200" i="31"/>
  <c r="E200" i="31" s="1"/>
  <c r="C199" i="31"/>
  <c r="D207" i="31" s="1"/>
  <c r="C192" i="31"/>
  <c r="J191" i="31"/>
  <c r="G191" i="31"/>
  <c r="J190" i="31"/>
  <c r="H190" i="31"/>
  <c r="E190" i="31"/>
  <c r="D190" i="31"/>
  <c r="I190" i="31" s="1"/>
  <c r="E189" i="31"/>
  <c r="J188" i="31"/>
  <c r="H188" i="31"/>
  <c r="G192" i="31"/>
  <c r="E188" i="31"/>
  <c r="D188" i="31"/>
  <c r="I188" i="31" s="1"/>
  <c r="C187" i="31"/>
  <c r="D189" i="31" s="1"/>
  <c r="C180" i="31"/>
  <c r="G179" i="31"/>
  <c r="J178" i="31"/>
  <c r="H178" i="31"/>
  <c r="E178" i="31"/>
  <c r="D178" i="31"/>
  <c r="C177" i="31"/>
  <c r="D179" i="31" s="1"/>
  <c r="C170" i="31"/>
  <c r="G169" i="31"/>
  <c r="G168" i="31"/>
  <c r="G167" i="31"/>
  <c r="G166" i="31"/>
  <c r="J166" i="31" s="1"/>
  <c r="G165" i="31"/>
  <c r="J165" i="31" s="1"/>
  <c r="G164" i="31"/>
  <c r="J164" i="31" s="1"/>
  <c r="G163" i="31"/>
  <c r="J163" i="31" s="1"/>
  <c r="G162" i="31"/>
  <c r="J162" i="31" s="1"/>
  <c r="G161" i="31"/>
  <c r="J160" i="31"/>
  <c r="E160" i="31"/>
  <c r="J159" i="31"/>
  <c r="H159" i="31"/>
  <c r="E159" i="31"/>
  <c r="D159" i="31"/>
  <c r="I159" i="31" s="1"/>
  <c r="G157" i="31"/>
  <c r="J157" i="31" s="1"/>
  <c r="G156" i="31"/>
  <c r="J156" i="31" s="1"/>
  <c r="G155" i="31"/>
  <c r="E155" i="31" s="1"/>
  <c r="F155" i="31" s="1"/>
  <c r="G154" i="31"/>
  <c r="E154" i="31"/>
  <c r="J152" i="31"/>
  <c r="H152" i="31"/>
  <c r="G152" i="31"/>
  <c r="E152" i="31"/>
  <c r="D152" i="31"/>
  <c r="I152" i="31" s="1"/>
  <c r="C151" i="31"/>
  <c r="D161" i="31" s="1"/>
  <c r="G138" i="31"/>
  <c r="J138" i="31" s="1"/>
  <c r="J137" i="31"/>
  <c r="H137" i="31"/>
  <c r="E137" i="31"/>
  <c r="J136" i="31"/>
  <c r="D136" i="31"/>
  <c r="H135" i="31"/>
  <c r="E134" i="31"/>
  <c r="J133" i="31"/>
  <c r="E133" i="31"/>
  <c r="J130" i="31"/>
  <c r="H130" i="31"/>
  <c r="E130" i="31"/>
  <c r="E128" i="31"/>
  <c r="H127" i="31"/>
  <c r="G126" i="31"/>
  <c r="J126" i="31" s="1"/>
  <c r="G125" i="31"/>
  <c r="E125" i="31"/>
  <c r="J124" i="31"/>
  <c r="H124" i="31"/>
  <c r="G124" i="31"/>
  <c r="E124" i="31"/>
  <c r="G122" i="31"/>
  <c r="E122" i="31" s="1"/>
  <c r="C121" i="31"/>
  <c r="C108" i="31" s="1"/>
  <c r="D135" i="31" s="1"/>
  <c r="E120" i="31"/>
  <c r="J117" i="31"/>
  <c r="G117" i="31"/>
  <c r="E116" i="31"/>
  <c r="J115" i="31"/>
  <c r="J114" i="31"/>
  <c r="H114" i="31"/>
  <c r="E114" i="31"/>
  <c r="J113" i="31"/>
  <c r="E113" i="31"/>
  <c r="J112" i="31"/>
  <c r="E112" i="31"/>
  <c r="J111" i="31"/>
  <c r="G111" i="31"/>
  <c r="H109" i="31"/>
  <c r="E109" i="31"/>
  <c r="C107" i="31"/>
  <c r="D137" i="31" s="1"/>
  <c r="H97" i="31"/>
  <c r="D97" i="31"/>
  <c r="J96" i="31"/>
  <c r="H96" i="31"/>
  <c r="E96" i="31"/>
  <c r="D96" i="31"/>
  <c r="I96" i="31" s="1"/>
  <c r="G95" i="31"/>
  <c r="J95" i="31" s="1"/>
  <c r="G93" i="31"/>
  <c r="J93" i="31" s="1"/>
  <c r="J91" i="31"/>
  <c r="J90" i="31"/>
  <c r="J89" i="31"/>
  <c r="C89" i="31"/>
  <c r="C87" i="31"/>
  <c r="J86" i="31"/>
  <c r="E86" i="31"/>
  <c r="J85" i="31"/>
  <c r="E85" i="31"/>
  <c r="J84" i="31"/>
  <c r="H84" i="31"/>
  <c r="E84" i="31"/>
  <c r="J83" i="31"/>
  <c r="E83" i="31"/>
  <c r="J82" i="31"/>
  <c r="C81" i="31"/>
  <c r="D86" i="31" s="1"/>
  <c r="J79" i="31"/>
  <c r="C78" i="31"/>
  <c r="D79" i="31" s="1"/>
  <c r="J77" i="31"/>
  <c r="H76" i="31"/>
  <c r="E75" i="31"/>
  <c r="C74" i="31"/>
  <c r="D76" i="31" s="1"/>
  <c r="J72" i="31"/>
  <c r="E72" i="31"/>
  <c r="J71" i="31"/>
  <c r="H71" i="31"/>
  <c r="G71" i="31"/>
  <c r="E71" i="31"/>
  <c r="D71" i="31"/>
  <c r="F71" i="31" s="1"/>
  <c r="C70" i="31"/>
  <c r="D72" i="31" s="1"/>
  <c r="J69" i="31"/>
  <c r="J68" i="31"/>
  <c r="J67" i="31"/>
  <c r="C66" i="31"/>
  <c r="G65" i="31"/>
  <c r="J65" i="31" s="1"/>
  <c r="G63" i="31"/>
  <c r="J63" i="31" s="1"/>
  <c r="G62" i="31"/>
  <c r="J62" i="31" s="1"/>
  <c r="J61" i="31"/>
  <c r="G60" i="31"/>
  <c r="J60" i="31" s="1"/>
  <c r="E60" i="31"/>
  <c r="H59" i="31"/>
  <c r="C59" i="31"/>
  <c r="D60" i="31" s="1"/>
  <c r="J58" i="31"/>
  <c r="J57" i="31"/>
  <c r="E57" i="31"/>
  <c r="J56" i="31"/>
  <c r="H56" i="31"/>
  <c r="G56" i="31"/>
  <c r="E56" i="31"/>
  <c r="D56" i="31"/>
  <c r="F56" i="31" s="1"/>
  <c r="C55" i="31"/>
  <c r="D57" i="31" s="1"/>
  <c r="J54" i="31"/>
  <c r="H54" i="31"/>
  <c r="G54" i="31"/>
  <c r="E54" i="31"/>
  <c r="D54" i="31"/>
  <c r="F54" i="31" s="1"/>
  <c r="G51" i="31"/>
  <c r="J51" i="31" s="1"/>
  <c r="G50" i="31"/>
  <c r="J50" i="31" s="1"/>
  <c r="E50" i="31"/>
  <c r="J49" i="31"/>
  <c r="H49" i="31"/>
  <c r="G49" i="31"/>
  <c r="E49" i="31"/>
  <c r="D49" i="31"/>
  <c r="F49" i="31" s="1"/>
  <c r="G48" i="31"/>
  <c r="J48" i="31" s="1"/>
  <c r="E48" i="31"/>
  <c r="J47" i="31"/>
  <c r="G46" i="31"/>
  <c r="J46" i="31" s="1"/>
  <c r="C45" i="31"/>
  <c r="D50" i="31" s="1"/>
  <c r="J44" i="31"/>
  <c r="H44" i="31"/>
  <c r="E44" i="31"/>
  <c r="J43" i="31"/>
  <c r="E43" i="31"/>
  <c r="J42" i="31"/>
  <c r="H42" i="31"/>
  <c r="E42" i="31"/>
  <c r="J41" i="31"/>
  <c r="E41" i="31"/>
  <c r="C40" i="31"/>
  <c r="D44" i="31" s="1"/>
  <c r="H39" i="31"/>
  <c r="J39" i="31"/>
  <c r="E39" i="31"/>
  <c r="J38" i="31"/>
  <c r="J37" i="31"/>
  <c r="H37" i="31"/>
  <c r="E37" i="31"/>
  <c r="J36" i="31"/>
  <c r="E36" i="31"/>
  <c r="J35" i="31"/>
  <c r="H35" i="31"/>
  <c r="E35" i="31"/>
  <c r="J34" i="31"/>
  <c r="E34" i="31"/>
  <c r="J33" i="31"/>
  <c r="H33" i="31"/>
  <c r="E33" i="31"/>
  <c r="J32" i="31"/>
  <c r="E32" i="31"/>
  <c r="J31" i="31"/>
  <c r="H31" i="31"/>
  <c r="E31" i="31"/>
  <c r="J30" i="31"/>
  <c r="C29" i="31"/>
  <c r="D37" i="31" s="1"/>
  <c r="G27" i="31"/>
  <c r="J27" i="31" s="1"/>
  <c r="G26" i="31"/>
  <c r="J26" i="31" s="1"/>
  <c r="E26" i="31"/>
  <c r="J25" i="31"/>
  <c r="H25" i="31"/>
  <c r="G25" i="31"/>
  <c r="E25" i="31"/>
  <c r="J24" i="31"/>
  <c r="J23" i="31"/>
  <c r="G23" i="31"/>
  <c r="J22" i="31"/>
  <c r="G22" i="31"/>
  <c r="C21" i="31"/>
  <c r="D25" i="31" s="1"/>
  <c r="J20" i="31"/>
  <c r="G19" i="31"/>
  <c r="J19" i="31" s="1"/>
  <c r="J18" i="31"/>
  <c r="G17" i="31"/>
  <c r="J17" i="31" s="1"/>
  <c r="G15" i="31"/>
  <c r="J15" i="31" s="1"/>
  <c r="G14" i="31"/>
  <c r="J14" i="31" s="1"/>
  <c r="E13" i="31"/>
  <c r="G12" i="31"/>
  <c r="C11" i="31"/>
  <c r="D13" i="31" s="1"/>
  <c r="C9" i="31"/>
  <c r="G136" i="30"/>
  <c r="G97" i="30"/>
  <c r="G90" i="30"/>
  <c r="G89" i="30"/>
  <c r="J88" i="30"/>
  <c r="G84" i="30"/>
  <c r="G83" i="30"/>
  <c r="I335" i="31" l="1"/>
  <c r="I302" i="31"/>
  <c r="D286" i="31"/>
  <c r="I286" i="31" s="1"/>
  <c r="E451" i="31"/>
  <c r="G465" i="31"/>
  <c r="E135" i="31"/>
  <c r="F135" i="31" s="1"/>
  <c r="E127" i="31"/>
  <c r="G144" i="31"/>
  <c r="E97" i="31"/>
  <c r="F97" i="31" s="1"/>
  <c r="E76" i="31"/>
  <c r="F76" i="31" s="1"/>
  <c r="G98" i="31"/>
  <c r="F13" i="31"/>
  <c r="F50" i="31"/>
  <c r="F72" i="31"/>
  <c r="F86" i="31"/>
  <c r="I86" i="31"/>
  <c r="I37" i="31"/>
  <c r="F37" i="31"/>
  <c r="F44" i="31"/>
  <c r="I44" i="31"/>
  <c r="I60" i="31"/>
  <c r="F60" i="31"/>
  <c r="F79" i="31"/>
  <c r="I135" i="31"/>
  <c r="F25" i="31"/>
  <c r="I25" i="31"/>
  <c r="F57" i="31"/>
  <c r="I76" i="31"/>
  <c r="I137" i="31"/>
  <c r="F137" i="31"/>
  <c r="E24" i="31"/>
  <c r="E30" i="31"/>
  <c r="D33" i="31"/>
  <c r="D35" i="31"/>
  <c r="E38" i="31"/>
  <c r="H13" i="31"/>
  <c r="I13" i="31" s="1"/>
  <c r="D24" i="31"/>
  <c r="H24" i="31"/>
  <c r="D26" i="31"/>
  <c r="H26" i="31"/>
  <c r="D30" i="31"/>
  <c r="H30" i="31"/>
  <c r="D32" i="31"/>
  <c r="H32" i="31"/>
  <c r="D34" i="31"/>
  <c r="H34" i="31"/>
  <c r="D36" i="31"/>
  <c r="H36" i="31"/>
  <c r="D38" i="31"/>
  <c r="H38" i="31"/>
  <c r="D41" i="31"/>
  <c r="H41" i="31"/>
  <c r="D43" i="31"/>
  <c r="H43" i="31"/>
  <c r="D48" i="31"/>
  <c r="H48" i="31"/>
  <c r="I49" i="31"/>
  <c r="H50" i="31"/>
  <c r="I50" i="31" s="1"/>
  <c r="I54" i="31"/>
  <c r="I56" i="31"/>
  <c r="H57" i="31"/>
  <c r="I57" i="31" s="1"/>
  <c r="H60" i="31"/>
  <c r="I71" i="31"/>
  <c r="H72" i="31"/>
  <c r="I72" i="31" s="1"/>
  <c r="D75" i="31"/>
  <c r="H75" i="31"/>
  <c r="D77" i="31"/>
  <c r="H77" i="31"/>
  <c r="H79" i="31"/>
  <c r="I79" i="31" s="1"/>
  <c r="D83" i="31"/>
  <c r="H83" i="31"/>
  <c r="D85" i="31"/>
  <c r="H85" i="31"/>
  <c r="I97" i="31"/>
  <c r="D112" i="31"/>
  <c r="H112" i="31"/>
  <c r="D114" i="31"/>
  <c r="J125" i="31"/>
  <c r="H125" i="31"/>
  <c r="J128" i="31"/>
  <c r="H128" i="31"/>
  <c r="D130" i="31"/>
  <c r="D133" i="31"/>
  <c r="E136" i="31"/>
  <c r="G170" i="31"/>
  <c r="J154" i="31"/>
  <c r="H154" i="31"/>
  <c r="J161" i="31"/>
  <c r="H161" i="31"/>
  <c r="I161" i="31" s="1"/>
  <c r="E161" i="31"/>
  <c r="F179" i="31"/>
  <c r="J179" i="31"/>
  <c r="H179" i="31"/>
  <c r="I179" i="31" s="1"/>
  <c r="G180" i="31"/>
  <c r="E179" i="31"/>
  <c r="F189" i="31"/>
  <c r="D238" i="31"/>
  <c r="D241" i="31"/>
  <c r="D31" i="31"/>
  <c r="D42" i="31"/>
  <c r="D84" i="31"/>
  <c r="F96" i="31"/>
  <c r="D134" i="31"/>
  <c r="D128" i="31"/>
  <c r="D125" i="31"/>
  <c r="D122" i="31"/>
  <c r="D120" i="31"/>
  <c r="D109" i="31"/>
  <c r="D113" i="31"/>
  <c r="D116" i="31"/>
  <c r="J116" i="31"/>
  <c r="H116" i="31"/>
  <c r="D117" i="31"/>
  <c r="J120" i="31"/>
  <c r="H120" i="31"/>
  <c r="J122" i="31"/>
  <c r="H122" i="31"/>
  <c r="D124" i="31"/>
  <c r="D127" i="31"/>
  <c r="J134" i="31"/>
  <c r="H134" i="31"/>
  <c r="F136" i="31"/>
  <c r="F152" i="31"/>
  <c r="J155" i="31"/>
  <c r="H155" i="31"/>
  <c r="I155" i="31" s="1"/>
  <c r="F159" i="31"/>
  <c r="I207" i="31"/>
  <c r="F207" i="31"/>
  <c r="F161" i="31"/>
  <c r="D154" i="31"/>
  <c r="D160" i="31"/>
  <c r="D180" i="31"/>
  <c r="I178" i="31"/>
  <c r="F178" i="31"/>
  <c r="F188" i="31"/>
  <c r="D192" i="31"/>
  <c r="J206" i="31"/>
  <c r="H206" i="31"/>
  <c r="J214" i="31"/>
  <c r="H214" i="31"/>
  <c r="C231" i="31"/>
  <c r="C227" i="31"/>
  <c r="D229" i="31" s="1"/>
  <c r="J228" i="31"/>
  <c r="G243" i="31"/>
  <c r="J238" i="31"/>
  <c r="H238" i="31"/>
  <c r="D260" i="31"/>
  <c r="D254" i="31"/>
  <c r="D251" i="31"/>
  <c r="J251" i="31"/>
  <c r="H251" i="31"/>
  <c r="D253" i="31"/>
  <c r="D257" i="31"/>
  <c r="J260" i="31"/>
  <c r="H260" i="31"/>
  <c r="F276" i="31"/>
  <c r="J276" i="31"/>
  <c r="H276" i="31"/>
  <c r="I276" i="31" s="1"/>
  <c r="F287" i="31"/>
  <c r="J285" i="31"/>
  <c r="H285" i="31"/>
  <c r="F309" i="31"/>
  <c r="F334" i="31"/>
  <c r="F356" i="31"/>
  <c r="J189" i="31"/>
  <c r="H189" i="31"/>
  <c r="I189" i="31" s="1"/>
  <c r="F190" i="31"/>
  <c r="D214" i="31"/>
  <c r="D208" i="31"/>
  <c r="D206" i="31"/>
  <c r="D200" i="31"/>
  <c r="J200" i="31"/>
  <c r="H200" i="31"/>
  <c r="D202" i="31"/>
  <c r="J208" i="31"/>
  <c r="H208" i="31"/>
  <c r="D209" i="31"/>
  <c r="G220" i="31"/>
  <c r="C243" i="31"/>
  <c r="D240" i="31"/>
  <c r="J240" i="31"/>
  <c r="H240" i="31"/>
  <c r="J254" i="31"/>
  <c r="H254" i="31"/>
  <c r="F259" i="31"/>
  <c r="F262" i="31"/>
  <c r="G267" i="31"/>
  <c r="D277" i="31"/>
  <c r="I275" i="31"/>
  <c r="F275" i="31"/>
  <c r="I284" i="31"/>
  <c r="F284" i="31"/>
  <c r="J287" i="31"/>
  <c r="H287" i="31"/>
  <c r="I287" i="31" s="1"/>
  <c r="G289" i="31"/>
  <c r="I298" i="31"/>
  <c r="F298" i="31"/>
  <c r="F325" i="31"/>
  <c r="F302" i="31"/>
  <c r="F308" i="31"/>
  <c r="F310" i="31"/>
  <c r="F312" i="31"/>
  <c r="G326" i="31"/>
  <c r="F333" i="31"/>
  <c r="F335" i="31"/>
  <c r="D337" i="31"/>
  <c r="D347" i="31"/>
  <c r="D355" i="31"/>
  <c r="J388" i="31"/>
  <c r="H388" i="31"/>
  <c r="F389" i="31"/>
  <c r="D408" i="31"/>
  <c r="D402" i="31"/>
  <c r="D399" i="31"/>
  <c r="D410" i="31"/>
  <c r="D406" i="31"/>
  <c r="G419" i="31"/>
  <c r="J399" i="31"/>
  <c r="H399" i="31"/>
  <c r="F427" i="31"/>
  <c r="F438" i="31"/>
  <c r="F474" i="31"/>
  <c r="F485" i="31"/>
  <c r="D285" i="31"/>
  <c r="D289" i="31" s="1"/>
  <c r="D301" i="31"/>
  <c r="H301" i="31"/>
  <c r="D305" i="31"/>
  <c r="H305" i="31"/>
  <c r="D307" i="31"/>
  <c r="H307" i="31"/>
  <c r="H309" i="31"/>
  <c r="I309" i="31" s="1"/>
  <c r="D324" i="31"/>
  <c r="H325" i="31"/>
  <c r="I325" i="31" s="1"/>
  <c r="H334" i="31"/>
  <c r="I334" i="31" s="1"/>
  <c r="D345" i="31"/>
  <c r="H345" i="31"/>
  <c r="J345" i="31"/>
  <c r="D353" i="31"/>
  <c r="H353" i="31"/>
  <c r="H356" i="31"/>
  <c r="I356" i="31" s="1"/>
  <c r="F377" i="31"/>
  <c r="G379" i="31"/>
  <c r="J377" i="31"/>
  <c r="H377" i="31"/>
  <c r="I377" i="31" s="1"/>
  <c r="D378" i="31"/>
  <c r="D388" i="31"/>
  <c r="D386" i="31"/>
  <c r="G391" i="31"/>
  <c r="J386" i="31"/>
  <c r="H386" i="31"/>
  <c r="D387" i="31"/>
  <c r="E388" i="31"/>
  <c r="E399" i="31"/>
  <c r="D401" i="31"/>
  <c r="F458" i="31"/>
  <c r="D489" i="31"/>
  <c r="J407" i="31"/>
  <c r="D428" i="31"/>
  <c r="D437" i="31"/>
  <c r="G440" i="31"/>
  <c r="F448" i="31"/>
  <c r="F451" i="31"/>
  <c r="F457" i="31"/>
  <c r="G475" i="31"/>
  <c r="F482" i="31"/>
  <c r="I482" i="31"/>
  <c r="F484" i="31"/>
  <c r="E407" i="31"/>
  <c r="H408" i="31"/>
  <c r="H427" i="31"/>
  <c r="I427" i="31" s="1"/>
  <c r="J427" i="31"/>
  <c r="D436" i="31"/>
  <c r="H436" i="31"/>
  <c r="H438" i="31"/>
  <c r="I438" i="31" s="1"/>
  <c r="D450" i="31"/>
  <c r="H450" i="31"/>
  <c r="D455" i="31"/>
  <c r="H455" i="31"/>
  <c r="H458" i="31"/>
  <c r="I458" i="31" s="1"/>
  <c r="H474" i="31"/>
  <c r="I474" i="31" s="1"/>
  <c r="J483" i="31"/>
  <c r="H485" i="31"/>
  <c r="I485" i="31" s="1"/>
  <c r="G487" i="30"/>
  <c r="G486" i="30"/>
  <c r="G484" i="30"/>
  <c r="G483" i="30"/>
  <c r="G474" i="30"/>
  <c r="G438" i="30"/>
  <c r="G437" i="30"/>
  <c r="G389" i="30"/>
  <c r="G388" i="30"/>
  <c r="G386" i="30"/>
  <c r="G377" i="30"/>
  <c r="G335" i="30"/>
  <c r="G334" i="30"/>
  <c r="G333" i="30"/>
  <c r="G325" i="30"/>
  <c r="G286" i="30"/>
  <c r="G276" i="30"/>
  <c r="G240" i="30"/>
  <c r="G230" i="30"/>
  <c r="F286" i="31" l="1"/>
  <c r="F450" i="31"/>
  <c r="I450" i="31"/>
  <c r="D465" i="31"/>
  <c r="I428" i="31"/>
  <c r="F428" i="31"/>
  <c r="I387" i="31"/>
  <c r="F387" i="31"/>
  <c r="F386" i="31"/>
  <c r="D391" i="31"/>
  <c r="I386" i="31"/>
  <c r="F307" i="31"/>
  <c r="I307" i="31"/>
  <c r="F301" i="31"/>
  <c r="I301" i="31"/>
  <c r="D440" i="31"/>
  <c r="F436" i="31"/>
  <c r="I436" i="31"/>
  <c r="I437" i="31"/>
  <c r="F437" i="31"/>
  <c r="I401" i="31"/>
  <c r="F401" i="31"/>
  <c r="F388" i="31"/>
  <c r="I388" i="31"/>
  <c r="F353" i="31"/>
  <c r="I353" i="31"/>
  <c r="D326" i="31"/>
  <c r="I324" i="31"/>
  <c r="F324" i="31"/>
  <c r="F285" i="31"/>
  <c r="I285" i="31"/>
  <c r="D429" i="31"/>
  <c r="I410" i="31"/>
  <c r="F410" i="31"/>
  <c r="I402" i="31"/>
  <c r="F402" i="31"/>
  <c r="I347" i="31"/>
  <c r="F347" i="31"/>
  <c r="D316" i="31"/>
  <c r="F240" i="31"/>
  <c r="I240" i="31"/>
  <c r="I202" i="31"/>
  <c r="F202" i="31"/>
  <c r="F206" i="31"/>
  <c r="I206" i="31"/>
  <c r="F214" i="31"/>
  <c r="I214" i="31"/>
  <c r="I257" i="31"/>
  <c r="F257" i="31"/>
  <c r="D267" i="31"/>
  <c r="F251" i="31"/>
  <c r="I251" i="31"/>
  <c r="F260" i="31"/>
  <c r="I260" i="31"/>
  <c r="F154" i="31"/>
  <c r="I154" i="31"/>
  <c r="I124" i="31"/>
  <c r="F124" i="31"/>
  <c r="F116" i="31"/>
  <c r="I116" i="31"/>
  <c r="F109" i="31"/>
  <c r="I109" i="31"/>
  <c r="F122" i="31"/>
  <c r="I122" i="31"/>
  <c r="F128" i="31"/>
  <c r="I128" i="31"/>
  <c r="F42" i="31"/>
  <c r="I42" i="31"/>
  <c r="I241" i="31"/>
  <c r="F241" i="31"/>
  <c r="I130" i="31"/>
  <c r="F130" i="31"/>
  <c r="I85" i="31"/>
  <c r="F85" i="31"/>
  <c r="I83" i="31"/>
  <c r="F83" i="31"/>
  <c r="I35" i="31"/>
  <c r="F35" i="31"/>
  <c r="F455" i="31"/>
  <c r="I455" i="31"/>
  <c r="I378" i="31"/>
  <c r="F378" i="31"/>
  <c r="D379" i="31"/>
  <c r="F345" i="31"/>
  <c r="D369" i="31"/>
  <c r="I345" i="31"/>
  <c r="F305" i="31"/>
  <c r="I305" i="31"/>
  <c r="I406" i="31"/>
  <c r="F406" i="31"/>
  <c r="F399" i="31"/>
  <c r="D419" i="31"/>
  <c r="I399" i="31"/>
  <c r="F408" i="31"/>
  <c r="I408" i="31"/>
  <c r="I355" i="31"/>
  <c r="F355" i="31"/>
  <c r="I209" i="31"/>
  <c r="F209" i="31"/>
  <c r="D220" i="31"/>
  <c r="F200" i="31"/>
  <c r="I200" i="31"/>
  <c r="F208" i="31"/>
  <c r="I208" i="31"/>
  <c r="I253" i="31"/>
  <c r="F253" i="31"/>
  <c r="F254" i="31"/>
  <c r="I254" i="31"/>
  <c r="I229" i="31"/>
  <c r="D231" i="31"/>
  <c r="F229" i="31"/>
  <c r="I160" i="31"/>
  <c r="F160" i="31"/>
  <c r="I127" i="31"/>
  <c r="F127" i="31"/>
  <c r="I117" i="31"/>
  <c r="F117" i="31"/>
  <c r="F113" i="31"/>
  <c r="I113" i="31"/>
  <c r="F120" i="31"/>
  <c r="I120" i="31"/>
  <c r="F125" i="31"/>
  <c r="I125" i="31"/>
  <c r="F134" i="31"/>
  <c r="I134" i="31"/>
  <c r="F84" i="31"/>
  <c r="I84" i="31"/>
  <c r="F31" i="31"/>
  <c r="I31" i="31"/>
  <c r="F238" i="31"/>
  <c r="D243" i="31"/>
  <c r="I238" i="31"/>
  <c r="I133" i="31"/>
  <c r="F133" i="31"/>
  <c r="I114" i="31"/>
  <c r="F114" i="31"/>
  <c r="I112" i="31"/>
  <c r="F112" i="31"/>
  <c r="I77" i="31"/>
  <c r="F77" i="31"/>
  <c r="I75" i="31"/>
  <c r="F75" i="31"/>
  <c r="I48" i="31"/>
  <c r="F48" i="31"/>
  <c r="I43" i="31"/>
  <c r="F43" i="31"/>
  <c r="I41" i="31"/>
  <c r="F41" i="31"/>
  <c r="F38" i="31"/>
  <c r="I38" i="31"/>
  <c r="F36" i="31"/>
  <c r="I36" i="31"/>
  <c r="I34" i="31"/>
  <c r="F34" i="31"/>
  <c r="F32" i="31"/>
  <c r="I32" i="31"/>
  <c r="F30" i="31"/>
  <c r="I30" i="31"/>
  <c r="F26" i="31"/>
  <c r="I26" i="31"/>
  <c r="F24" i="31"/>
  <c r="I24" i="31"/>
  <c r="I33" i="31"/>
  <c r="F33" i="31"/>
  <c r="G367" i="30"/>
  <c r="J367" i="30" s="1"/>
  <c r="G366" i="30"/>
  <c r="G365" i="30"/>
  <c r="G364" i="30"/>
  <c r="G219" i="30"/>
  <c r="G218" i="30"/>
  <c r="G217" i="30"/>
  <c r="G169" i="30"/>
  <c r="G168" i="30"/>
  <c r="G167" i="30"/>
  <c r="G155" i="30"/>
  <c r="G154" i="30"/>
  <c r="G416" i="30"/>
  <c r="G410" i="30"/>
  <c r="G404" i="30"/>
  <c r="J400" i="30"/>
  <c r="G400" i="30"/>
  <c r="G399" i="30"/>
  <c r="G314" i="30"/>
  <c r="G313" i="30"/>
  <c r="G311" i="30"/>
  <c r="G308" i="30"/>
  <c r="G306" i="30"/>
  <c r="G305" i="30"/>
  <c r="E136" i="30"/>
  <c r="G135" i="30"/>
  <c r="J135" i="30" s="1"/>
  <c r="G128" i="30"/>
  <c r="G127" i="30"/>
  <c r="H127" i="30" s="1"/>
  <c r="G120" i="30"/>
  <c r="E120" i="30" s="1"/>
  <c r="G113" i="30"/>
  <c r="G112" i="30"/>
  <c r="G109" i="30"/>
  <c r="G95" i="30"/>
  <c r="G93" i="30"/>
  <c r="G91" i="30"/>
  <c r="H84" i="30"/>
  <c r="J83" i="30"/>
  <c r="G82" i="30"/>
  <c r="G79" i="30"/>
  <c r="G77" i="30"/>
  <c r="H77" i="30" s="1"/>
  <c r="G76" i="30"/>
  <c r="G75" i="30"/>
  <c r="J75" i="30" s="1"/>
  <c r="G72" i="30"/>
  <c r="G71" i="30"/>
  <c r="J71" i="30" s="1"/>
  <c r="G69" i="30"/>
  <c r="J69" i="30" s="1"/>
  <c r="G65" i="30"/>
  <c r="G63" i="30"/>
  <c r="J63" i="30" s="1"/>
  <c r="G61" i="30"/>
  <c r="J58" i="30"/>
  <c r="G57" i="30"/>
  <c r="H57" i="30" s="1"/>
  <c r="G56" i="30"/>
  <c r="J56" i="30" s="1"/>
  <c r="G54" i="30"/>
  <c r="E54" i="30" s="1"/>
  <c r="F54" i="30" s="1"/>
  <c r="G60" i="30"/>
  <c r="G48" i="30"/>
  <c r="J48" i="30" s="1"/>
  <c r="G41" i="30"/>
  <c r="J41" i="30" s="1"/>
  <c r="G39" i="30"/>
  <c r="H39" i="30" s="1"/>
  <c r="G38" i="30"/>
  <c r="J38" i="30" s="1"/>
  <c r="G37" i="30"/>
  <c r="G36" i="30"/>
  <c r="G35" i="30"/>
  <c r="E35" i="30" s="1"/>
  <c r="G34" i="30"/>
  <c r="J34" i="30" s="1"/>
  <c r="G33" i="30"/>
  <c r="H33" i="30" s="1"/>
  <c r="G32" i="30"/>
  <c r="G31" i="30"/>
  <c r="J31" i="30" s="1"/>
  <c r="G30" i="30"/>
  <c r="J30" i="30" s="1"/>
  <c r="G17" i="30"/>
  <c r="G26" i="30"/>
  <c r="H26" i="30" s="1"/>
  <c r="J23" i="30"/>
  <c r="G23" i="30"/>
  <c r="C489" i="30"/>
  <c r="G488" i="30"/>
  <c r="J488" i="30" s="1"/>
  <c r="J486" i="30"/>
  <c r="J485" i="30"/>
  <c r="H485" i="30"/>
  <c r="G485" i="30"/>
  <c r="E485" i="30" s="1"/>
  <c r="D485" i="30"/>
  <c r="F485" i="30" s="1"/>
  <c r="G489" i="30"/>
  <c r="J483" i="30"/>
  <c r="J482" i="30"/>
  <c r="H482" i="30"/>
  <c r="E482" i="30"/>
  <c r="D482" i="30"/>
  <c r="F482" i="30" s="1"/>
  <c r="C481" i="30"/>
  <c r="D484" i="30" s="1"/>
  <c r="C475" i="30"/>
  <c r="G475" i="30"/>
  <c r="J473" i="30"/>
  <c r="D473" i="30"/>
  <c r="D475" i="30" s="1"/>
  <c r="C472" i="30"/>
  <c r="D474" i="30" s="1"/>
  <c r="C465" i="30"/>
  <c r="J461" i="30"/>
  <c r="G461" i="30"/>
  <c r="J460" i="30"/>
  <c r="G460" i="30"/>
  <c r="J459" i="30"/>
  <c r="G459" i="30"/>
  <c r="D459" i="30"/>
  <c r="G458" i="30"/>
  <c r="E458" i="30" s="1"/>
  <c r="J457" i="30"/>
  <c r="H457" i="30"/>
  <c r="G457" i="30"/>
  <c r="F457" i="30"/>
  <c r="E457" i="30"/>
  <c r="D457" i="30"/>
  <c r="I457" i="30" s="1"/>
  <c r="G456" i="30"/>
  <c r="J456" i="30" s="1"/>
  <c r="G455" i="30"/>
  <c r="E455" i="30"/>
  <c r="J453" i="30"/>
  <c r="G453" i="30"/>
  <c r="J452" i="30"/>
  <c r="G452" i="30"/>
  <c r="J451" i="30"/>
  <c r="H451" i="30"/>
  <c r="G451" i="30"/>
  <c r="E451" i="30"/>
  <c r="D451" i="30"/>
  <c r="I451" i="30" s="1"/>
  <c r="G450" i="30"/>
  <c r="E450" i="30" s="1"/>
  <c r="J448" i="30"/>
  <c r="H448" i="30"/>
  <c r="G448" i="30"/>
  <c r="G465" i="30" s="1"/>
  <c r="D448" i="30"/>
  <c r="C447" i="30"/>
  <c r="D458" i="30" s="1"/>
  <c r="C440" i="30"/>
  <c r="G439" i="30"/>
  <c r="J439" i="30" s="1"/>
  <c r="E438" i="30"/>
  <c r="J437" i="30"/>
  <c r="H437" i="30"/>
  <c r="E437" i="30"/>
  <c r="G436" i="30"/>
  <c r="E436" i="30" s="1"/>
  <c r="C435" i="30"/>
  <c r="C429" i="30"/>
  <c r="J428" i="30"/>
  <c r="H428" i="30"/>
  <c r="G428" i="30"/>
  <c r="E428" i="30"/>
  <c r="G427" i="30"/>
  <c r="E427" i="30" s="1"/>
  <c r="C426" i="30"/>
  <c r="D427" i="30" s="1"/>
  <c r="C419" i="30"/>
  <c r="J418" i="30"/>
  <c r="G418" i="30"/>
  <c r="J417" i="30"/>
  <c r="G417" i="30"/>
  <c r="D417" i="30"/>
  <c r="G415" i="30"/>
  <c r="J415" i="30" s="1"/>
  <c r="G414" i="30"/>
  <c r="J414" i="30" s="1"/>
  <c r="G413" i="30"/>
  <c r="J413" i="30" s="1"/>
  <c r="G412" i="30"/>
  <c r="J412" i="30" s="1"/>
  <c r="G411" i="30"/>
  <c r="J411" i="30" s="1"/>
  <c r="E410" i="30"/>
  <c r="J409" i="30"/>
  <c r="G409" i="30"/>
  <c r="J408" i="30"/>
  <c r="H408" i="30"/>
  <c r="G408" i="30"/>
  <c r="E408" i="30" s="1"/>
  <c r="J407" i="30"/>
  <c r="H407" i="30"/>
  <c r="G407" i="30"/>
  <c r="E407" i="30"/>
  <c r="G406" i="30"/>
  <c r="J403" i="30"/>
  <c r="G403" i="30"/>
  <c r="J402" i="30"/>
  <c r="H402" i="30"/>
  <c r="E402" i="30"/>
  <c r="J401" i="30"/>
  <c r="H401" i="30"/>
  <c r="G401" i="30"/>
  <c r="E401" i="30"/>
  <c r="D401" i="30"/>
  <c r="E399" i="30"/>
  <c r="C398" i="30"/>
  <c r="C391" i="30"/>
  <c r="J390" i="30"/>
  <c r="G390" i="30"/>
  <c r="J389" i="30"/>
  <c r="H389" i="30"/>
  <c r="E389" i="30"/>
  <c r="J387" i="30"/>
  <c r="H387" i="30"/>
  <c r="G387" i="30"/>
  <c r="E387" i="30" s="1"/>
  <c r="C385" i="30"/>
  <c r="C379" i="30"/>
  <c r="J378" i="30"/>
  <c r="H378" i="30"/>
  <c r="G378" i="30"/>
  <c r="E378" i="30"/>
  <c r="D378" i="30"/>
  <c r="I378" i="30" s="1"/>
  <c r="C376" i="30"/>
  <c r="D377" i="30" s="1"/>
  <c r="C369" i="30"/>
  <c r="J368" i="30"/>
  <c r="D367" i="30"/>
  <c r="J363" i="30"/>
  <c r="G363" i="30"/>
  <c r="D363" i="30"/>
  <c r="G362" i="30"/>
  <c r="J362" i="30" s="1"/>
  <c r="D362" i="30"/>
  <c r="J361" i="30"/>
  <c r="G361" i="30"/>
  <c r="D361" i="30"/>
  <c r="G360" i="30"/>
  <c r="J360" i="30" s="1"/>
  <c r="G359" i="30"/>
  <c r="J359" i="30" s="1"/>
  <c r="G358" i="30"/>
  <c r="J358" i="30" s="1"/>
  <c r="G357" i="30"/>
  <c r="J357" i="30" s="1"/>
  <c r="E356" i="30"/>
  <c r="J355" i="30"/>
  <c r="H355" i="30"/>
  <c r="G355" i="30"/>
  <c r="E355" i="30" s="1"/>
  <c r="G353" i="30"/>
  <c r="E353" i="30"/>
  <c r="J351" i="30"/>
  <c r="G351" i="30"/>
  <c r="J350" i="30"/>
  <c r="G350" i="30"/>
  <c r="J349" i="30"/>
  <c r="G349" i="30"/>
  <c r="J348" i="30"/>
  <c r="G348" i="30"/>
  <c r="J347" i="30"/>
  <c r="H347" i="30"/>
  <c r="G347" i="30"/>
  <c r="E347" i="30"/>
  <c r="G345" i="30"/>
  <c r="C344" i="30"/>
  <c r="C337" i="30"/>
  <c r="J336" i="30"/>
  <c r="G336" i="30"/>
  <c r="J335" i="30"/>
  <c r="H335" i="30"/>
  <c r="E335" i="30"/>
  <c r="D335" i="30"/>
  <c r="I335" i="30" s="1"/>
  <c r="J333" i="30"/>
  <c r="H333" i="30"/>
  <c r="D333" i="30"/>
  <c r="C332" i="30"/>
  <c r="D334" i="30" s="1"/>
  <c r="G326" i="30"/>
  <c r="C326" i="30"/>
  <c r="E325" i="30"/>
  <c r="J324" i="30"/>
  <c r="H324" i="30"/>
  <c r="F324" i="30"/>
  <c r="E324" i="30"/>
  <c r="D324" i="30"/>
  <c r="C323" i="30"/>
  <c r="D325" i="30" s="1"/>
  <c r="C316" i="30"/>
  <c r="G315" i="30"/>
  <c r="J315" i="30" s="1"/>
  <c r="G312" i="30"/>
  <c r="J311" i="30"/>
  <c r="D311" i="30"/>
  <c r="G310" i="30"/>
  <c r="J309" i="30"/>
  <c r="H309" i="30"/>
  <c r="G309" i="30"/>
  <c r="E309" i="30" s="1"/>
  <c r="D309" i="30"/>
  <c r="J307" i="30"/>
  <c r="H307" i="30"/>
  <c r="G307" i="30"/>
  <c r="E307" i="30"/>
  <c r="D307" i="30"/>
  <c r="I307" i="30" s="1"/>
  <c r="E305" i="30"/>
  <c r="J303" i="30"/>
  <c r="G303" i="30"/>
  <c r="J302" i="30"/>
  <c r="H302" i="30"/>
  <c r="G302" i="30"/>
  <c r="E302" i="30"/>
  <c r="D302" i="30"/>
  <c r="I302" i="30" s="1"/>
  <c r="G301" i="30"/>
  <c r="J300" i="30"/>
  <c r="G300" i="30"/>
  <c r="J298" i="30"/>
  <c r="H298" i="30"/>
  <c r="G298" i="30"/>
  <c r="F298" i="30"/>
  <c r="E298" i="30"/>
  <c r="D298" i="30"/>
  <c r="C297" i="30"/>
  <c r="D312" i="30" s="1"/>
  <c r="C289" i="30"/>
  <c r="G288" i="30"/>
  <c r="J288" i="30" s="1"/>
  <c r="G287" i="30"/>
  <c r="E287" i="30"/>
  <c r="J286" i="30"/>
  <c r="H286" i="30"/>
  <c r="E286" i="30"/>
  <c r="H285" i="30"/>
  <c r="G285" i="30"/>
  <c r="J285" i="30" s="1"/>
  <c r="E285" i="30"/>
  <c r="G284" i="30"/>
  <c r="E284" i="30" s="1"/>
  <c r="C283" i="30"/>
  <c r="D286" i="30" s="1"/>
  <c r="C277" i="30"/>
  <c r="J276" i="30"/>
  <c r="H276" i="30"/>
  <c r="E276" i="30"/>
  <c r="G275" i="30"/>
  <c r="E275" i="30" s="1"/>
  <c r="C274" i="30"/>
  <c r="D275" i="30" s="1"/>
  <c r="C267" i="30"/>
  <c r="J265" i="30"/>
  <c r="G263" i="30"/>
  <c r="J263" i="30" s="1"/>
  <c r="G262" i="30"/>
  <c r="E262" i="30" s="1"/>
  <c r="J261" i="30"/>
  <c r="G261" i="30"/>
  <c r="J260" i="30"/>
  <c r="H260" i="30"/>
  <c r="G260" i="30"/>
  <c r="E260" i="30" s="1"/>
  <c r="D260" i="30"/>
  <c r="I260" i="30" s="1"/>
  <c r="G259" i="30"/>
  <c r="E259" i="30" s="1"/>
  <c r="J258" i="30"/>
  <c r="G257" i="30"/>
  <c r="E257" i="30" s="1"/>
  <c r="J255" i="30"/>
  <c r="G255" i="30"/>
  <c r="J254" i="30"/>
  <c r="H254" i="30"/>
  <c r="G254" i="30"/>
  <c r="E254" i="30" s="1"/>
  <c r="D254" i="30"/>
  <c r="I254" i="30" s="1"/>
  <c r="G253" i="30"/>
  <c r="E253" i="30" s="1"/>
  <c r="J251" i="30"/>
  <c r="H251" i="30"/>
  <c r="G251" i="30"/>
  <c r="G267" i="30" s="1"/>
  <c r="F251" i="30"/>
  <c r="E251" i="30"/>
  <c r="D251" i="30"/>
  <c r="I251" i="30" s="1"/>
  <c r="C250" i="30"/>
  <c r="D262" i="30" s="1"/>
  <c r="C243" i="30"/>
  <c r="G242" i="30"/>
  <c r="J242" i="30" s="1"/>
  <c r="G241" i="30"/>
  <c r="E241" i="30"/>
  <c r="J240" i="30"/>
  <c r="H240" i="30"/>
  <c r="E240" i="30"/>
  <c r="D240" i="30"/>
  <c r="C240" i="30"/>
  <c r="J239" i="30"/>
  <c r="G239" i="30"/>
  <c r="J238" i="30"/>
  <c r="H238" i="30"/>
  <c r="G238" i="30"/>
  <c r="E238" i="30" s="1"/>
  <c r="D238" i="30"/>
  <c r="C237" i="30"/>
  <c r="D241" i="30" s="1"/>
  <c r="G229" i="30"/>
  <c r="E229" i="30"/>
  <c r="C229" i="30"/>
  <c r="G228" i="30"/>
  <c r="J228" i="30" s="1"/>
  <c r="C228" i="30"/>
  <c r="C227" i="30"/>
  <c r="C220" i="30"/>
  <c r="J218" i="30"/>
  <c r="G216" i="30"/>
  <c r="J216" i="30" s="1"/>
  <c r="G215" i="30"/>
  <c r="J215" i="30" s="1"/>
  <c r="G214" i="30"/>
  <c r="E214" i="30"/>
  <c r="J213" i="30"/>
  <c r="G213" i="30"/>
  <c r="J212" i="30"/>
  <c r="G212" i="30"/>
  <c r="J211" i="30"/>
  <c r="G211" i="30"/>
  <c r="J210" i="30"/>
  <c r="G210" i="30"/>
  <c r="J209" i="30"/>
  <c r="H209" i="30"/>
  <c r="G209" i="30"/>
  <c r="E209" i="30" s="1"/>
  <c r="G208" i="30"/>
  <c r="E208" i="30"/>
  <c r="J207" i="30"/>
  <c r="H207" i="30"/>
  <c r="G207" i="30"/>
  <c r="F207" i="30"/>
  <c r="E207" i="30"/>
  <c r="D207" i="30"/>
  <c r="I207" i="30" s="1"/>
  <c r="G206" i="30"/>
  <c r="E206" i="30" s="1"/>
  <c r="J204" i="30"/>
  <c r="G204" i="30"/>
  <c r="J202" i="30"/>
  <c r="H202" i="30"/>
  <c r="G202" i="30"/>
  <c r="E202" i="30"/>
  <c r="G200" i="30"/>
  <c r="E200" i="30"/>
  <c r="C199" i="30"/>
  <c r="C192" i="30"/>
  <c r="J191" i="30"/>
  <c r="G191" i="30"/>
  <c r="J190" i="30"/>
  <c r="H190" i="30"/>
  <c r="G190" i="30"/>
  <c r="F190" i="30"/>
  <c r="E190" i="30"/>
  <c r="D190" i="30"/>
  <c r="I190" i="30" s="1"/>
  <c r="G189" i="30"/>
  <c r="E189" i="30"/>
  <c r="J188" i="30"/>
  <c r="H188" i="30"/>
  <c r="G188" i="30"/>
  <c r="G192" i="30" s="1"/>
  <c r="D188" i="30"/>
  <c r="C187" i="30"/>
  <c r="D189" i="30" s="1"/>
  <c r="F189" i="30" s="1"/>
  <c r="C180" i="30"/>
  <c r="G179" i="30"/>
  <c r="G180" i="30" s="1"/>
  <c r="J178" i="30"/>
  <c r="H178" i="30"/>
  <c r="G178" i="30"/>
  <c r="F178" i="30"/>
  <c r="E178" i="30"/>
  <c r="D178" i="30"/>
  <c r="C177" i="30"/>
  <c r="D179" i="30" s="1"/>
  <c r="C170" i="30"/>
  <c r="G166" i="30"/>
  <c r="J166" i="30" s="1"/>
  <c r="G165" i="30"/>
  <c r="J165" i="30" s="1"/>
  <c r="G164" i="30"/>
  <c r="J164" i="30" s="1"/>
  <c r="G163" i="30"/>
  <c r="J163" i="30" s="1"/>
  <c r="G162" i="30"/>
  <c r="J162" i="30" s="1"/>
  <c r="G161" i="30"/>
  <c r="E161" i="30"/>
  <c r="J160" i="30"/>
  <c r="H160" i="30"/>
  <c r="G160" i="30"/>
  <c r="E160" i="30"/>
  <c r="D160" i="30"/>
  <c r="I160" i="30" s="1"/>
  <c r="G159" i="30"/>
  <c r="E159" i="30" s="1"/>
  <c r="J157" i="30"/>
  <c r="G157" i="30"/>
  <c r="J156" i="30"/>
  <c r="G156" i="30"/>
  <c r="J155" i="30"/>
  <c r="H155" i="30"/>
  <c r="I155" i="30" s="1"/>
  <c r="E155" i="30"/>
  <c r="F155" i="30" s="1"/>
  <c r="J154" i="30"/>
  <c r="H154" i="30"/>
  <c r="E154" i="30"/>
  <c r="D154" i="30"/>
  <c r="G152" i="30"/>
  <c r="J152" i="30" s="1"/>
  <c r="D152" i="30"/>
  <c r="C151" i="30"/>
  <c r="G138" i="30"/>
  <c r="J138" i="30" s="1"/>
  <c r="J137" i="30"/>
  <c r="H137" i="30"/>
  <c r="E137" i="30"/>
  <c r="J136" i="30"/>
  <c r="D136" i="30"/>
  <c r="E135" i="30"/>
  <c r="G134" i="30"/>
  <c r="E134" i="30" s="1"/>
  <c r="J133" i="30"/>
  <c r="H133" i="30"/>
  <c r="G133" i="30"/>
  <c r="E133" i="30"/>
  <c r="J130" i="30"/>
  <c r="H130" i="30"/>
  <c r="E130" i="30"/>
  <c r="H128" i="30"/>
  <c r="J127" i="30"/>
  <c r="E127" i="30"/>
  <c r="G126" i="30"/>
  <c r="J126" i="30" s="1"/>
  <c r="G125" i="30"/>
  <c r="H125" i="30" s="1"/>
  <c r="J124" i="30"/>
  <c r="H124" i="30"/>
  <c r="G124" i="30"/>
  <c r="E124" i="30"/>
  <c r="G122" i="30"/>
  <c r="J122" i="30" s="1"/>
  <c r="E122" i="30"/>
  <c r="C121" i="30"/>
  <c r="C107" i="30" s="1"/>
  <c r="J120" i="30"/>
  <c r="G117" i="30"/>
  <c r="J117" i="30" s="1"/>
  <c r="G116" i="30"/>
  <c r="J116" i="30" s="1"/>
  <c r="E116" i="30"/>
  <c r="J115" i="30"/>
  <c r="J114" i="30"/>
  <c r="H114" i="30"/>
  <c r="E114" i="30"/>
  <c r="E113" i="30"/>
  <c r="J112" i="30"/>
  <c r="H112" i="30"/>
  <c r="E112" i="30"/>
  <c r="G111" i="30"/>
  <c r="J111" i="30" s="1"/>
  <c r="E109" i="30"/>
  <c r="C108" i="30"/>
  <c r="D135" i="30" s="1"/>
  <c r="J97" i="30"/>
  <c r="E97" i="30"/>
  <c r="D97" i="30"/>
  <c r="F97" i="30" s="1"/>
  <c r="J96" i="30"/>
  <c r="H96" i="30"/>
  <c r="E96" i="30"/>
  <c r="F96" i="30" s="1"/>
  <c r="D96" i="30"/>
  <c r="I96" i="30" s="1"/>
  <c r="J95" i="30"/>
  <c r="J93" i="30"/>
  <c r="J91" i="30"/>
  <c r="J90" i="30"/>
  <c r="C89" i="30"/>
  <c r="C87" i="30" s="1"/>
  <c r="C9" i="30" s="1"/>
  <c r="J86" i="30"/>
  <c r="H86" i="30"/>
  <c r="G86" i="30"/>
  <c r="E86" i="30" s="1"/>
  <c r="G85" i="30"/>
  <c r="H85" i="30" s="1"/>
  <c r="J84" i="30"/>
  <c r="E84" i="30"/>
  <c r="E83" i="30"/>
  <c r="J82" i="30"/>
  <c r="C81" i="30"/>
  <c r="D84" i="30" s="1"/>
  <c r="H79" i="30"/>
  <c r="C78" i="30"/>
  <c r="D79" i="30" s="1"/>
  <c r="J76" i="30"/>
  <c r="H76" i="30"/>
  <c r="E76" i="30"/>
  <c r="E75" i="30"/>
  <c r="C74" i="30"/>
  <c r="D77" i="30" s="1"/>
  <c r="J72" i="30"/>
  <c r="E72" i="30"/>
  <c r="H71" i="30"/>
  <c r="E71" i="30"/>
  <c r="D71" i="30"/>
  <c r="C70" i="30"/>
  <c r="D72" i="30" s="1"/>
  <c r="J68" i="30"/>
  <c r="J67" i="30"/>
  <c r="C66" i="30"/>
  <c r="J65" i="30"/>
  <c r="J62" i="30"/>
  <c r="G62" i="30"/>
  <c r="J61" i="30"/>
  <c r="E60" i="30"/>
  <c r="H59" i="30"/>
  <c r="C59" i="30"/>
  <c r="D60" i="30" s="1"/>
  <c r="J57" i="30"/>
  <c r="E57" i="30"/>
  <c r="D57" i="30"/>
  <c r="H56" i="30"/>
  <c r="E56" i="30"/>
  <c r="F56" i="30" s="1"/>
  <c r="D56" i="30"/>
  <c r="C55" i="30"/>
  <c r="J54" i="30"/>
  <c r="H54" i="30"/>
  <c r="D54" i="30"/>
  <c r="G51" i="30"/>
  <c r="J51" i="30" s="1"/>
  <c r="G50" i="30"/>
  <c r="H50" i="30" s="1"/>
  <c r="J49" i="30"/>
  <c r="H49" i="30"/>
  <c r="G49" i="30"/>
  <c r="E49" i="30"/>
  <c r="D49" i="30"/>
  <c r="I49" i="30" s="1"/>
  <c r="E48" i="30"/>
  <c r="J47" i="30"/>
  <c r="G46" i="30"/>
  <c r="J46" i="30" s="1"/>
  <c r="C45" i="30"/>
  <c r="D50" i="30" s="1"/>
  <c r="J44" i="30"/>
  <c r="H44" i="30"/>
  <c r="G44" i="30"/>
  <c r="E44" i="30" s="1"/>
  <c r="D44" i="30"/>
  <c r="I44" i="30" s="1"/>
  <c r="G43" i="30"/>
  <c r="H43" i="30" s="1"/>
  <c r="J42" i="30"/>
  <c r="H42" i="30"/>
  <c r="G42" i="30"/>
  <c r="E42" i="30"/>
  <c r="E41" i="30"/>
  <c r="C40" i="30"/>
  <c r="D43" i="30" s="1"/>
  <c r="J39" i="30"/>
  <c r="E39" i="30"/>
  <c r="J37" i="30"/>
  <c r="H37" i="30"/>
  <c r="E37" i="30"/>
  <c r="D37" i="30"/>
  <c r="E36" i="30"/>
  <c r="J35" i="30"/>
  <c r="H35" i="30"/>
  <c r="J33" i="30"/>
  <c r="E33" i="30"/>
  <c r="D33" i="30"/>
  <c r="F33" i="30" s="1"/>
  <c r="E32" i="30"/>
  <c r="H31" i="30"/>
  <c r="E31" i="30"/>
  <c r="C29" i="30"/>
  <c r="D35" i="30" s="1"/>
  <c r="G27" i="30"/>
  <c r="J27" i="30" s="1"/>
  <c r="J25" i="30"/>
  <c r="H25" i="30"/>
  <c r="G25" i="30"/>
  <c r="F25" i="30"/>
  <c r="E25" i="30"/>
  <c r="D25" i="30"/>
  <c r="I25" i="30" s="1"/>
  <c r="G24" i="30"/>
  <c r="J24" i="30" s="1"/>
  <c r="E24" i="30"/>
  <c r="G22" i="30"/>
  <c r="J22" i="30" s="1"/>
  <c r="C21" i="30"/>
  <c r="D26" i="30" s="1"/>
  <c r="J20" i="30"/>
  <c r="G20" i="30"/>
  <c r="J19" i="30"/>
  <c r="G19" i="30"/>
  <c r="J18" i="30"/>
  <c r="G18" i="30"/>
  <c r="J17" i="30"/>
  <c r="G15" i="30"/>
  <c r="J15" i="30" s="1"/>
  <c r="G14" i="30"/>
  <c r="J14" i="30" s="1"/>
  <c r="G13" i="30"/>
  <c r="E13" i="30" s="1"/>
  <c r="G12" i="30"/>
  <c r="C11" i="30"/>
  <c r="D13" i="30" s="1"/>
  <c r="C21" i="29"/>
  <c r="I240" i="30" l="1"/>
  <c r="I154" i="30"/>
  <c r="F136" i="30"/>
  <c r="H135" i="30"/>
  <c r="F71" i="30"/>
  <c r="I56" i="30"/>
  <c r="I54" i="30"/>
  <c r="F49" i="30"/>
  <c r="E34" i="30"/>
  <c r="E30" i="30"/>
  <c r="E38" i="30"/>
  <c r="G98" i="30"/>
  <c r="F35" i="30"/>
  <c r="I35" i="30"/>
  <c r="I50" i="30"/>
  <c r="F84" i="30"/>
  <c r="I84" i="30"/>
  <c r="D133" i="30"/>
  <c r="D127" i="30"/>
  <c r="D117" i="30"/>
  <c r="D112" i="30"/>
  <c r="D134" i="30"/>
  <c r="D128" i="30"/>
  <c r="D125" i="30"/>
  <c r="D113" i="30"/>
  <c r="D109" i="30"/>
  <c r="D137" i="30"/>
  <c r="D114" i="30"/>
  <c r="D130" i="30"/>
  <c r="D122" i="30"/>
  <c r="D120" i="30"/>
  <c r="D116" i="30"/>
  <c r="D124" i="30"/>
  <c r="F57" i="30"/>
  <c r="F60" i="30"/>
  <c r="I43" i="30"/>
  <c r="I77" i="30"/>
  <c r="I79" i="30"/>
  <c r="F13" i="30"/>
  <c r="I26" i="30"/>
  <c r="F37" i="30"/>
  <c r="F72" i="30"/>
  <c r="F135" i="30"/>
  <c r="I135" i="30"/>
  <c r="I286" i="30"/>
  <c r="F286" i="30"/>
  <c r="E26" i="30"/>
  <c r="F26" i="30" s="1"/>
  <c r="D31" i="30"/>
  <c r="D42" i="30"/>
  <c r="E43" i="30"/>
  <c r="F43" i="30" s="1"/>
  <c r="F44" i="30"/>
  <c r="E50" i="30"/>
  <c r="F50" i="30" s="1"/>
  <c r="D76" i="30"/>
  <c r="E77" i="30"/>
  <c r="F77" i="30" s="1"/>
  <c r="E79" i="30"/>
  <c r="F79" i="30" s="1"/>
  <c r="E85" i="30"/>
  <c r="J89" i="30"/>
  <c r="E125" i="30"/>
  <c r="E128" i="30"/>
  <c r="J13" i="30"/>
  <c r="D24" i="30"/>
  <c r="H24" i="30"/>
  <c r="J26" i="30"/>
  <c r="D30" i="30"/>
  <c r="H30" i="30"/>
  <c r="J32" i="30"/>
  <c r="D34" i="30"/>
  <c r="H34" i="30"/>
  <c r="J36" i="30"/>
  <c r="D38" i="30"/>
  <c r="H38" i="30"/>
  <c r="D41" i="30"/>
  <c r="H41" i="30"/>
  <c r="J43" i="30"/>
  <c r="D48" i="30"/>
  <c r="H48" i="30"/>
  <c r="J50" i="30"/>
  <c r="J60" i="30"/>
  <c r="H72" i="30"/>
  <c r="I72" i="30" s="1"/>
  <c r="D75" i="30"/>
  <c r="H75" i="30"/>
  <c r="J77" i="30"/>
  <c r="J79" i="30"/>
  <c r="D83" i="30"/>
  <c r="H83" i="30"/>
  <c r="J85" i="30"/>
  <c r="H97" i="30"/>
  <c r="I97" i="30" s="1"/>
  <c r="J109" i="30"/>
  <c r="J113" i="30"/>
  <c r="H116" i="30"/>
  <c r="H120" i="30"/>
  <c r="H122" i="30"/>
  <c r="J125" i="30"/>
  <c r="J128" i="30"/>
  <c r="J134" i="30"/>
  <c r="E152" i="30"/>
  <c r="J161" i="30"/>
  <c r="H161" i="30"/>
  <c r="G170" i="30"/>
  <c r="E179" i="30"/>
  <c r="H189" i="30"/>
  <c r="J189" i="30"/>
  <c r="D214" i="30"/>
  <c r="D206" i="30"/>
  <c r="D200" i="30"/>
  <c r="D208" i="30"/>
  <c r="D202" i="30"/>
  <c r="D209" i="30"/>
  <c r="D229" i="30"/>
  <c r="F241" i="30"/>
  <c r="J241" i="30"/>
  <c r="H241" i="30"/>
  <c r="I241" i="30" s="1"/>
  <c r="G243" i="30"/>
  <c r="F254" i="30"/>
  <c r="J301" i="30"/>
  <c r="H301" i="30"/>
  <c r="E301" i="30"/>
  <c r="G337" i="30"/>
  <c r="J377" i="30"/>
  <c r="G379" i="30"/>
  <c r="H377" i="30"/>
  <c r="E377" i="30"/>
  <c r="D386" i="30"/>
  <c r="D388" i="30"/>
  <c r="D389" i="30"/>
  <c r="D86" i="30"/>
  <c r="G144" i="30"/>
  <c r="F179" i="30"/>
  <c r="J179" i="30"/>
  <c r="H179" i="30"/>
  <c r="I189" i="30"/>
  <c r="H206" i="30"/>
  <c r="J206" i="30"/>
  <c r="D243" i="30"/>
  <c r="I238" i="30"/>
  <c r="F262" i="30"/>
  <c r="J253" i="30"/>
  <c r="H253" i="30"/>
  <c r="J262" i="30"/>
  <c r="H262" i="30"/>
  <c r="G277" i="30"/>
  <c r="H275" i="30"/>
  <c r="J275" i="30"/>
  <c r="J284" i="30"/>
  <c r="G289" i="30"/>
  <c r="H284" i="30"/>
  <c r="H308" i="30"/>
  <c r="J308" i="30"/>
  <c r="E308" i="30"/>
  <c r="G316" i="30"/>
  <c r="D353" i="30"/>
  <c r="D356" i="30"/>
  <c r="D345" i="30"/>
  <c r="D355" i="30"/>
  <c r="G391" i="30"/>
  <c r="H386" i="30"/>
  <c r="J386" i="30"/>
  <c r="E386" i="30"/>
  <c r="I401" i="30"/>
  <c r="F401" i="30"/>
  <c r="H13" i="30"/>
  <c r="I13" i="30" s="1"/>
  <c r="D32" i="30"/>
  <c r="H32" i="30"/>
  <c r="I33" i="30"/>
  <c r="D36" i="30"/>
  <c r="H36" i="30"/>
  <c r="I37" i="30"/>
  <c r="I57" i="30"/>
  <c r="H60" i="30"/>
  <c r="I60" i="30" s="1"/>
  <c r="I71" i="30"/>
  <c r="D85" i="30"/>
  <c r="H109" i="30"/>
  <c r="H113" i="30"/>
  <c r="H134" i="30"/>
  <c r="D159" i="30"/>
  <c r="D161" i="30"/>
  <c r="H152" i="30"/>
  <c r="F154" i="30"/>
  <c r="I178" i="30"/>
  <c r="D180" i="30"/>
  <c r="I179" i="30"/>
  <c r="I188" i="30"/>
  <c r="H200" i="30"/>
  <c r="G220" i="30"/>
  <c r="J200" i="30"/>
  <c r="J208" i="30"/>
  <c r="H208" i="30"/>
  <c r="H214" i="30"/>
  <c r="J214" i="30"/>
  <c r="H229" i="30"/>
  <c r="J229" i="30"/>
  <c r="C231" i="30"/>
  <c r="F238" i="30"/>
  <c r="F260" i="30"/>
  <c r="I262" i="30"/>
  <c r="I275" i="30"/>
  <c r="I309" i="30"/>
  <c r="F309" i="30"/>
  <c r="J310" i="30"/>
  <c r="H310" i="30"/>
  <c r="E310" i="30"/>
  <c r="H312" i="30"/>
  <c r="J312" i="30"/>
  <c r="E312" i="30"/>
  <c r="F335" i="30"/>
  <c r="G369" i="30"/>
  <c r="J345" i="30"/>
  <c r="H345" i="30"/>
  <c r="E345" i="30"/>
  <c r="D387" i="30"/>
  <c r="J388" i="30"/>
  <c r="H388" i="30"/>
  <c r="E388" i="30"/>
  <c r="F152" i="30"/>
  <c r="I152" i="30"/>
  <c r="H159" i="30"/>
  <c r="J159" i="30"/>
  <c r="F160" i="30"/>
  <c r="D192" i="30"/>
  <c r="G231" i="30"/>
  <c r="F240" i="30"/>
  <c r="J257" i="30"/>
  <c r="H257" i="30"/>
  <c r="J259" i="30"/>
  <c r="H259" i="30"/>
  <c r="F275" i="30"/>
  <c r="D276" i="30"/>
  <c r="D287" i="30"/>
  <c r="D284" i="30"/>
  <c r="D285" i="30"/>
  <c r="F312" i="30"/>
  <c r="I312" i="30"/>
  <c r="F302" i="30"/>
  <c r="D326" i="30"/>
  <c r="I324" i="30"/>
  <c r="I333" i="30"/>
  <c r="D337" i="30"/>
  <c r="J334" i="30"/>
  <c r="H334" i="30"/>
  <c r="I334" i="30" s="1"/>
  <c r="E334" i="30"/>
  <c r="F334" i="30" s="1"/>
  <c r="D347" i="30"/>
  <c r="F377" i="30"/>
  <c r="D379" i="30"/>
  <c r="I377" i="30"/>
  <c r="F378" i="30"/>
  <c r="D410" i="30"/>
  <c r="D406" i="30"/>
  <c r="D402" i="30"/>
  <c r="D399" i="30"/>
  <c r="D408" i="30"/>
  <c r="H406" i="30"/>
  <c r="J406" i="30"/>
  <c r="E406" i="30"/>
  <c r="E188" i="30"/>
  <c r="F188" i="30" s="1"/>
  <c r="D253" i="30"/>
  <c r="D257" i="30"/>
  <c r="D259" i="30"/>
  <c r="H287" i="30"/>
  <c r="J287" i="30"/>
  <c r="H353" i="30"/>
  <c r="J353" i="30"/>
  <c r="J356" i="30"/>
  <c r="H356" i="30"/>
  <c r="F458" i="30"/>
  <c r="H455" i="30"/>
  <c r="J455" i="30"/>
  <c r="F427" i="30"/>
  <c r="D428" i="30"/>
  <c r="D436" i="30"/>
  <c r="D438" i="30"/>
  <c r="D437" i="30"/>
  <c r="I448" i="30"/>
  <c r="I298" i="30"/>
  <c r="J305" i="30"/>
  <c r="H305" i="30"/>
  <c r="F307" i="30"/>
  <c r="F325" i="30"/>
  <c r="H325" i="30"/>
  <c r="I325" i="30" s="1"/>
  <c r="J325" i="30"/>
  <c r="G419" i="30"/>
  <c r="J399" i="30"/>
  <c r="H399" i="30"/>
  <c r="H410" i="30"/>
  <c r="J410" i="30"/>
  <c r="J427" i="30"/>
  <c r="G429" i="30"/>
  <c r="H427" i="30"/>
  <c r="I427" i="30" s="1"/>
  <c r="H436" i="30"/>
  <c r="J436" i="30"/>
  <c r="J438" i="30"/>
  <c r="H438" i="30"/>
  <c r="G440" i="30"/>
  <c r="J450" i="30"/>
  <c r="H450" i="30"/>
  <c r="F451" i="30"/>
  <c r="D301" i="30"/>
  <c r="D305" i="30"/>
  <c r="D310" i="30"/>
  <c r="D450" i="30"/>
  <c r="D465" i="30" s="1"/>
  <c r="J458" i="30"/>
  <c r="J474" i="30"/>
  <c r="H484" i="30"/>
  <c r="I484" i="30" s="1"/>
  <c r="I485" i="30"/>
  <c r="I482" i="30"/>
  <c r="E484" i="30"/>
  <c r="F484" i="30" s="1"/>
  <c r="D308" i="30"/>
  <c r="E333" i="30"/>
  <c r="F333" i="30" s="1"/>
  <c r="E448" i="30"/>
  <c r="F448" i="30" s="1"/>
  <c r="D455" i="30"/>
  <c r="H458" i="30"/>
  <c r="I458" i="30" s="1"/>
  <c r="H474" i="30"/>
  <c r="I474" i="30" s="1"/>
  <c r="J484" i="30"/>
  <c r="D489" i="30"/>
  <c r="E474" i="30"/>
  <c r="F474" i="30" s="1"/>
  <c r="G356" i="29"/>
  <c r="F301" i="30" l="1"/>
  <c r="I301" i="30"/>
  <c r="D440" i="30"/>
  <c r="F436" i="30"/>
  <c r="I436" i="30"/>
  <c r="F253" i="30"/>
  <c r="I253" i="30"/>
  <c r="F406" i="30"/>
  <c r="I406" i="30"/>
  <c r="F287" i="30"/>
  <c r="I287" i="30"/>
  <c r="F32" i="30"/>
  <c r="I32" i="30"/>
  <c r="F353" i="30"/>
  <c r="I353" i="30"/>
  <c r="F386" i="30"/>
  <c r="I386" i="30"/>
  <c r="D391" i="30"/>
  <c r="I202" i="30"/>
  <c r="F202" i="30"/>
  <c r="F214" i="30"/>
  <c r="I214" i="30"/>
  <c r="F48" i="30"/>
  <c r="I48" i="30"/>
  <c r="I34" i="30"/>
  <c r="F34" i="30"/>
  <c r="F120" i="30"/>
  <c r="I120" i="30"/>
  <c r="F137" i="30"/>
  <c r="I137" i="30"/>
  <c r="I128" i="30"/>
  <c r="F128" i="30"/>
  <c r="F127" i="30"/>
  <c r="I127" i="30"/>
  <c r="F450" i="30"/>
  <c r="I450" i="30"/>
  <c r="D316" i="30"/>
  <c r="I428" i="30"/>
  <c r="F428" i="30"/>
  <c r="I408" i="30"/>
  <c r="F408" i="30"/>
  <c r="F410" i="30"/>
  <c r="I410" i="30"/>
  <c r="I276" i="30"/>
  <c r="F276" i="30"/>
  <c r="F36" i="30"/>
  <c r="I36" i="30"/>
  <c r="I355" i="30"/>
  <c r="F355" i="30"/>
  <c r="I86" i="30"/>
  <c r="F86" i="30"/>
  <c r="F208" i="30"/>
  <c r="I208" i="30"/>
  <c r="F38" i="30"/>
  <c r="I38" i="30"/>
  <c r="F122" i="30"/>
  <c r="I122" i="30"/>
  <c r="F109" i="30"/>
  <c r="I109" i="30"/>
  <c r="I134" i="30"/>
  <c r="F134" i="30"/>
  <c r="F133" i="30"/>
  <c r="I133" i="30"/>
  <c r="F308" i="30"/>
  <c r="I308" i="30"/>
  <c r="F310" i="30"/>
  <c r="I310" i="30"/>
  <c r="I437" i="30"/>
  <c r="F437" i="30"/>
  <c r="F259" i="30"/>
  <c r="I259" i="30"/>
  <c r="F399" i="30"/>
  <c r="D419" i="30"/>
  <c r="I399" i="30"/>
  <c r="I347" i="30"/>
  <c r="F347" i="30"/>
  <c r="I285" i="30"/>
  <c r="F285" i="30"/>
  <c r="D267" i="30"/>
  <c r="F161" i="30"/>
  <c r="I161" i="30"/>
  <c r="D429" i="30"/>
  <c r="F345" i="30"/>
  <c r="D369" i="30"/>
  <c r="I345" i="30"/>
  <c r="I389" i="30"/>
  <c r="F389" i="30"/>
  <c r="D231" i="30"/>
  <c r="F229" i="30"/>
  <c r="I229" i="30"/>
  <c r="F200" i="30"/>
  <c r="I200" i="30"/>
  <c r="D220" i="30"/>
  <c r="I24" i="30"/>
  <c r="F24" i="30"/>
  <c r="F76" i="30"/>
  <c r="I76" i="30"/>
  <c r="F42" i="30"/>
  <c r="I42" i="30"/>
  <c r="D277" i="30"/>
  <c r="F124" i="30"/>
  <c r="I124" i="30"/>
  <c r="F130" i="30"/>
  <c r="I130" i="30"/>
  <c r="F113" i="30"/>
  <c r="I113" i="30"/>
  <c r="F112" i="30"/>
  <c r="I112" i="30"/>
  <c r="I455" i="30"/>
  <c r="F455" i="30"/>
  <c r="F305" i="30"/>
  <c r="I305" i="30"/>
  <c r="F438" i="30"/>
  <c r="I438" i="30"/>
  <c r="F257" i="30"/>
  <c r="I257" i="30"/>
  <c r="I402" i="30"/>
  <c r="F402" i="30"/>
  <c r="D289" i="30"/>
  <c r="F284" i="30"/>
  <c r="I284" i="30"/>
  <c r="I387" i="30"/>
  <c r="F387" i="30"/>
  <c r="F159" i="30"/>
  <c r="I159" i="30"/>
  <c r="I85" i="30"/>
  <c r="F85" i="30"/>
  <c r="F356" i="30"/>
  <c r="I356" i="30"/>
  <c r="F388" i="30"/>
  <c r="I388" i="30"/>
  <c r="I209" i="30"/>
  <c r="F209" i="30"/>
  <c r="F206" i="30"/>
  <c r="I206" i="30"/>
  <c r="F83" i="30"/>
  <c r="I83" i="30"/>
  <c r="F75" i="30"/>
  <c r="I75" i="30"/>
  <c r="F41" i="30"/>
  <c r="I41" i="30"/>
  <c r="I30" i="30"/>
  <c r="F30" i="30"/>
  <c r="I31" i="30"/>
  <c r="F31" i="30"/>
  <c r="F116" i="30"/>
  <c r="I116" i="30"/>
  <c r="I114" i="30"/>
  <c r="F114" i="30"/>
  <c r="I125" i="30"/>
  <c r="F125" i="30"/>
  <c r="I117" i="30"/>
  <c r="F117" i="30"/>
  <c r="C199" i="29"/>
  <c r="C369" i="29"/>
  <c r="G209" i="29"/>
  <c r="G200" i="29"/>
  <c r="G409" i="29"/>
  <c r="G308" i="29"/>
  <c r="G257" i="29"/>
  <c r="G455" i="29"/>
  <c r="G451" i="29"/>
  <c r="G450" i="29"/>
  <c r="G135" i="29"/>
  <c r="G127" i="29"/>
  <c r="G120" i="29"/>
  <c r="G117" i="29"/>
  <c r="G93" i="29"/>
  <c r="G89" i="29"/>
  <c r="G83" i="29"/>
  <c r="G62" i="29"/>
  <c r="G63" i="29"/>
  <c r="G57" i="29"/>
  <c r="G54" i="29"/>
  <c r="G51" i="29"/>
  <c r="G49" i="29"/>
  <c r="G41" i="29"/>
  <c r="G465" i="29" l="1"/>
  <c r="G419" i="29"/>
  <c r="G369" i="29"/>
  <c r="G316" i="29"/>
  <c r="G267" i="29"/>
  <c r="G220" i="29"/>
  <c r="G170" i="29"/>
  <c r="G144" i="29"/>
  <c r="C107" i="29"/>
  <c r="C465" i="29"/>
  <c r="C220" i="29"/>
  <c r="C170" i="29"/>
  <c r="C250" i="29" l="1"/>
  <c r="C267" i="29"/>
  <c r="C447" i="29"/>
  <c r="C108" i="29" l="1"/>
  <c r="C121" i="29"/>
  <c r="C481" i="29" l="1"/>
  <c r="C489" i="29"/>
  <c r="G485" i="29"/>
  <c r="G484" i="29"/>
  <c r="G488" i="29"/>
  <c r="J488" i="29" s="1"/>
  <c r="G474" i="29"/>
  <c r="G437" i="29"/>
  <c r="G436" i="29"/>
  <c r="G427" i="29"/>
  <c r="G388" i="29"/>
  <c r="G286" i="29"/>
  <c r="G276" i="29"/>
  <c r="G241" i="29"/>
  <c r="G230" i="29"/>
  <c r="G190" i="29"/>
  <c r="G189" i="29"/>
  <c r="G489" i="29" l="1"/>
  <c r="G97" i="29"/>
  <c r="G90" i="29"/>
  <c r="C89" i="29"/>
  <c r="G86" i="29"/>
  <c r="G85" i="29"/>
  <c r="G77" i="29"/>
  <c r="G76" i="29"/>
  <c r="G75" i="29"/>
  <c r="G69" i="29"/>
  <c r="G50" i="29"/>
  <c r="G39" i="29"/>
  <c r="G38" i="29"/>
  <c r="G37" i="29"/>
  <c r="G36" i="29"/>
  <c r="G35" i="29"/>
  <c r="G34" i="29"/>
  <c r="G33" i="29"/>
  <c r="G32" i="29"/>
  <c r="G31" i="29"/>
  <c r="G30" i="29"/>
  <c r="G15" i="29"/>
  <c r="G128" i="29" l="1"/>
  <c r="G116" i="29"/>
  <c r="C81" i="29" l="1"/>
  <c r="D83" i="29" s="1"/>
  <c r="C70" i="29"/>
  <c r="C55" i="29"/>
  <c r="C40" i="29"/>
  <c r="D44" i="29" s="1"/>
  <c r="C29" i="29"/>
  <c r="J486" i="29"/>
  <c r="J485" i="29"/>
  <c r="H485" i="29"/>
  <c r="E485" i="29"/>
  <c r="E484" i="29"/>
  <c r="J483" i="29"/>
  <c r="J482" i="29"/>
  <c r="H482" i="29"/>
  <c r="E482" i="29"/>
  <c r="D482" i="29"/>
  <c r="D485" i="29"/>
  <c r="C475" i="29"/>
  <c r="G475" i="29"/>
  <c r="J473" i="29"/>
  <c r="D473" i="29"/>
  <c r="D475" i="29" s="1"/>
  <c r="C472" i="29"/>
  <c r="D474" i="29" s="1"/>
  <c r="G461" i="29"/>
  <c r="J461" i="29" s="1"/>
  <c r="G460" i="29"/>
  <c r="J460" i="29" s="1"/>
  <c r="G459" i="29"/>
  <c r="J459" i="29" s="1"/>
  <c r="D459" i="29"/>
  <c r="G458" i="29"/>
  <c r="E458" i="29" s="1"/>
  <c r="G457" i="29"/>
  <c r="J457" i="29" s="1"/>
  <c r="G456" i="29"/>
  <c r="J456" i="29" s="1"/>
  <c r="E455" i="29"/>
  <c r="G453" i="29"/>
  <c r="J453" i="29" s="1"/>
  <c r="G452" i="29"/>
  <c r="J452" i="29" s="1"/>
  <c r="E451" i="29"/>
  <c r="J450" i="29"/>
  <c r="E450" i="29"/>
  <c r="G448" i="29"/>
  <c r="D450" i="29"/>
  <c r="C440" i="29"/>
  <c r="G439" i="29"/>
  <c r="J439" i="29" s="1"/>
  <c r="G438" i="29"/>
  <c r="E438" i="29" s="1"/>
  <c r="J436" i="29"/>
  <c r="C435" i="29"/>
  <c r="D436" i="29" s="1"/>
  <c r="C429" i="29"/>
  <c r="G428" i="29"/>
  <c r="H428" i="29" s="1"/>
  <c r="H427" i="29"/>
  <c r="J427" i="29"/>
  <c r="E427" i="29"/>
  <c r="C426" i="29"/>
  <c r="D428" i="29" s="1"/>
  <c r="I428" i="29" s="1"/>
  <c r="C419" i="29"/>
  <c r="G418" i="29"/>
  <c r="J418" i="29" s="1"/>
  <c r="G417" i="29"/>
  <c r="J417" i="29" s="1"/>
  <c r="D417" i="29"/>
  <c r="G415" i="29"/>
  <c r="J415" i="29" s="1"/>
  <c r="J414" i="29"/>
  <c r="G414" i="29"/>
  <c r="G413" i="29"/>
  <c r="J413" i="29" s="1"/>
  <c r="G412" i="29"/>
  <c r="J412" i="29" s="1"/>
  <c r="G411" i="29"/>
  <c r="J411" i="29" s="1"/>
  <c r="G410" i="29"/>
  <c r="E410" i="29" s="1"/>
  <c r="J409" i="29"/>
  <c r="G408" i="29"/>
  <c r="E408" i="29" s="1"/>
  <c r="H407" i="29"/>
  <c r="G407" i="29"/>
  <c r="E407" i="29" s="1"/>
  <c r="G406" i="29"/>
  <c r="H406" i="29" s="1"/>
  <c r="G403" i="29"/>
  <c r="J403" i="29" s="1"/>
  <c r="J402" i="29"/>
  <c r="H402" i="29"/>
  <c r="E402" i="29"/>
  <c r="G401" i="29"/>
  <c r="J401" i="29" s="1"/>
  <c r="G399" i="29"/>
  <c r="C398" i="29"/>
  <c r="D401" i="29" s="1"/>
  <c r="C391" i="29"/>
  <c r="G390" i="29"/>
  <c r="J390" i="29" s="1"/>
  <c r="G389" i="29"/>
  <c r="E389" i="29" s="1"/>
  <c r="J387" i="29"/>
  <c r="G387" i="29"/>
  <c r="E387" i="29" s="1"/>
  <c r="G386" i="29"/>
  <c r="E386" i="29" s="1"/>
  <c r="C385" i="29"/>
  <c r="D386" i="29" s="1"/>
  <c r="C379" i="29"/>
  <c r="G378" i="29"/>
  <c r="J378" i="29" s="1"/>
  <c r="G377" i="29"/>
  <c r="C376" i="29"/>
  <c r="D377" i="29" s="1"/>
  <c r="J368" i="29"/>
  <c r="G367" i="29"/>
  <c r="J367" i="29" s="1"/>
  <c r="D367" i="29"/>
  <c r="G363" i="29"/>
  <c r="J363" i="29" s="1"/>
  <c r="D363" i="29"/>
  <c r="G362" i="29"/>
  <c r="J362" i="29" s="1"/>
  <c r="D362" i="29"/>
  <c r="G361" i="29"/>
  <c r="J361" i="29" s="1"/>
  <c r="D361" i="29"/>
  <c r="G360" i="29"/>
  <c r="J360" i="29" s="1"/>
  <c r="G359" i="29"/>
  <c r="J359" i="29" s="1"/>
  <c r="G358" i="29"/>
  <c r="J358" i="29" s="1"/>
  <c r="G357" i="29"/>
  <c r="J357" i="29" s="1"/>
  <c r="G355" i="29"/>
  <c r="E355" i="29" s="1"/>
  <c r="G353" i="29"/>
  <c r="J351" i="29"/>
  <c r="G351" i="29"/>
  <c r="J350" i="29"/>
  <c r="G350" i="29"/>
  <c r="J349" i="29"/>
  <c r="G349" i="29"/>
  <c r="J348" i="29"/>
  <c r="G348" i="29"/>
  <c r="G347" i="29"/>
  <c r="J347" i="29" s="1"/>
  <c r="G345" i="29"/>
  <c r="E345" i="29" s="1"/>
  <c r="C344" i="29"/>
  <c r="D355" i="29" s="1"/>
  <c r="C337" i="29"/>
  <c r="G336" i="29"/>
  <c r="J336" i="29" s="1"/>
  <c r="G335" i="29"/>
  <c r="J335" i="29" s="1"/>
  <c r="G334" i="29"/>
  <c r="E334" i="29" s="1"/>
  <c r="H333" i="29"/>
  <c r="G333" i="29"/>
  <c r="J333" i="29" s="1"/>
  <c r="D333" i="29"/>
  <c r="C332" i="29"/>
  <c r="D334" i="29" s="1"/>
  <c r="C326" i="29"/>
  <c r="G325" i="29"/>
  <c r="J324" i="29"/>
  <c r="G324" i="29"/>
  <c r="E324" i="29" s="1"/>
  <c r="C323" i="29"/>
  <c r="D325" i="29" s="1"/>
  <c r="C316" i="29"/>
  <c r="G315" i="29"/>
  <c r="J315" i="29" s="1"/>
  <c r="G312" i="29"/>
  <c r="E312" i="29" s="1"/>
  <c r="J311" i="29"/>
  <c r="G311" i="29"/>
  <c r="D311" i="29"/>
  <c r="G310" i="29"/>
  <c r="J309" i="29"/>
  <c r="G309" i="29"/>
  <c r="E309" i="29" s="1"/>
  <c r="J308" i="29"/>
  <c r="H308" i="29"/>
  <c r="E308" i="29"/>
  <c r="G307" i="29"/>
  <c r="E307" i="29"/>
  <c r="H305" i="29"/>
  <c r="G305" i="29"/>
  <c r="E305" i="29" s="1"/>
  <c r="G303" i="29"/>
  <c r="J303" i="29" s="1"/>
  <c r="G302" i="29"/>
  <c r="G301" i="29"/>
  <c r="E301" i="29" s="1"/>
  <c r="G300" i="29"/>
  <c r="J300" i="29" s="1"/>
  <c r="G298" i="29"/>
  <c r="E298" i="29" s="1"/>
  <c r="C297" i="29"/>
  <c r="D301" i="29" s="1"/>
  <c r="C289" i="29"/>
  <c r="G288" i="29"/>
  <c r="J288" i="29" s="1"/>
  <c r="G287" i="29"/>
  <c r="J287" i="29" s="1"/>
  <c r="E286" i="29"/>
  <c r="G285" i="29"/>
  <c r="E285" i="29" s="1"/>
  <c r="G284" i="29"/>
  <c r="E284" i="29" s="1"/>
  <c r="C283" i="29"/>
  <c r="C277" i="29"/>
  <c r="J276" i="29"/>
  <c r="H276" i="29"/>
  <c r="E276" i="29"/>
  <c r="G275" i="29"/>
  <c r="E275" i="29" s="1"/>
  <c r="C274" i="29"/>
  <c r="J265" i="29"/>
  <c r="G263" i="29"/>
  <c r="J263" i="29" s="1"/>
  <c r="G262" i="29"/>
  <c r="E262" i="29"/>
  <c r="G261" i="29"/>
  <c r="J261" i="29" s="1"/>
  <c r="H260" i="29"/>
  <c r="G260" i="29"/>
  <c r="J260" i="29" s="1"/>
  <c r="E260" i="29"/>
  <c r="G259" i="29"/>
  <c r="E259" i="29" s="1"/>
  <c r="J258" i="29"/>
  <c r="E257" i="29"/>
  <c r="J255" i="29"/>
  <c r="G255" i="29"/>
  <c r="G254" i="29"/>
  <c r="E254" i="29" s="1"/>
  <c r="G253" i="29"/>
  <c r="H251" i="29"/>
  <c r="G251" i="29"/>
  <c r="J251" i="29" s="1"/>
  <c r="D262" i="29"/>
  <c r="G242" i="29"/>
  <c r="J242" i="29" s="1"/>
  <c r="G240" i="29"/>
  <c r="C240" i="29"/>
  <c r="C243" i="29" s="1"/>
  <c r="G239" i="29"/>
  <c r="J239" i="29" s="1"/>
  <c r="G238" i="29"/>
  <c r="E238" i="29" s="1"/>
  <c r="G229" i="29"/>
  <c r="C229" i="29"/>
  <c r="G228" i="29"/>
  <c r="C228" i="29"/>
  <c r="J218" i="29"/>
  <c r="G216" i="29"/>
  <c r="J216" i="29" s="1"/>
  <c r="G215" i="29"/>
  <c r="J215" i="29" s="1"/>
  <c r="G214" i="29"/>
  <c r="E214" i="29" s="1"/>
  <c r="G213" i="29"/>
  <c r="J213" i="29" s="1"/>
  <c r="G212" i="29"/>
  <c r="J212" i="29" s="1"/>
  <c r="G211" i="29"/>
  <c r="J211" i="29" s="1"/>
  <c r="J210" i="29"/>
  <c r="G210" i="29"/>
  <c r="E209" i="29"/>
  <c r="G208" i="29"/>
  <c r="E208" i="29" s="1"/>
  <c r="G207" i="29"/>
  <c r="J207" i="29" s="1"/>
  <c r="G206" i="29"/>
  <c r="E206" i="29" s="1"/>
  <c r="G204" i="29"/>
  <c r="J204" i="29" s="1"/>
  <c r="G202" i="29"/>
  <c r="E202" i="29" s="1"/>
  <c r="D209" i="29"/>
  <c r="C192" i="29"/>
  <c r="G191" i="29"/>
  <c r="J191" i="29" s="1"/>
  <c r="J190" i="29"/>
  <c r="H190" i="29"/>
  <c r="E190" i="29"/>
  <c r="E189" i="29"/>
  <c r="G188" i="29"/>
  <c r="C187" i="29"/>
  <c r="D189" i="29" s="1"/>
  <c r="C180" i="29"/>
  <c r="G179" i="29"/>
  <c r="G178" i="29"/>
  <c r="E178" i="29" s="1"/>
  <c r="D178" i="29"/>
  <c r="C177" i="29"/>
  <c r="D179" i="29" s="1"/>
  <c r="G166" i="29"/>
  <c r="J166" i="29" s="1"/>
  <c r="G165" i="29"/>
  <c r="J165" i="29" s="1"/>
  <c r="G164" i="29"/>
  <c r="J164" i="29" s="1"/>
  <c r="G163" i="29"/>
  <c r="J163" i="29" s="1"/>
  <c r="G162" i="29"/>
  <c r="J162" i="29" s="1"/>
  <c r="G161" i="29"/>
  <c r="H160" i="29"/>
  <c r="G160" i="29"/>
  <c r="E160" i="29" s="1"/>
  <c r="G159" i="29"/>
  <c r="G157" i="29"/>
  <c r="J157" i="29" s="1"/>
  <c r="G156" i="29"/>
  <c r="J156" i="29" s="1"/>
  <c r="G155" i="29"/>
  <c r="J155" i="29" s="1"/>
  <c r="G154" i="29"/>
  <c r="E154" i="29" s="1"/>
  <c r="G152" i="29"/>
  <c r="E152" i="29" s="1"/>
  <c r="C151" i="29"/>
  <c r="G138" i="29"/>
  <c r="J138" i="29" s="1"/>
  <c r="J137" i="29"/>
  <c r="H137" i="29"/>
  <c r="E137" i="29"/>
  <c r="G136" i="29"/>
  <c r="E136" i="29" s="1"/>
  <c r="D136" i="29"/>
  <c r="E135" i="29"/>
  <c r="G134" i="29"/>
  <c r="E134" i="29" s="1"/>
  <c r="G133" i="29"/>
  <c r="E133" i="29" s="1"/>
  <c r="J130" i="29"/>
  <c r="H130" i="29"/>
  <c r="E130" i="29"/>
  <c r="J128" i="29"/>
  <c r="H128" i="29"/>
  <c r="E128" i="29"/>
  <c r="E127" i="29"/>
  <c r="G126" i="29"/>
  <c r="J126" i="29" s="1"/>
  <c r="G125" i="29"/>
  <c r="E125" i="29" s="1"/>
  <c r="G124" i="29"/>
  <c r="G122" i="29"/>
  <c r="J122" i="29" s="1"/>
  <c r="E120" i="29"/>
  <c r="J117" i="29"/>
  <c r="E116" i="29"/>
  <c r="J115" i="29"/>
  <c r="J114" i="29"/>
  <c r="H114" i="29"/>
  <c r="E114" i="29"/>
  <c r="G113" i="29"/>
  <c r="E113" i="29" s="1"/>
  <c r="G112" i="29"/>
  <c r="G111" i="29"/>
  <c r="J111" i="29" s="1"/>
  <c r="H109" i="29"/>
  <c r="G109" i="29"/>
  <c r="J109" i="29" s="1"/>
  <c r="E109" i="29"/>
  <c r="D135" i="29"/>
  <c r="D97" i="29"/>
  <c r="J96" i="29"/>
  <c r="H96" i="29"/>
  <c r="E96" i="29"/>
  <c r="D96" i="29"/>
  <c r="J95" i="29"/>
  <c r="J93" i="29"/>
  <c r="J91" i="29"/>
  <c r="J90" i="29"/>
  <c r="J89" i="29"/>
  <c r="C87" i="29"/>
  <c r="J86" i="29"/>
  <c r="E86" i="29"/>
  <c r="J85" i="29"/>
  <c r="H85" i="29"/>
  <c r="E85" i="29"/>
  <c r="J84" i="29"/>
  <c r="G84" i="29"/>
  <c r="E84" i="29" s="1"/>
  <c r="G82" i="29"/>
  <c r="J82" i="29" s="1"/>
  <c r="D85" i="29"/>
  <c r="G79" i="29"/>
  <c r="H79" i="29" s="1"/>
  <c r="C78" i="29"/>
  <c r="D79" i="29" s="1"/>
  <c r="J77" i="29"/>
  <c r="H77" i="29"/>
  <c r="E77" i="29"/>
  <c r="J76" i="29"/>
  <c r="H76" i="29"/>
  <c r="E76" i="29"/>
  <c r="C74" i="29"/>
  <c r="D76" i="29" s="1"/>
  <c r="G72" i="29"/>
  <c r="G71" i="29"/>
  <c r="E71" i="29" s="1"/>
  <c r="D71" i="29"/>
  <c r="J69" i="29"/>
  <c r="J68" i="29"/>
  <c r="J67" i="29"/>
  <c r="C66" i="29"/>
  <c r="J65" i="29"/>
  <c r="J63" i="29"/>
  <c r="J62" i="29"/>
  <c r="J61" i="29"/>
  <c r="G60" i="29"/>
  <c r="J60" i="29" s="1"/>
  <c r="C59" i="29"/>
  <c r="H59" i="29" s="1"/>
  <c r="J57" i="29"/>
  <c r="H57" i="29"/>
  <c r="E57" i="29"/>
  <c r="J56" i="29"/>
  <c r="H56" i="29"/>
  <c r="E56" i="29"/>
  <c r="D54" i="29"/>
  <c r="J51" i="29"/>
  <c r="J50" i="29"/>
  <c r="H50" i="29"/>
  <c r="E50" i="29"/>
  <c r="J49" i="29"/>
  <c r="H49" i="29"/>
  <c r="E49" i="29"/>
  <c r="G48" i="29"/>
  <c r="H48" i="29" s="1"/>
  <c r="J47" i="29"/>
  <c r="G46" i="29"/>
  <c r="J46" i="29" s="1"/>
  <c r="C45" i="29"/>
  <c r="D48" i="29" s="1"/>
  <c r="G44" i="29"/>
  <c r="J44" i="29" s="1"/>
  <c r="G43" i="29"/>
  <c r="G42" i="29"/>
  <c r="E42" i="29" s="1"/>
  <c r="J41" i="29"/>
  <c r="H41" i="29"/>
  <c r="J39" i="29"/>
  <c r="H39" i="29"/>
  <c r="E39" i="29"/>
  <c r="J38" i="29"/>
  <c r="H38" i="29"/>
  <c r="E38" i="29"/>
  <c r="D38" i="29"/>
  <c r="J37" i="29"/>
  <c r="H37" i="29"/>
  <c r="E37" i="29"/>
  <c r="D37" i="29"/>
  <c r="D36" i="29"/>
  <c r="J35" i="29"/>
  <c r="E35" i="29"/>
  <c r="D35" i="29"/>
  <c r="J34" i="29"/>
  <c r="H34" i="29"/>
  <c r="I34" i="29" s="1"/>
  <c r="E34" i="29"/>
  <c r="D34" i="29"/>
  <c r="J33" i="29"/>
  <c r="H33" i="29"/>
  <c r="E33" i="29"/>
  <c r="D33" i="29"/>
  <c r="D32" i="29"/>
  <c r="J31" i="29"/>
  <c r="E31" i="29"/>
  <c r="D31" i="29"/>
  <c r="J30" i="29"/>
  <c r="H30" i="29"/>
  <c r="I30" i="29" s="1"/>
  <c r="E30" i="29"/>
  <c r="D30" i="29"/>
  <c r="G27" i="29"/>
  <c r="J27" i="29" s="1"/>
  <c r="G26" i="29"/>
  <c r="E26" i="29" s="1"/>
  <c r="G25" i="29"/>
  <c r="H25" i="29" s="1"/>
  <c r="J24" i="29"/>
  <c r="G24" i="29"/>
  <c r="H24" i="29" s="1"/>
  <c r="J23" i="29"/>
  <c r="G22" i="29"/>
  <c r="J22" i="29" s="1"/>
  <c r="D24" i="29"/>
  <c r="G20" i="29"/>
  <c r="J20" i="29" s="1"/>
  <c r="G19" i="29"/>
  <c r="J19" i="29" s="1"/>
  <c r="G18" i="29"/>
  <c r="J18" i="29" s="1"/>
  <c r="J17" i="29"/>
  <c r="J15" i="29"/>
  <c r="G14" i="29"/>
  <c r="J14" i="29" s="1"/>
  <c r="G13" i="29"/>
  <c r="E13" i="29" s="1"/>
  <c r="G12" i="29"/>
  <c r="C11" i="29"/>
  <c r="F30" i="29" l="1"/>
  <c r="F31" i="29"/>
  <c r="F34" i="29"/>
  <c r="F35" i="29"/>
  <c r="F38" i="29"/>
  <c r="I48" i="29"/>
  <c r="H155" i="29"/>
  <c r="I155" i="29" s="1"/>
  <c r="H202" i="29"/>
  <c r="C237" i="29"/>
  <c r="D241" i="29" s="1"/>
  <c r="E287" i="29"/>
  <c r="H335" i="29"/>
  <c r="H355" i="29"/>
  <c r="H378" i="29"/>
  <c r="J389" i="29"/>
  <c r="E44" i="29"/>
  <c r="I79" i="29"/>
  <c r="H125" i="29"/>
  <c r="G192" i="29"/>
  <c r="J285" i="29"/>
  <c r="H287" i="29"/>
  <c r="J305" i="29"/>
  <c r="D389" i="29"/>
  <c r="G440" i="29"/>
  <c r="J458" i="29"/>
  <c r="E41" i="29"/>
  <c r="J42" i="29"/>
  <c r="H44" i="29"/>
  <c r="H178" i="29"/>
  <c r="J228" i="29"/>
  <c r="F262" i="29"/>
  <c r="D335" i="29"/>
  <c r="I335" i="29" s="1"/>
  <c r="J386" i="29"/>
  <c r="J407" i="29"/>
  <c r="J410" i="29"/>
  <c r="D438" i="29"/>
  <c r="H122" i="29"/>
  <c r="F85" i="29"/>
  <c r="I96" i="29"/>
  <c r="E122" i="29"/>
  <c r="J209" i="29"/>
  <c r="E240" i="29"/>
  <c r="I355" i="29"/>
  <c r="E378" i="29"/>
  <c r="H450" i="29"/>
  <c r="F482" i="29"/>
  <c r="J134" i="29"/>
  <c r="D337" i="29"/>
  <c r="J154" i="29"/>
  <c r="E24" i="29"/>
  <c r="E25" i="29"/>
  <c r="J26" i="29"/>
  <c r="I38" i="29"/>
  <c r="J48" i="29"/>
  <c r="E60" i="29"/>
  <c r="F71" i="29"/>
  <c r="E79" i="29"/>
  <c r="F79" i="29" s="1"/>
  <c r="H84" i="29"/>
  <c r="H113" i="29"/>
  <c r="J125" i="29"/>
  <c r="J136" i="29"/>
  <c r="E155" i="29"/>
  <c r="F155" i="29" s="1"/>
  <c r="J160" i="29"/>
  <c r="J178" i="29"/>
  <c r="D188" i="29"/>
  <c r="J202" i="29"/>
  <c r="E207" i="29"/>
  <c r="H209" i="29"/>
  <c r="I209" i="29" s="1"/>
  <c r="H238" i="29"/>
  <c r="H240" i="29"/>
  <c r="G243" i="29"/>
  <c r="H254" i="29"/>
  <c r="H309" i="29"/>
  <c r="H324" i="29"/>
  <c r="E335" i="29"/>
  <c r="F335" i="29" s="1"/>
  <c r="E347" i="29"/>
  <c r="J355" i="29"/>
  <c r="G391" i="29"/>
  <c r="D388" i="29"/>
  <c r="H389" i="29"/>
  <c r="E401" i="29"/>
  <c r="E406" i="29"/>
  <c r="J408" i="29"/>
  <c r="D427" i="29"/>
  <c r="D429" i="29" s="1"/>
  <c r="E428" i="29"/>
  <c r="H438" i="29"/>
  <c r="H451" i="29"/>
  <c r="E457" i="29"/>
  <c r="J238" i="29"/>
  <c r="D240" i="29"/>
  <c r="I240" i="29" s="1"/>
  <c r="J240" i="29"/>
  <c r="G429" i="29"/>
  <c r="J438" i="29"/>
  <c r="J451" i="29"/>
  <c r="J113" i="29"/>
  <c r="D190" i="29"/>
  <c r="F190" i="29" s="1"/>
  <c r="J254" i="29"/>
  <c r="J13" i="29"/>
  <c r="J25" i="29"/>
  <c r="E48" i="29"/>
  <c r="H60" i="29"/>
  <c r="J71" i="29"/>
  <c r="J79" i="29"/>
  <c r="F96" i="29"/>
  <c r="H134" i="29"/>
  <c r="H154" i="29"/>
  <c r="H188" i="29"/>
  <c r="H207" i="29"/>
  <c r="E229" i="29"/>
  <c r="D238" i="29"/>
  <c r="D243" i="29" s="1"/>
  <c r="H285" i="29"/>
  <c r="H301" i="29"/>
  <c r="I301" i="29" s="1"/>
  <c r="D324" i="29"/>
  <c r="F324" i="29" s="1"/>
  <c r="G326" i="29"/>
  <c r="G337" i="29"/>
  <c r="H347" i="29"/>
  <c r="H401" i="29"/>
  <c r="I401" i="29" s="1"/>
  <c r="J406" i="29"/>
  <c r="J455" i="29"/>
  <c r="H457" i="29"/>
  <c r="J188" i="29"/>
  <c r="J301" i="29"/>
  <c r="J428" i="29"/>
  <c r="D251" i="29"/>
  <c r="I251" i="29" s="1"/>
  <c r="D254" i="29"/>
  <c r="D260" i="29"/>
  <c r="I260" i="29" s="1"/>
  <c r="F136" i="29"/>
  <c r="F189" i="29"/>
  <c r="D133" i="29"/>
  <c r="D60" i="29"/>
  <c r="I60" i="29" s="1"/>
  <c r="D50" i="29"/>
  <c r="F50" i="29" s="1"/>
  <c r="D84" i="29"/>
  <c r="F84" i="29" s="1"/>
  <c r="D43" i="29"/>
  <c r="D41" i="29"/>
  <c r="F41" i="29" s="1"/>
  <c r="I76" i="29"/>
  <c r="F76" i="29"/>
  <c r="F24" i="29"/>
  <c r="I24" i="29"/>
  <c r="J83" i="29"/>
  <c r="E83" i="29"/>
  <c r="H83" i="29"/>
  <c r="I83" i="29" s="1"/>
  <c r="I85" i="29"/>
  <c r="C9" i="29"/>
  <c r="D13" i="29"/>
  <c r="D25" i="29"/>
  <c r="D26" i="29"/>
  <c r="F48" i="29"/>
  <c r="D57" i="29"/>
  <c r="D56" i="29"/>
  <c r="J75" i="29"/>
  <c r="H75" i="29"/>
  <c r="E75" i="29"/>
  <c r="I84" i="29"/>
  <c r="G98" i="29"/>
  <c r="J112" i="29"/>
  <c r="H112" i="29"/>
  <c r="E112" i="29"/>
  <c r="I37" i="29"/>
  <c r="F37" i="29"/>
  <c r="F33" i="29"/>
  <c r="I33" i="29"/>
  <c r="F44" i="29"/>
  <c r="I44" i="29"/>
  <c r="J54" i="29"/>
  <c r="E54" i="29"/>
  <c r="F54" i="29" s="1"/>
  <c r="H54" i="29"/>
  <c r="D77" i="29"/>
  <c r="D75" i="29"/>
  <c r="J97" i="29"/>
  <c r="E97" i="29"/>
  <c r="F97" i="29" s="1"/>
  <c r="H97" i="29"/>
  <c r="I97" i="29" s="1"/>
  <c r="J32" i="29"/>
  <c r="E32" i="29"/>
  <c r="F32" i="29" s="1"/>
  <c r="H32" i="29"/>
  <c r="I32" i="29" s="1"/>
  <c r="J36" i="29"/>
  <c r="E36" i="29"/>
  <c r="F36" i="29" s="1"/>
  <c r="H36" i="29"/>
  <c r="I36" i="29" s="1"/>
  <c r="J43" i="29"/>
  <c r="E43" i="29"/>
  <c r="H43" i="29"/>
  <c r="J72" i="29"/>
  <c r="H72" i="29"/>
  <c r="E72" i="29"/>
  <c r="F83" i="29"/>
  <c r="H253" i="29"/>
  <c r="J253" i="29"/>
  <c r="F386" i="29"/>
  <c r="H133" i="29"/>
  <c r="J133" i="29"/>
  <c r="J135" i="29"/>
  <c r="H135" i="29"/>
  <c r="I135" i="29" s="1"/>
  <c r="D159" i="29"/>
  <c r="D152" i="29"/>
  <c r="D161" i="29"/>
  <c r="D154" i="29"/>
  <c r="D192" i="29"/>
  <c r="J206" i="29"/>
  <c r="H206" i="29"/>
  <c r="F209" i="29"/>
  <c r="C227" i="29"/>
  <c r="D229" i="29" s="1"/>
  <c r="H124" i="29"/>
  <c r="J124" i="29"/>
  <c r="J161" i="29"/>
  <c r="H161" i="29"/>
  <c r="H200" i="29"/>
  <c r="J200" i="29"/>
  <c r="H241" i="29"/>
  <c r="I241" i="29" s="1"/>
  <c r="J241" i="29"/>
  <c r="D72" i="29"/>
  <c r="H13" i="29"/>
  <c r="H31" i="29"/>
  <c r="I31" i="29" s="1"/>
  <c r="H35" i="29"/>
  <c r="I35" i="29" s="1"/>
  <c r="D42" i="29"/>
  <c r="H42" i="29"/>
  <c r="D49" i="29"/>
  <c r="I54" i="29"/>
  <c r="H71" i="29"/>
  <c r="I71" i="29" s="1"/>
  <c r="D86" i="29"/>
  <c r="H86" i="29"/>
  <c r="J116" i="29"/>
  <c r="H127" i="29"/>
  <c r="J127" i="29"/>
  <c r="D160" i="29"/>
  <c r="I178" i="29"/>
  <c r="D180" i="29"/>
  <c r="D208" i="29"/>
  <c r="D200" i="29"/>
  <c r="D214" i="29"/>
  <c r="D206" i="29"/>
  <c r="D202" i="29"/>
  <c r="H208" i="29"/>
  <c r="J208" i="29"/>
  <c r="J214" i="29"/>
  <c r="H214" i="29"/>
  <c r="J229" i="29"/>
  <c r="H229" i="29"/>
  <c r="C231" i="29"/>
  <c r="H262" i="29"/>
  <c r="I262" i="29" s="1"/>
  <c r="J262" i="29"/>
  <c r="J275" i="29"/>
  <c r="G277" i="29"/>
  <c r="H275" i="29"/>
  <c r="J310" i="29"/>
  <c r="H310" i="29"/>
  <c r="E310" i="29"/>
  <c r="D326" i="29"/>
  <c r="I324" i="29"/>
  <c r="H353" i="29"/>
  <c r="J353" i="29"/>
  <c r="E353" i="29"/>
  <c r="J377" i="29"/>
  <c r="E377" i="29"/>
  <c r="F377" i="29" s="1"/>
  <c r="G379" i="29"/>
  <c r="H377" i="29"/>
  <c r="F401" i="29"/>
  <c r="J448" i="29"/>
  <c r="E448" i="29"/>
  <c r="H448" i="29"/>
  <c r="H159" i="29"/>
  <c r="J159" i="29"/>
  <c r="J179" i="29"/>
  <c r="H179" i="29"/>
  <c r="I179" i="29" s="1"/>
  <c r="D276" i="29"/>
  <c r="D275" i="29"/>
  <c r="F485" i="29"/>
  <c r="I485" i="29"/>
  <c r="H116" i="29"/>
  <c r="H26" i="29"/>
  <c r="F135" i="29"/>
  <c r="J120" i="29"/>
  <c r="H120" i="29"/>
  <c r="E124" i="29"/>
  <c r="H152" i="29"/>
  <c r="J152" i="29"/>
  <c r="E159" i="29"/>
  <c r="E161" i="29"/>
  <c r="F178" i="29"/>
  <c r="E179" i="29"/>
  <c r="F179" i="29" s="1"/>
  <c r="G180" i="29"/>
  <c r="H189" i="29"/>
  <c r="I189" i="29" s="1"/>
  <c r="J189" i="29"/>
  <c r="E200" i="29"/>
  <c r="D207" i="29"/>
  <c r="G231" i="29"/>
  <c r="E241" i="29"/>
  <c r="F241" i="29" s="1"/>
  <c r="E253" i="29"/>
  <c r="H257" i="29"/>
  <c r="J257" i="29"/>
  <c r="H259" i="29"/>
  <c r="J259" i="29"/>
  <c r="J302" i="29"/>
  <c r="H302" i="29"/>
  <c r="E302" i="29"/>
  <c r="J356" i="29"/>
  <c r="H356" i="29"/>
  <c r="E356" i="29"/>
  <c r="F427" i="29"/>
  <c r="I427" i="29"/>
  <c r="E188" i="29"/>
  <c r="F188" i="29" s="1"/>
  <c r="E251" i="29"/>
  <c r="G289" i="29"/>
  <c r="H284" i="29"/>
  <c r="J284" i="29"/>
  <c r="J286" i="29"/>
  <c r="H286" i="29"/>
  <c r="D312" i="29"/>
  <c r="D310" i="29"/>
  <c r="D307" i="29"/>
  <c r="D302" i="29"/>
  <c r="D298" i="29"/>
  <c r="J307" i="29"/>
  <c r="H307" i="29"/>
  <c r="D309" i="29"/>
  <c r="E325" i="29"/>
  <c r="F325" i="29" s="1"/>
  <c r="J334" i="29"/>
  <c r="H334" i="29"/>
  <c r="D353" i="29"/>
  <c r="D356" i="29"/>
  <c r="D345" i="29"/>
  <c r="D347" i="29"/>
  <c r="D378" i="29"/>
  <c r="J388" i="29"/>
  <c r="E388" i="29"/>
  <c r="H388" i="29"/>
  <c r="F450" i="29"/>
  <c r="I450" i="29"/>
  <c r="H312" i="29"/>
  <c r="J312" i="29"/>
  <c r="H325" i="29"/>
  <c r="I325" i="29" s="1"/>
  <c r="J325" i="29"/>
  <c r="F334" i="29"/>
  <c r="I334" i="29"/>
  <c r="F389" i="29"/>
  <c r="I389" i="29"/>
  <c r="D406" i="29"/>
  <c r="D402" i="29"/>
  <c r="D410" i="29"/>
  <c r="D408" i="29"/>
  <c r="D399" i="29"/>
  <c r="J437" i="29"/>
  <c r="E437" i="29"/>
  <c r="H437" i="29"/>
  <c r="D253" i="29"/>
  <c r="D257" i="29"/>
  <c r="D259" i="29"/>
  <c r="D284" i="29"/>
  <c r="D286" i="29"/>
  <c r="D285" i="29"/>
  <c r="D287" i="29"/>
  <c r="J298" i="29"/>
  <c r="H298" i="29"/>
  <c r="F301" i="29"/>
  <c r="D305" i="29"/>
  <c r="D308" i="29"/>
  <c r="I333" i="29"/>
  <c r="J345" i="29"/>
  <c r="H345" i="29"/>
  <c r="F355" i="29"/>
  <c r="I377" i="29"/>
  <c r="J399" i="29"/>
  <c r="E399" i="29"/>
  <c r="H399" i="29"/>
  <c r="F428" i="29"/>
  <c r="F438" i="29"/>
  <c r="I438" i="29"/>
  <c r="D457" i="29"/>
  <c r="D451" i="29"/>
  <c r="D458" i="29"/>
  <c r="D455" i="29"/>
  <c r="D448" i="29"/>
  <c r="J474" i="29"/>
  <c r="D484" i="29"/>
  <c r="D489" i="29" s="1"/>
  <c r="H484" i="29"/>
  <c r="D437" i="29"/>
  <c r="I482" i="29"/>
  <c r="D387" i="29"/>
  <c r="D391" i="29" s="1"/>
  <c r="H387" i="29"/>
  <c r="I388" i="29"/>
  <c r="H408" i="29"/>
  <c r="H410" i="29"/>
  <c r="H436" i="29"/>
  <c r="I436" i="29" s="1"/>
  <c r="H455" i="29"/>
  <c r="H458" i="29"/>
  <c r="H474" i="29"/>
  <c r="I474" i="29" s="1"/>
  <c r="J484" i="29"/>
  <c r="E333" i="29"/>
  <c r="F333" i="29" s="1"/>
  <c r="H386" i="29"/>
  <c r="I386" i="29" s="1"/>
  <c r="E436" i="29"/>
  <c r="F436" i="29" s="1"/>
  <c r="E474" i="29"/>
  <c r="F474" i="29" s="1"/>
  <c r="C439" i="28"/>
  <c r="G438" i="28"/>
  <c r="J438" i="28" s="1"/>
  <c r="G437" i="28"/>
  <c r="G439" i="28" s="1"/>
  <c r="E437" i="28"/>
  <c r="J436" i="28"/>
  <c r="H436" i="28"/>
  <c r="G436" i="28"/>
  <c r="E436" i="28" s="1"/>
  <c r="J435" i="28"/>
  <c r="J434" i="28"/>
  <c r="H434" i="28"/>
  <c r="E434" i="28"/>
  <c r="C433" i="28"/>
  <c r="D434" i="28" s="1"/>
  <c r="G427" i="28"/>
  <c r="C427" i="28"/>
  <c r="J426" i="28"/>
  <c r="H426" i="28"/>
  <c r="G426" i="28"/>
  <c r="E426" i="28"/>
  <c r="D426" i="28"/>
  <c r="F426" i="28" s="1"/>
  <c r="J425" i="28"/>
  <c r="D425" i="28"/>
  <c r="D427" i="28" s="1"/>
  <c r="C424" i="28"/>
  <c r="C417" i="28"/>
  <c r="G416" i="28"/>
  <c r="J416" i="28" s="1"/>
  <c r="G415" i="28"/>
  <c r="J415" i="28" s="1"/>
  <c r="G414" i="28"/>
  <c r="J414" i="28" s="1"/>
  <c r="D414" i="28"/>
  <c r="J413" i="28"/>
  <c r="H413" i="28"/>
  <c r="G413" i="28"/>
  <c r="E413" i="28"/>
  <c r="G412" i="28"/>
  <c r="J412" i="28" s="1"/>
  <c r="E412" i="28"/>
  <c r="J411" i="28"/>
  <c r="G411" i="28"/>
  <c r="J410" i="28"/>
  <c r="H410" i="28"/>
  <c r="G410" i="28"/>
  <c r="E410" i="28"/>
  <c r="G409" i="28"/>
  <c r="J409" i="28" s="1"/>
  <c r="G408" i="28"/>
  <c r="J408" i="28" s="1"/>
  <c r="G407" i="28"/>
  <c r="J407" i="28" s="1"/>
  <c r="E407" i="28"/>
  <c r="J406" i="28"/>
  <c r="H406" i="28"/>
  <c r="G406" i="28"/>
  <c r="E406" i="28" s="1"/>
  <c r="G405" i="28"/>
  <c r="G417" i="28" s="1"/>
  <c r="C404" i="28"/>
  <c r="D413" i="28" s="1"/>
  <c r="C397" i="28"/>
  <c r="J396" i="28"/>
  <c r="G396" i="28"/>
  <c r="J395" i="28"/>
  <c r="H395" i="28"/>
  <c r="G395" i="28"/>
  <c r="E395" i="28" s="1"/>
  <c r="D395" i="28"/>
  <c r="F395" i="28" s="1"/>
  <c r="G394" i="28"/>
  <c r="E394" i="28" s="1"/>
  <c r="J393" i="28"/>
  <c r="H393" i="28"/>
  <c r="G393" i="28"/>
  <c r="G397" i="28" s="1"/>
  <c r="F393" i="28"/>
  <c r="E393" i="28"/>
  <c r="D393" i="28"/>
  <c r="C392" i="28"/>
  <c r="D394" i="28" s="1"/>
  <c r="G386" i="28"/>
  <c r="C386" i="28"/>
  <c r="G385" i="28"/>
  <c r="J385" i="28" s="1"/>
  <c r="E385" i="28"/>
  <c r="J384" i="28"/>
  <c r="H384" i="28"/>
  <c r="G384" i="28"/>
  <c r="E384" i="28" s="1"/>
  <c r="D384" i="28"/>
  <c r="F384" i="28" s="1"/>
  <c r="C383" i="28"/>
  <c r="D385" i="28" s="1"/>
  <c r="C376" i="28"/>
  <c r="G375" i="28"/>
  <c r="J375" i="28" s="1"/>
  <c r="G374" i="28"/>
  <c r="J374" i="28" s="1"/>
  <c r="D374" i="28"/>
  <c r="J373" i="28"/>
  <c r="G373" i="28"/>
  <c r="J372" i="28"/>
  <c r="G372" i="28"/>
  <c r="J371" i="28"/>
  <c r="G371" i="28"/>
  <c r="J370" i="28"/>
  <c r="G370" i="28"/>
  <c r="J369" i="28"/>
  <c r="G369" i="28"/>
  <c r="J368" i="28"/>
  <c r="H368" i="28"/>
  <c r="G368" i="28"/>
  <c r="E368" i="28"/>
  <c r="J367" i="28"/>
  <c r="J366" i="28"/>
  <c r="H366" i="28"/>
  <c r="G366" i="28"/>
  <c r="E366" i="28"/>
  <c r="H365" i="28"/>
  <c r="G365" i="28"/>
  <c r="J365" i="28" s="1"/>
  <c r="E365" i="28"/>
  <c r="G364" i="28"/>
  <c r="J364" i="28" s="1"/>
  <c r="E364" i="28"/>
  <c r="J363" i="28"/>
  <c r="G363" i="28"/>
  <c r="J362" i="28"/>
  <c r="H362" i="28"/>
  <c r="E362" i="28"/>
  <c r="J361" i="28"/>
  <c r="H361" i="28"/>
  <c r="G361" i="28"/>
  <c r="E361" i="28" s="1"/>
  <c r="G360" i="28"/>
  <c r="C359" i="28"/>
  <c r="C352" i="28"/>
  <c r="J351" i="28"/>
  <c r="G351" i="28"/>
  <c r="J350" i="28"/>
  <c r="H350" i="28"/>
  <c r="G350" i="28"/>
  <c r="E350" i="28"/>
  <c r="D350" i="28"/>
  <c r="G349" i="28"/>
  <c r="J348" i="28"/>
  <c r="H348" i="28"/>
  <c r="G348" i="28"/>
  <c r="E348" i="28" s="1"/>
  <c r="G347" i="28"/>
  <c r="J347" i="28" s="1"/>
  <c r="E347" i="28"/>
  <c r="C346" i="28"/>
  <c r="D348" i="28" s="1"/>
  <c r="I348" i="28" s="1"/>
  <c r="C340" i="28"/>
  <c r="J339" i="28"/>
  <c r="H339" i="28"/>
  <c r="G339" i="28"/>
  <c r="E339" i="28"/>
  <c r="D339" i="28"/>
  <c r="G338" i="28"/>
  <c r="C337" i="28"/>
  <c r="D338" i="28" s="1"/>
  <c r="C330" i="28"/>
  <c r="J329" i="28"/>
  <c r="G328" i="28"/>
  <c r="J328" i="28" s="1"/>
  <c r="D328" i="28"/>
  <c r="J327" i="28"/>
  <c r="G327" i="28"/>
  <c r="D327" i="28"/>
  <c r="G326" i="28"/>
  <c r="J326" i="28" s="1"/>
  <c r="D326" i="28"/>
  <c r="G325" i="28"/>
  <c r="J325" i="28" s="1"/>
  <c r="D325" i="28"/>
  <c r="G324" i="28"/>
  <c r="J324" i="28" s="1"/>
  <c r="G323" i="28"/>
  <c r="J323" i="28" s="1"/>
  <c r="G322" i="28"/>
  <c r="J322" i="28" s="1"/>
  <c r="G321" i="28"/>
  <c r="J321" i="28" s="1"/>
  <c r="G320" i="28"/>
  <c r="J319" i="28"/>
  <c r="G319" i="28"/>
  <c r="H319" i="28" s="1"/>
  <c r="J318" i="28"/>
  <c r="G318" i="28"/>
  <c r="H318" i="28" s="1"/>
  <c r="E318" i="28"/>
  <c r="G317" i="28"/>
  <c r="J317" i="28" s="1"/>
  <c r="J316" i="28"/>
  <c r="G316" i="28"/>
  <c r="G315" i="28"/>
  <c r="J315" i="28" s="1"/>
  <c r="J314" i="28"/>
  <c r="G314" i="28"/>
  <c r="J313" i="28"/>
  <c r="H313" i="28"/>
  <c r="G313" i="28"/>
  <c r="E313" i="28"/>
  <c r="D313" i="28"/>
  <c r="G312" i="28"/>
  <c r="C311" i="28"/>
  <c r="C304" i="28"/>
  <c r="J303" i="28"/>
  <c r="G303" i="28"/>
  <c r="J302" i="28"/>
  <c r="H302" i="28"/>
  <c r="G302" i="28"/>
  <c r="E302" i="28"/>
  <c r="D302" i="28"/>
  <c r="G301" i="28"/>
  <c r="J300" i="28"/>
  <c r="G300" i="28"/>
  <c r="H300" i="28" s="1"/>
  <c r="C299" i="28"/>
  <c r="D300" i="28" s="1"/>
  <c r="G293" i="28"/>
  <c r="C293" i="28"/>
  <c r="J292" i="28"/>
  <c r="G292" i="28"/>
  <c r="H292" i="28" s="1"/>
  <c r="E292" i="28"/>
  <c r="H291" i="28"/>
  <c r="G291" i="28"/>
  <c r="J291" i="28" s="1"/>
  <c r="E291" i="28"/>
  <c r="D291" i="28"/>
  <c r="C290" i="28"/>
  <c r="D292" i="28" s="1"/>
  <c r="F292" i="28" s="1"/>
  <c r="C283" i="28"/>
  <c r="J282" i="28"/>
  <c r="G282" i="28"/>
  <c r="J281" i="28"/>
  <c r="H281" i="28"/>
  <c r="G281" i="28"/>
  <c r="E281" i="28"/>
  <c r="G280" i="28"/>
  <c r="J280" i="28" s="1"/>
  <c r="D280" i="28"/>
  <c r="G279" i="28"/>
  <c r="J278" i="28"/>
  <c r="G278" i="28"/>
  <c r="H278" i="28" s="1"/>
  <c r="J277" i="28"/>
  <c r="H277" i="28"/>
  <c r="E277" i="28"/>
  <c r="G276" i="28"/>
  <c r="J275" i="28"/>
  <c r="G275" i="28"/>
  <c r="H275" i="28" s="1"/>
  <c r="G274" i="28"/>
  <c r="J274" i="28" s="1"/>
  <c r="G273" i="28"/>
  <c r="J272" i="28"/>
  <c r="G272" i="28"/>
  <c r="H272" i="28" s="1"/>
  <c r="G271" i="28"/>
  <c r="J271" i="28" s="1"/>
  <c r="G270" i="28"/>
  <c r="C269" i="28"/>
  <c r="C261" i="28"/>
  <c r="J260" i="28"/>
  <c r="G260" i="28"/>
  <c r="H259" i="28"/>
  <c r="G259" i="28"/>
  <c r="J259" i="28" s="1"/>
  <c r="E259" i="28"/>
  <c r="D259" i="28"/>
  <c r="G258" i="28"/>
  <c r="D258" i="28"/>
  <c r="J257" i="28"/>
  <c r="G257" i="28"/>
  <c r="H257" i="28" s="1"/>
  <c r="J256" i="28"/>
  <c r="I256" i="28"/>
  <c r="H256" i="28"/>
  <c r="G256" i="28"/>
  <c r="G261" i="28" s="1"/>
  <c r="E256" i="28"/>
  <c r="F256" i="28" s="1"/>
  <c r="D256" i="28"/>
  <c r="D261" i="28" s="1"/>
  <c r="C255" i="28"/>
  <c r="D257" i="28" s="1"/>
  <c r="I257" i="28" s="1"/>
  <c r="C249" i="28"/>
  <c r="H248" i="28"/>
  <c r="G248" i="28"/>
  <c r="J248" i="28" s="1"/>
  <c r="E248" i="28"/>
  <c r="H247" i="28"/>
  <c r="G247" i="28"/>
  <c r="D247" i="28"/>
  <c r="C246" i="28"/>
  <c r="D248" i="28" s="1"/>
  <c r="C239" i="28"/>
  <c r="J238" i="28"/>
  <c r="J237" i="28"/>
  <c r="G237" i="28"/>
  <c r="J236" i="28"/>
  <c r="H236" i="28"/>
  <c r="G236" i="28"/>
  <c r="E236" i="28"/>
  <c r="G235" i="28"/>
  <c r="J235" i="28" s="1"/>
  <c r="G234" i="28"/>
  <c r="H234" i="28" s="1"/>
  <c r="J233" i="28"/>
  <c r="H233" i="28"/>
  <c r="G233" i="28"/>
  <c r="E233" i="28"/>
  <c r="J232" i="28"/>
  <c r="J231" i="28"/>
  <c r="H231" i="28"/>
  <c r="G231" i="28"/>
  <c r="E231" i="28"/>
  <c r="G230" i="28"/>
  <c r="J230" i="28" s="1"/>
  <c r="G229" i="28"/>
  <c r="E229" i="28" s="1"/>
  <c r="J228" i="28"/>
  <c r="H228" i="28"/>
  <c r="G228" i="28"/>
  <c r="E228" i="28"/>
  <c r="G227" i="28"/>
  <c r="J227" i="28" s="1"/>
  <c r="E227" i="28"/>
  <c r="C226" i="28"/>
  <c r="D229" i="28" s="1"/>
  <c r="J218" i="28"/>
  <c r="G218" i="28"/>
  <c r="J217" i="28"/>
  <c r="H217" i="28"/>
  <c r="G217" i="28"/>
  <c r="E217" i="28"/>
  <c r="G216" i="28"/>
  <c r="J216" i="28" s="1"/>
  <c r="E216" i="28"/>
  <c r="C216" i="28"/>
  <c r="C219" i="28" s="1"/>
  <c r="G215" i="28"/>
  <c r="J215" i="28" s="1"/>
  <c r="G214" i="28"/>
  <c r="E214" i="28" s="1"/>
  <c r="C213" i="28"/>
  <c r="D217" i="28" s="1"/>
  <c r="G206" i="28"/>
  <c r="C206" i="28"/>
  <c r="J205" i="28"/>
  <c r="H205" i="28"/>
  <c r="G205" i="28"/>
  <c r="E205" i="28" s="1"/>
  <c r="C205" i="28"/>
  <c r="G204" i="28"/>
  <c r="C204" i="28"/>
  <c r="J204" i="28" s="1"/>
  <c r="C196" i="28"/>
  <c r="J195" i="28"/>
  <c r="J194" i="28"/>
  <c r="G194" i="28"/>
  <c r="J193" i="28"/>
  <c r="G193" i="28"/>
  <c r="J192" i="28"/>
  <c r="H192" i="28"/>
  <c r="G192" i="28"/>
  <c r="E192" i="28" s="1"/>
  <c r="D192" i="28"/>
  <c r="F192" i="28" s="1"/>
  <c r="G191" i="28"/>
  <c r="J191" i="28" s="1"/>
  <c r="G190" i="28"/>
  <c r="J190" i="28" s="1"/>
  <c r="G189" i="28"/>
  <c r="J189" i="28" s="1"/>
  <c r="G188" i="28"/>
  <c r="J188" i="28" s="1"/>
  <c r="G187" i="28"/>
  <c r="E187" i="28" s="1"/>
  <c r="J186" i="28"/>
  <c r="H186" i="28"/>
  <c r="G186" i="28"/>
  <c r="F186" i="28"/>
  <c r="E186" i="28"/>
  <c r="D186" i="28"/>
  <c r="I186" i="28" s="1"/>
  <c r="G185" i="28"/>
  <c r="J185" i="28" s="1"/>
  <c r="E185" i="28"/>
  <c r="J184" i="28"/>
  <c r="H184" i="28"/>
  <c r="G184" i="28"/>
  <c r="E184" i="28" s="1"/>
  <c r="D184" i="28"/>
  <c r="F184" i="28" s="1"/>
  <c r="G183" i="28"/>
  <c r="J183" i="28" s="1"/>
  <c r="J182" i="28"/>
  <c r="H182" i="28"/>
  <c r="E182" i="28"/>
  <c r="D182" i="28"/>
  <c r="F182" i="28" s="1"/>
  <c r="G181" i="28"/>
  <c r="E181" i="28" s="1"/>
  <c r="J180" i="28"/>
  <c r="H180" i="28"/>
  <c r="G180" i="28"/>
  <c r="G196" i="28" s="1"/>
  <c r="F180" i="28"/>
  <c r="E180" i="28"/>
  <c r="D180" i="28"/>
  <c r="C179" i="28"/>
  <c r="D187" i="28" s="1"/>
  <c r="C172" i="28"/>
  <c r="G171" i="28"/>
  <c r="J171" i="28" s="1"/>
  <c r="G170" i="28"/>
  <c r="E170" i="28" s="1"/>
  <c r="J169" i="28"/>
  <c r="H169" i="28"/>
  <c r="G169" i="28"/>
  <c r="E169" i="28" s="1"/>
  <c r="G168" i="28"/>
  <c r="J168" i="28" s="1"/>
  <c r="E168" i="28"/>
  <c r="C167" i="28"/>
  <c r="D169" i="28" s="1"/>
  <c r="C160" i="28"/>
  <c r="J159" i="28"/>
  <c r="H159" i="28"/>
  <c r="G159" i="28"/>
  <c r="E159" i="28"/>
  <c r="G158" i="28"/>
  <c r="E158" i="28" s="1"/>
  <c r="C157" i="28"/>
  <c r="D158" i="28" s="1"/>
  <c r="C150" i="28"/>
  <c r="J149" i="28"/>
  <c r="G149" i="28"/>
  <c r="J148" i="28"/>
  <c r="G148" i="28"/>
  <c r="J147" i="28"/>
  <c r="G147" i="28"/>
  <c r="J146" i="28"/>
  <c r="G146" i="28"/>
  <c r="J145" i="28"/>
  <c r="G145" i="28"/>
  <c r="J144" i="28"/>
  <c r="H144" i="28"/>
  <c r="G144" i="28"/>
  <c r="E144" i="28"/>
  <c r="D144" i="28"/>
  <c r="F144" i="28" s="1"/>
  <c r="G143" i="28"/>
  <c r="E143" i="28" s="1"/>
  <c r="J142" i="28"/>
  <c r="H142" i="28"/>
  <c r="G142" i="28"/>
  <c r="E142" i="28" s="1"/>
  <c r="F142" i="28" s="1"/>
  <c r="D142" i="28"/>
  <c r="I142" i="28" s="1"/>
  <c r="G141" i="28"/>
  <c r="J141" i="28" s="1"/>
  <c r="G140" i="28"/>
  <c r="J140" i="28" s="1"/>
  <c r="G139" i="28"/>
  <c r="J139" i="28" s="1"/>
  <c r="E139" i="28"/>
  <c r="F139" i="28" s="1"/>
  <c r="G138" i="28"/>
  <c r="E138" i="28" s="1"/>
  <c r="J137" i="28"/>
  <c r="H137" i="28"/>
  <c r="G137" i="28"/>
  <c r="G150" i="28" s="1"/>
  <c r="D137" i="28"/>
  <c r="C136" i="28"/>
  <c r="D143" i="28" s="1"/>
  <c r="G128" i="28"/>
  <c r="J128" i="28" s="1"/>
  <c r="J127" i="28"/>
  <c r="H127" i="28"/>
  <c r="E127" i="28"/>
  <c r="G126" i="28"/>
  <c r="J126" i="28" s="1"/>
  <c r="E126" i="28"/>
  <c r="F126" i="28" s="1"/>
  <c r="D126" i="28"/>
  <c r="J125" i="28"/>
  <c r="H125" i="28"/>
  <c r="G125" i="28"/>
  <c r="E125" i="28"/>
  <c r="D125" i="28"/>
  <c r="F125" i="28" s="1"/>
  <c r="G124" i="28"/>
  <c r="E124" i="28" s="1"/>
  <c r="J123" i="28"/>
  <c r="H123" i="28"/>
  <c r="G123" i="28"/>
  <c r="E123" i="28" s="1"/>
  <c r="J122" i="28"/>
  <c r="H122" i="28"/>
  <c r="E122" i="28"/>
  <c r="G121" i="28"/>
  <c r="J120" i="28"/>
  <c r="H120" i="28"/>
  <c r="G120" i="28"/>
  <c r="E120" i="28" s="1"/>
  <c r="G119" i="28"/>
  <c r="J119" i="28" s="1"/>
  <c r="G118" i="28"/>
  <c r="J117" i="28"/>
  <c r="H117" i="28"/>
  <c r="G117" i="28"/>
  <c r="E117" i="28" s="1"/>
  <c r="G116" i="28"/>
  <c r="J116" i="28" s="1"/>
  <c r="E116" i="28"/>
  <c r="J115" i="28"/>
  <c r="H115" i="28"/>
  <c r="G115" i="28"/>
  <c r="E115" i="28"/>
  <c r="J114" i="28"/>
  <c r="G113" i="28"/>
  <c r="J112" i="28"/>
  <c r="G111" i="28"/>
  <c r="J110" i="28"/>
  <c r="H110" i="28"/>
  <c r="G110" i="28"/>
  <c r="E110" i="28" s="1"/>
  <c r="G109" i="28"/>
  <c r="J109" i="28" s="1"/>
  <c r="E109" i="28"/>
  <c r="J108" i="28"/>
  <c r="G108" i="28"/>
  <c r="J107" i="28"/>
  <c r="H107" i="28"/>
  <c r="G107" i="28"/>
  <c r="E107" i="28"/>
  <c r="C106" i="28"/>
  <c r="C105" i="28"/>
  <c r="D115" i="28" s="1"/>
  <c r="G95" i="28"/>
  <c r="E95" i="28"/>
  <c r="D95" i="28"/>
  <c r="J94" i="28"/>
  <c r="H94" i="28"/>
  <c r="E94" i="28"/>
  <c r="D94" i="28"/>
  <c r="I94" i="28" s="1"/>
  <c r="J93" i="28"/>
  <c r="G91" i="28"/>
  <c r="J91" i="28" s="1"/>
  <c r="G89" i="28"/>
  <c r="J89" i="28" s="1"/>
  <c r="G88" i="28"/>
  <c r="J88" i="28" s="1"/>
  <c r="G87" i="28"/>
  <c r="J87" i="28" s="1"/>
  <c r="C86" i="28"/>
  <c r="J85" i="28"/>
  <c r="H85" i="28"/>
  <c r="G85" i="28"/>
  <c r="E85" i="28" s="1"/>
  <c r="D85" i="28"/>
  <c r="I85" i="28" s="1"/>
  <c r="G84" i="28"/>
  <c r="J83" i="28"/>
  <c r="H83" i="28"/>
  <c r="G83" i="28"/>
  <c r="E83" i="28"/>
  <c r="D83" i="28"/>
  <c r="I83" i="28" s="1"/>
  <c r="H82" i="28"/>
  <c r="G82" i="28"/>
  <c r="E82" i="28" s="1"/>
  <c r="D82" i="28"/>
  <c r="I82" i="28" s="1"/>
  <c r="J81" i="28"/>
  <c r="G81" i="28"/>
  <c r="C80" i="28"/>
  <c r="D84" i="28" s="1"/>
  <c r="J78" i="28"/>
  <c r="I78" i="28"/>
  <c r="H78" i="28"/>
  <c r="G78" i="28"/>
  <c r="F78" i="28"/>
  <c r="E78" i="28"/>
  <c r="D78" i="28"/>
  <c r="C77" i="28"/>
  <c r="J76" i="28"/>
  <c r="H76" i="28"/>
  <c r="G76" i="28"/>
  <c r="E76" i="28"/>
  <c r="H75" i="28"/>
  <c r="G75" i="28"/>
  <c r="J75" i="28" s="1"/>
  <c r="E75" i="28"/>
  <c r="H74" i="28"/>
  <c r="G74" i="28"/>
  <c r="E74" i="28" s="1"/>
  <c r="D74" i="28"/>
  <c r="I74" i="28" s="1"/>
  <c r="C73" i="28"/>
  <c r="D75" i="28" s="1"/>
  <c r="H71" i="28"/>
  <c r="G71" i="28"/>
  <c r="E71" i="28" s="1"/>
  <c r="G70" i="28"/>
  <c r="H70" i="28" s="1"/>
  <c r="C69" i="28"/>
  <c r="D70" i="28" s="1"/>
  <c r="J68" i="28"/>
  <c r="J67" i="28"/>
  <c r="J66" i="28"/>
  <c r="C65" i="28"/>
  <c r="J64" i="28"/>
  <c r="J62" i="28"/>
  <c r="G62" i="28"/>
  <c r="J61" i="28"/>
  <c r="G61" i="28"/>
  <c r="J60" i="28"/>
  <c r="I59" i="28"/>
  <c r="H59" i="28"/>
  <c r="G59" i="28"/>
  <c r="J59" i="28" s="1"/>
  <c r="E59" i="28"/>
  <c r="D59" i="28"/>
  <c r="F59" i="28" s="1"/>
  <c r="H58" i="28"/>
  <c r="C58" i="28"/>
  <c r="J57" i="28"/>
  <c r="H57" i="28"/>
  <c r="G57" i="28"/>
  <c r="E57" i="28"/>
  <c r="J56" i="28"/>
  <c r="H56" i="28"/>
  <c r="E56" i="28"/>
  <c r="D56" i="28"/>
  <c r="I56" i="28" s="1"/>
  <c r="C55" i="28"/>
  <c r="D57" i="28" s="1"/>
  <c r="H54" i="28"/>
  <c r="G54" i="28"/>
  <c r="E54" i="28" s="1"/>
  <c r="D54" i="28"/>
  <c r="I54" i="28" s="1"/>
  <c r="J51" i="28"/>
  <c r="G51" i="28"/>
  <c r="I50" i="28"/>
  <c r="H50" i="28"/>
  <c r="G50" i="28"/>
  <c r="J50" i="28" s="1"/>
  <c r="E50" i="28"/>
  <c r="D50" i="28"/>
  <c r="F50" i="28" s="1"/>
  <c r="J49" i="28"/>
  <c r="H49" i="28"/>
  <c r="E49" i="28"/>
  <c r="J48" i="28"/>
  <c r="H48" i="28"/>
  <c r="G48" i="28"/>
  <c r="E48" i="28"/>
  <c r="J47" i="28"/>
  <c r="J46" i="28"/>
  <c r="G46" i="28"/>
  <c r="C45" i="28"/>
  <c r="D49" i="28" s="1"/>
  <c r="I44" i="28"/>
  <c r="H44" i="28"/>
  <c r="G44" i="28"/>
  <c r="J44" i="28" s="1"/>
  <c r="E44" i="28"/>
  <c r="D44" i="28"/>
  <c r="F44" i="28" s="1"/>
  <c r="H43" i="28"/>
  <c r="G43" i="28"/>
  <c r="E43" i="28" s="1"/>
  <c r="D43" i="28"/>
  <c r="I43" i="28" s="1"/>
  <c r="G42" i="28"/>
  <c r="H42" i="28" s="1"/>
  <c r="J41" i="28"/>
  <c r="I41" i="28"/>
  <c r="H41" i="28"/>
  <c r="G41" i="28"/>
  <c r="F41" i="28"/>
  <c r="E41" i="28"/>
  <c r="D41" i="28"/>
  <c r="C40" i="28"/>
  <c r="D42" i="28" s="1"/>
  <c r="J39" i="28"/>
  <c r="H39" i="28"/>
  <c r="G39" i="28"/>
  <c r="E39" i="28" s="1"/>
  <c r="J38" i="28"/>
  <c r="I38" i="28"/>
  <c r="H38" i="28"/>
  <c r="G38" i="28"/>
  <c r="F38" i="28"/>
  <c r="E38" i="28"/>
  <c r="D38" i="28"/>
  <c r="H37" i="28"/>
  <c r="G37" i="28"/>
  <c r="J37" i="28" s="1"/>
  <c r="E37" i="28"/>
  <c r="D37" i="28"/>
  <c r="F37" i="28" s="1"/>
  <c r="G36" i="28"/>
  <c r="E36" i="28" s="1"/>
  <c r="D36" i="28"/>
  <c r="J35" i="28"/>
  <c r="G35" i="28"/>
  <c r="H35" i="28" s="1"/>
  <c r="J34" i="28"/>
  <c r="I34" i="28"/>
  <c r="H34" i="28"/>
  <c r="G34" i="28"/>
  <c r="E34" i="28"/>
  <c r="F34" i="28" s="1"/>
  <c r="D34" i="28"/>
  <c r="H33" i="28"/>
  <c r="G33" i="28"/>
  <c r="J33" i="28" s="1"/>
  <c r="E33" i="28"/>
  <c r="D33" i="28"/>
  <c r="F33" i="28" s="1"/>
  <c r="G32" i="28"/>
  <c r="E32" i="28" s="1"/>
  <c r="D32" i="28"/>
  <c r="J31" i="28"/>
  <c r="G31" i="28"/>
  <c r="H31" i="28" s="1"/>
  <c r="J30" i="28"/>
  <c r="I30" i="28"/>
  <c r="H30" i="28"/>
  <c r="G30" i="28"/>
  <c r="E30" i="28"/>
  <c r="F30" i="28" s="1"/>
  <c r="D30" i="28"/>
  <c r="C29" i="28"/>
  <c r="D35" i="28" s="1"/>
  <c r="G27" i="28"/>
  <c r="J27" i="28" s="1"/>
  <c r="G26" i="28"/>
  <c r="E26" i="28" s="1"/>
  <c r="D26" i="28"/>
  <c r="J25" i="28"/>
  <c r="G25" i="28"/>
  <c r="H25" i="28" s="1"/>
  <c r="J24" i="28"/>
  <c r="H24" i="28"/>
  <c r="G24" i="28"/>
  <c r="E24" i="28"/>
  <c r="J23" i="28"/>
  <c r="G22" i="28"/>
  <c r="J22" i="28" s="1"/>
  <c r="C21" i="28"/>
  <c r="D25" i="28" s="1"/>
  <c r="G20" i="28"/>
  <c r="J20" i="28" s="1"/>
  <c r="J19" i="28"/>
  <c r="G19" i="28"/>
  <c r="G18" i="28"/>
  <c r="J18" i="28" s="1"/>
  <c r="J17" i="28"/>
  <c r="J15" i="28"/>
  <c r="G15" i="28"/>
  <c r="G14" i="28"/>
  <c r="J14" i="28" s="1"/>
  <c r="G13" i="28"/>
  <c r="E13" i="28" s="1"/>
  <c r="D13" i="28"/>
  <c r="G12" i="28"/>
  <c r="G96" i="28" s="1"/>
  <c r="C11" i="28"/>
  <c r="C9" i="28" s="1"/>
  <c r="F238" i="29" l="1"/>
  <c r="F43" i="29"/>
  <c r="I190" i="29"/>
  <c r="I41" i="29"/>
  <c r="I188" i="29"/>
  <c r="I238" i="29"/>
  <c r="F240" i="29"/>
  <c r="I43" i="29"/>
  <c r="I254" i="29"/>
  <c r="F388" i="29"/>
  <c r="F260" i="29"/>
  <c r="F251" i="29"/>
  <c r="F254" i="29"/>
  <c r="D137" i="29"/>
  <c r="F137" i="29" s="1"/>
  <c r="D124" i="29"/>
  <c r="I124" i="29" s="1"/>
  <c r="D134" i="29"/>
  <c r="F134" i="29" s="1"/>
  <c r="D116" i="29"/>
  <c r="I116" i="29" s="1"/>
  <c r="D117" i="29"/>
  <c r="F117" i="29" s="1"/>
  <c r="D120" i="29"/>
  <c r="F120" i="29" s="1"/>
  <c r="D127" i="29"/>
  <c r="I127" i="29" s="1"/>
  <c r="D114" i="29"/>
  <c r="I114" i="29" s="1"/>
  <c r="D125" i="29"/>
  <c r="I125" i="29" s="1"/>
  <c r="D130" i="29"/>
  <c r="F130" i="29" s="1"/>
  <c r="D113" i="29"/>
  <c r="D109" i="29"/>
  <c r="D128" i="29"/>
  <c r="D122" i="29"/>
  <c r="D112" i="29"/>
  <c r="F112" i="29" s="1"/>
  <c r="F60" i="29"/>
  <c r="I50" i="29"/>
  <c r="F437" i="29"/>
  <c r="I437" i="29"/>
  <c r="I458" i="29"/>
  <c r="F458" i="29"/>
  <c r="F253" i="29"/>
  <c r="I253" i="29"/>
  <c r="I410" i="29"/>
  <c r="F410" i="29"/>
  <c r="F378" i="29"/>
  <c r="I378" i="29"/>
  <c r="F302" i="29"/>
  <c r="I302" i="29"/>
  <c r="F448" i="29"/>
  <c r="I448" i="29"/>
  <c r="D465" i="29"/>
  <c r="I305" i="29"/>
  <c r="F305" i="29"/>
  <c r="I287" i="29"/>
  <c r="F287" i="29"/>
  <c r="F399" i="29"/>
  <c r="I399" i="29"/>
  <c r="D419" i="29"/>
  <c r="F345" i="29"/>
  <c r="D369" i="29"/>
  <c r="I345" i="29"/>
  <c r="F310" i="29"/>
  <c r="I310" i="29"/>
  <c r="I455" i="29"/>
  <c r="F455" i="29"/>
  <c r="D379" i="29"/>
  <c r="I285" i="29"/>
  <c r="F285" i="29"/>
  <c r="F257" i="29"/>
  <c r="I257" i="29"/>
  <c r="I408" i="29"/>
  <c r="F408" i="29"/>
  <c r="F356" i="29"/>
  <c r="I356" i="29"/>
  <c r="F298" i="29"/>
  <c r="D316" i="29"/>
  <c r="I298" i="29"/>
  <c r="F312" i="29"/>
  <c r="I312" i="29"/>
  <c r="I202" i="29"/>
  <c r="F202" i="29"/>
  <c r="F200" i="29"/>
  <c r="I200" i="29"/>
  <c r="D220" i="29"/>
  <c r="F124" i="29"/>
  <c r="I42" i="29"/>
  <c r="F42" i="29"/>
  <c r="F159" i="29"/>
  <c r="I159" i="29"/>
  <c r="F75" i="29"/>
  <c r="I75" i="29"/>
  <c r="F57" i="29"/>
  <c r="I57" i="29"/>
  <c r="F25" i="29"/>
  <c r="I25" i="29"/>
  <c r="F286" i="29"/>
  <c r="I286" i="29"/>
  <c r="D440" i="29"/>
  <c r="I309" i="29"/>
  <c r="F309" i="29"/>
  <c r="F208" i="29"/>
  <c r="I208" i="29"/>
  <c r="I120" i="29"/>
  <c r="I86" i="29"/>
  <c r="F86" i="29"/>
  <c r="I49" i="29"/>
  <c r="F49" i="29"/>
  <c r="D231" i="29"/>
  <c r="F229" i="29"/>
  <c r="I229" i="29"/>
  <c r="I154" i="29"/>
  <c r="F154" i="29"/>
  <c r="F77" i="29"/>
  <c r="I77" i="29"/>
  <c r="I13" i="29"/>
  <c r="F13" i="29"/>
  <c r="I387" i="29"/>
  <c r="F387" i="29"/>
  <c r="F451" i="29"/>
  <c r="I451" i="29"/>
  <c r="I308" i="29"/>
  <c r="F308" i="29"/>
  <c r="F284" i="29"/>
  <c r="I284" i="29"/>
  <c r="D289" i="29"/>
  <c r="I402" i="29"/>
  <c r="F402" i="29"/>
  <c r="I347" i="29"/>
  <c r="F347" i="29"/>
  <c r="F307" i="29"/>
  <c r="I307" i="29"/>
  <c r="D267" i="29"/>
  <c r="I207" i="29"/>
  <c r="F207" i="29"/>
  <c r="F275" i="29"/>
  <c r="D277" i="29"/>
  <c r="I275" i="29"/>
  <c r="F206" i="29"/>
  <c r="I206" i="29"/>
  <c r="I160" i="29"/>
  <c r="F160" i="29"/>
  <c r="F133" i="29"/>
  <c r="I133" i="29"/>
  <c r="F72" i="29"/>
  <c r="I72" i="29"/>
  <c r="F161" i="29"/>
  <c r="I161" i="29"/>
  <c r="F353" i="29"/>
  <c r="I353" i="29"/>
  <c r="F484" i="29"/>
  <c r="I484" i="29"/>
  <c r="F457" i="29"/>
  <c r="I457" i="29"/>
  <c r="F259" i="29"/>
  <c r="I259" i="29"/>
  <c r="F406" i="29"/>
  <c r="I406" i="29"/>
  <c r="I276" i="29"/>
  <c r="F276" i="29"/>
  <c r="F214" i="29"/>
  <c r="I214" i="29"/>
  <c r="D170" i="29"/>
  <c r="F152" i="29"/>
  <c r="I152" i="29"/>
  <c r="F56" i="29"/>
  <c r="I56" i="29"/>
  <c r="I26" i="29"/>
  <c r="F26" i="29"/>
  <c r="F57" i="28"/>
  <c r="I57" i="28"/>
  <c r="I42" i="28"/>
  <c r="I70" i="28"/>
  <c r="F75" i="28"/>
  <c r="I75" i="28"/>
  <c r="F115" i="28"/>
  <c r="I115" i="28"/>
  <c r="I25" i="28"/>
  <c r="I35" i="28"/>
  <c r="I49" i="28"/>
  <c r="F49" i="28"/>
  <c r="F13" i="28"/>
  <c r="J13" i="28"/>
  <c r="D24" i="28"/>
  <c r="E25" i="28"/>
  <c r="F25" i="28" s="1"/>
  <c r="F26" i="28"/>
  <c r="J26" i="28"/>
  <c r="E31" i="28"/>
  <c r="F32" i="28"/>
  <c r="J32" i="28"/>
  <c r="E35" i="28"/>
  <c r="F35" i="28" s="1"/>
  <c r="F36" i="28"/>
  <c r="J36" i="28"/>
  <c r="E42" i="28"/>
  <c r="F42" i="28" s="1"/>
  <c r="F43" i="28"/>
  <c r="J43" i="28"/>
  <c r="D48" i="28"/>
  <c r="F54" i="28"/>
  <c r="J54" i="28"/>
  <c r="F56" i="28"/>
  <c r="E70" i="28"/>
  <c r="F70" i="28" s="1"/>
  <c r="J71" i="28"/>
  <c r="F74" i="28"/>
  <c r="J74" i="28"/>
  <c r="D76" i="28"/>
  <c r="F82" i="28"/>
  <c r="J82" i="28"/>
  <c r="H84" i="28"/>
  <c r="I84" i="28" s="1"/>
  <c r="J84" i="28"/>
  <c r="D107" i="28"/>
  <c r="E118" i="28"/>
  <c r="H118" i="28"/>
  <c r="J118" i="28"/>
  <c r="F158" i="28"/>
  <c r="F187" i="28"/>
  <c r="F217" i="28"/>
  <c r="I217" i="28"/>
  <c r="F229" i="28"/>
  <c r="F248" i="28"/>
  <c r="I248" i="28"/>
  <c r="J42" i="28"/>
  <c r="J70" i="28"/>
  <c r="F95" i="28"/>
  <c r="E113" i="28"/>
  <c r="H113" i="28"/>
  <c r="J113" i="28"/>
  <c r="F143" i="28"/>
  <c r="H32" i="28"/>
  <c r="I32" i="28" s="1"/>
  <c r="I33" i="28"/>
  <c r="H36" i="28"/>
  <c r="I36" i="28" s="1"/>
  <c r="I37" i="28"/>
  <c r="D71" i="28"/>
  <c r="D123" i="28"/>
  <c r="D120" i="28"/>
  <c r="D117" i="28"/>
  <c r="D110" i="28"/>
  <c r="D124" i="28"/>
  <c r="D121" i="28"/>
  <c r="D118" i="28"/>
  <c r="D113" i="28"/>
  <c r="D111" i="28"/>
  <c r="D127" i="28"/>
  <c r="D116" i="28"/>
  <c r="D109" i="28"/>
  <c r="C104" i="28"/>
  <c r="D114" i="28"/>
  <c r="E121" i="28"/>
  <c r="H121" i="28"/>
  <c r="J121" i="28"/>
  <c r="H13" i="28"/>
  <c r="I13" i="28" s="1"/>
  <c r="H26" i="28"/>
  <c r="I26" i="28" s="1"/>
  <c r="D31" i="28"/>
  <c r="F84" i="28"/>
  <c r="F83" i="28"/>
  <c r="E84" i="28"/>
  <c r="F85" i="28"/>
  <c r="J95" i="28"/>
  <c r="H95" i="28"/>
  <c r="I95" i="28" s="1"/>
  <c r="E111" i="28"/>
  <c r="H111" i="28"/>
  <c r="J111" i="28"/>
  <c r="D122" i="28"/>
  <c r="F169" i="28"/>
  <c r="I169" i="28"/>
  <c r="F94" i="28"/>
  <c r="H109" i="28"/>
  <c r="H116" i="28"/>
  <c r="J124" i="28"/>
  <c r="E137" i="28"/>
  <c r="F137" i="28" s="1"/>
  <c r="I137" i="28"/>
  <c r="J138" i="28"/>
  <c r="H139" i="28"/>
  <c r="I139" i="28" s="1"/>
  <c r="J143" i="28"/>
  <c r="J158" i="28"/>
  <c r="D168" i="28"/>
  <c r="H168" i="28"/>
  <c r="J170" i="28"/>
  <c r="I180" i="28"/>
  <c r="J181" i="28"/>
  <c r="D185" i="28"/>
  <c r="H185" i="28"/>
  <c r="J187" i="28"/>
  <c r="C203" i="28"/>
  <c r="D205" i="28" s="1"/>
  <c r="G207" i="28"/>
  <c r="J214" i="28"/>
  <c r="D216" i="28"/>
  <c r="H216" i="28"/>
  <c r="D227" i="28"/>
  <c r="H227" i="28"/>
  <c r="J229" i="28"/>
  <c r="E247" i="28"/>
  <c r="G249" i="28"/>
  <c r="J247" i="28"/>
  <c r="F259" i="28"/>
  <c r="I259" i="28"/>
  <c r="G283" i="28"/>
  <c r="E270" i="28"/>
  <c r="H270" i="28"/>
  <c r="J270" i="28"/>
  <c r="F313" i="28"/>
  <c r="I313" i="28"/>
  <c r="F339" i="28"/>
  <c r="I339" i="28"/>
  <c r="F350" i="28"/>
  <c r="I350" i="28"/>
  <c r="D368" i="28"/>
  <c r="D366" i="28"/>
  <c r="D360" i="28"/>
  <c r="D364" i="28"/>
  <c r="D362" i="28"/>
  <c r="F385" i="28"/>
  <c r="F413" i="28"/>
  <c r="I413" i="28"/>
  <c r="I434" i="28"/>
  <c r="F434" i="28"/>
  <c r="G129" i="28"/>
  <c r="D159" i="28"/>
  <c r="D160" i="28" s="1"/>
  <c r="G172" i="28"/>
  <c r="I182" i="28"/>
  <c r="E273" i="28"/>
  <c r="H273" i="28"/>
  <c r="J273" i="28"/>
  <c r="I292" i="28"/>
  <c r="I300" i="28"/>
  <c r="E301" i="28"/>
  <c r="H301" i="28"/>
  <c r="J301" i="28"/>
  <c r="G376" i="28"/>
  <c r="E360" i="28"/>
  <c r="H360" i="28"/>
  <c r="J360" i="28"/>
  <c r="F394" i="28"/>
  <c r="H124" i="28"/>
  <c r="I125" i="28"/>
  <c r="D138" i="28"/>
  <c r="D150" i="28" s="1"/>
  <c r="H138" i="28"/>
  <c r="H143" i="28"/>
  <c r="I143" i="28" s="1"/>
  <c r="I144" i="28"/>
  <c r="H158" i="28"/>
  <c r="I158" i="28" s="1"/>
  <c r="G160" i="28"/>
  <c r="D170" i="28"/>
  <c r="H170" i="28"/>
  <c r="D181" i="28"/>
  <c r="D196" i="28" s="1"/>
  <c r="H181" i="28"/>
  <c r="I184" i="28"/>
  <c r="H187" i="28"/>
  <c r="I187" i="28" s="1"/>
  <c r="I192" i="28"/>
  <c r="C207" i="28"/>
  <c r="D214" i="28"/>
  <c r="H214" i="28"/>
  <c r="G219" i="28"/>
  <c r="H229" i="28"/>
  <c r="I229" i="28" s="1"/>
  <c r="E234" i="28"/>
  <c r="J234" i="28"/>
  <c r="E276" i="28"/>
  <c r="H276" i="28"/>
  <c r="J276" i="28"/>
  <c r="F302" i="28"/>
  <c r="I302" i="28"/>
  <c r="D319" i="28"/>
  <c r="D320" i="28"/>
  <c r="D312" i="28"/>
  <c r="D318" i="28"/>
  <c r="E320" i="28"/>
  <c r="H320" i="28"/>
  <c r="J320" i="28"/>
  <c r="D340" i="28"/>
  <c r="D361" i="28"/>
  <c r="D397" i="28"/>
  <c r="D234" i="28"/>
  <c r="D236" i="28"/>
  <c r="G239" i="28"/>
  <c r="D228" i="28"/>
  <c r="D231" i="28"/>
  <c r="D233" i="28"/>
  <c r="I247" i="28"/>
  <c r="F247" i="28"/>
  <c r="D249" i="28"/>
  <c r="E258" i="28"/>
  <c r="H258" i="28"/>
  <c r="I258" i="28" s="1"/>
  <c r="J258" i="28"/>
  <c r="D278" i="28"/>
  <c r="D275" i="28"/>
  <c r="D272" i="28"/>
  <c r="D279" i="28"/>
  <c r="D276" i="28"/>
  <c r="D273" i="28"/>
  <c r="D270" i="28"/>
  <c r="D281" i="28"/>
  <c r="D277" i="28"/>
  <c r="E279" i="28"/>
  <c r="H279" i="28"/>
  <c r="J279" i="28"/>
  <c r="F291" i="28"/>
  <c r="I291" i="28"/>
  <c r="D293" i="28"/>
  <c r="E312" i="28"/>
  <c r="H312" i="28"/>
  <c r="G330" i="28"/>
  <c r="J312" i="28"/>
  <c r="E338" i="28"/>
  <c r="F338" i="28" s="1"/>
  <c r="G340" i="28"/>
  <c r="H338" i="28"/>
  <c r="I338" i="28" s="1"/>
  <c r="J338" i="28"/>
  <c r="F348" i="28"/>
  <c r="E349" i="28"/>
  <c r="H349" i="28"/>
  <c r="J349" i="28"/>
  <c r="E257" i="28"/>
  <c r="F257" i="28" s="1"/>
  <c r="F258" i="28"/>
  <c r="E272" i="28"/>
  <c r="E275" i="28"/>
  <c r="E278" i="28"/>
  <c r="E300" i="28"/>
  <c r="F300" i="28" s="1"/>
  <c r="G304" i="28"/>
  <c r="E319" i="28"/>
  <c r="D347" i="28"/>
  <c r="H347" i="28"/>
  <c r="G352" i="28"/>
  <c r="H364" i="28"/>
  <c r="H385" i="28"/>
  <c r="I385" i="28" s="1"/>
  <c r="D386" i="28"/>
  <c r="I393" i="28"/>
  <c r="J394" i="28"/>
  <c r="J405" i="28"/>
  <c r="D407" i="28"/>
  <c r="H407" i="28"/>
  <c r="D412" i="28"/>
  <c r="H412" i="28"/>
  <c r="I426" i="28"/>
  <c r="D437" i="28"/>
  <c r="H437" i="28"/>
  <c r="D406" i="28"/>
  <c r="D436" i="28"/>
  <c r="D301" i="28"/>
  <c r="D304" i="28" s="1"/>
  <c r="D349" i="28"/>
  <c r="I384" i="28"/>
  <c r="H394" i="28"/>
  <c r="I394" i="28" s="1"/>
  <c r="I395" i="28"/>
  <c r="D405" i="28"/>
  <c r="H405" i="28"/>
  <c r="J437" i="28"/>
  <c r="E405" i="28"/>
  <c r="D410" i="28"/>
  <c r="G82" i="27"/>
  <c r="F116" i="29" l="1"/>
  <c r="I130" i="29"/>
  <c r="I134" i="29"/>
  <c r="I137" i="29"/>
  <c r="I117" i="29"/>
  <c r="F114" i="29"/>
  <c r="F127" i="29"/>
  <c r="F125" i="29"/>
  <c r="I112" i="29"/>
  <c r="F113" i="29"/>
  <c r="I113" i="29"/>
  <c r="I122" i="29"/>
  <c r="F122" i="29"/>
  <c r="I128" i="29"/>
  <c r="F128" i="29"/>
  <c r="I109" i="29"/>
  <c r="F109" i="29"/>
  <c r="F436" i="28"/>
  <c r="I436" i="28"/>
  <c r="F406" i="28"/>
  <c r="I406" i="28"/>
  <c r="D352" i="28"/>
  <c r="F347" i="28"/>
  <c r="I347" i="28"/>
  <c r="F281" i="28"/>
  <c r="I281" i="28"/>
  <c r="I279" i="28"/>
  <c r="F279" i="28"/>
  <c r="F231" i="28"/>
  <c r="I231" i="28"/>
  <c r="F234" i="28"/>
  <c r="I234" i="28"/>
  <c r="I319" i="28"/>
  <c r="F319" i="28"/>
  <c r="F362" i="28"/>
  <c r="I362" i="28"/>
  <c r="F368" i="28"/>
  <c r="I368" i="28"/>
  <c r="F216" i="28"/>
  <c r="I216" i="28"/>
  <c r="F122" i="28"/>
  <c r="I122" i="28"/>
  <c r="F116" i="28"/>
  <c r="I116" i="28"/>
  <c r="I118" i="28"/>
  <c r="F118" i="28"/>
  <c r="I117" i="28"/>
  <c r="F117" i="28"/>
  <c r="F76" i="28"/>
  <c r="I76" i="28"/>
  <c r="F48" i="28"/>
  <c r="I48" i="28"/>
  <c r="F410" i="28"/>
  <c r="I410" i="28"/>
  <c r="I349" i="28"/>
  <c r="F349" i="28"/>
  <c r="F412" i="28"/>
  <c r="I412" i="28"/>
  <c r="I270" i="28"/>
  <c r="D283" i="28"/>
  <c r="F270" i="28"/>
  <c r="I272" i="28"/>
  <c r="F272" i="28"/>
  <c r="F228" i="28"/>
  <c r="I228" i="28"/>
  <c r="F318" i="28"/>
  <c r="I318" i="28"/>
  <c r="I214" i="28"/>
  <c r="D219" i="28"/>
  <c r="F214" i="28"/>
  <c r="I170" i="28"/>
  <c r="F170" i="28"/>
  <c r="F364" i="28"/>
  <c r="I364" i="28"/>
  <c r="I114" i="28"/>
  <c r="F114" i="28"/>
  <c r="F127" i="28"/>
  <c r="I127" i="28"/>
  <c r="I121" i="28"/>
  <c r="F121" i="28"/>
  <c r="I120" i="28"/>
  <c r="F120" i="28"/>
  <c r="F24" i="28"/>
  <c r="I24" i="28"/>
  <c r="I405" i="28"/>
  <c r="D417" i="28"/>
  <c r="F405" i="28"/>
  <c r="I301" i="28"/>
  <c r="F301" i="28"/>
  <c r="F437" i="28"/>
  <c r="I437" i="28"/>
  <c r="I273" i="28"/>
  <c r="F273" i="28"/>
  <c r="I275" i="28"/>
  <c r="F275" i="28"/>
  <c r="F361" i="28"/>
  <c r="I361" i="28"/>
  <c r="D330" i="28"/>
  <c r="I312" i="28"/>
  <c r="F312" i="28"/>
  <c r="I360" i="28"/>
  <c r="D376" i="28"/>
  <c r="F360" i="28"/>
  <c r="D239" i="28"/>
  <c r="F227" i="28"/>
  <c r="I227" i="28"/>
  <c r="F185" i="28"/>
  <c r="I185" i="28"/>
  <c r="F31" i="28"/>
  <c r="I31" i="28"/>
  <c r="I111" i="28"/>
  <c r="F111" i="28"/>
  <c r="I124" i="28"/>
  <c r="F124" i="28"/>
  <c r="I123" i="28"/>
  <c r="F123" i="28"/>
  <c r="F407" i="28"/>
  <c r="I407" i="28"/>
  <c r="F277" i="28"/>
  <c r="I277" i="28"/>
  <c r="I276" i="28"/>
  <c r="F276" i="28"/>
  <c r="I278" i="28"/>
  <c r="F278" i="28"/>
  <c r="F233" i="28"/>
  <c r="I233" i="28"/>
  <c r="F236" i="28"/>
  <c r="I236" i="28"/>
  <c r="I320" i="28"/>
  <c r="F320" i="28"/>
  <c r="I181" i="28"/>
  <c r="F181" i="28"/>
  <c r="I138" i="28"/>
  <c r="F138" i="28"/>
  <c r="F159" i="28"/>
  <c r="I159" i="28"/>
  <c r="D439" i="28"/>
  <c r="F366" i="28"/>
  <c r="I366" i="28"/>
  <c r="D207" i="28"/>
  <c r="F205" i="28"/>
  <c r="I205" i="28"/>
  <c r="F168" i="28"/>
  <c r="I168" i="28"/>
  <c r="D172" i="28"/>
  <c r="F109" i="28"/>
  <c r="I109" i="28"/>
  <c r="I113" i="28"/>
  <c r="F113" i="28"/>
  <c r="I110" i="28"/>
  <c r="F110" i="28"/>
  <c r="I71" i="28"/>
  <c r="F71" i="28"/>
  <c r="I107" i="28"/>
  <c r="F107" i="28"/>
  <c r="G168" i="27"/>
  <c r="G159" i="27"/>
  <c r="G158" i="27"/>
  <c r="G216" i="27"/>
  <c r="G206" i="27"/>
  <c r="G259" i="27"/>
  <c r="G258" i="27"/>
  <c r="G256" i="27"/>
  <c r="G303" i="27"/>
  <c r="G301" i="27"/>
  <c r="G292" i="27"/>
  <c r="G349" i="27"/>
  <c r="G348" i="27"/>
  <c r="G347" i="27"/>
  <c r="G339" i="27"/>
  <c r="G338" i="27"/>
  <c r="G395" i="27"/>
  <c r="G394" i="27"/>
  <c r="G385" i="27"/>
  <c r="G436" i="27"/>
  <c r="G426" i="27"/>
  <c r="G318" i="27" l="1"/>
  <c r="G313" i="27"/>
  <c r="G278" i="27"/>
  <c r="G270" i="27"/>
  <c r="G125" i="27"/>
  <c r="G120" i="27"/>
  <c r="G115" i="27"/>
  <c r="G111" i="27"/>
  <c r="G108" i="27"/>
  <c r="G95" i="27"/>
  <c r="G89" i="27"/>
  <c r="G85" i="27"/>
  <c r="G83" i="27"/>
  <c r="G54" i="27"/>
  <c r="G41" i="27"/>
  <c r="G15" i="27"/>
  <c r="G185" i="27" l="1"/>
  <c r="G184" i="27"/>
  <c r="G76" i="27"/>
  <c r="G75" i="27"/>
  <c r="G74" i="27"/>
  <c r="G25" i="27"/>
  <c r="G126" i="27"/>
  <c r="G121" i="27" l="1"/>
  <c r="G39" i="27"/>
  <c r="G38" i="27"/>
  <c r="G37" i="27"/>
  <c r="G36" i="27"/>
  <c r="G35" i="27"/>
  <c r="G34" i="27"/>
  <c r="G33" i="27"/>
  <c r="G32" i="27"/>
  <c r="G31" i="27"/>
  <c r="G30" i="27"/>
  <c r="C439" i="27" l="1"/>
  <c r="G438" i="27"/>
  <c r="J438" i="27" s="1"/>
  <c r="G437" i="27"/>
  <c r="G439" i="27" s="1"/>
  <c r="E437" i="27"/>
  <c r="J436" i="27"/>
  <c r="H436" i="27"/>
  <c r="E436" i="27"/>
  <c r="J435" i="27"/>
  <c r="J434" i="27"/>
  <c r="H434" i="27"/>
  <c r="E434" i="27"/>
  <c r="C433" i="27"/>
  <c r="D434" i="27" s="1"/>
  <c r="G427" i="27"/>
  <c r="C427" i="27"/>
  <c r="J426" i="27"/>
  <c r="H426" i="27"/>
  <c r="E426" i="27"/>
  <c r="D426" i="27"/>
  <c r="J425" i="27"/>
  <c r="D425" i="27"/>
  <c r="D427" i="27" s="1"/>
  <c r="C424" i="27"/>
  <c r="C417" i="27"/>
  <c r="G416" i="27"/>
  <c r="J416" i="27" s="1"/>
  <c r="G415" i="27"/>
  <c r="J415" i="27" s="1"/>
  <c r="G414" i="27"/>
  <c r="J414" i="27" s="1"/>
  <c r="D414" i="27"/>
  <c r="J413" i="27"/>
  <c r="H413" i="27"/>
  <c r="G413" i="27"/>
  <c r="E413" i="27" s="1"/>
  <c r="G412" i="27"/>
  <c r="J412" i="27" s="1"/>
  <c r="E412" i="27"/>
  <c r="J411" i="27"/>
  <c r="G411" i="27"/>
  <c r="J410" i="27"/>
  <c r="H410" i="27"/>
  <c r="G410" i="27"/>
  <c r="E410" i="27"/>
  <c r="G409" i="27"/>
  <c r="J409" i="27" s="1"/>
  <c r="G408" i="27"/>
  <c r="J408" i="27" s="1"/>
  <c r="G407" i="27"/>
  <c r="J407" i="27" s="1"/>
  <c r="E407" i="27"/>
  <c r="J406" i="27"/>
  <c r="H406" i="27"/>
  <c r="G406" i="27"/>
  <c r="E406" i="27" s="1"/>
  <c r="G405" i="27"/>
  <c r="C404" i="27"/>
  <c r="C397" i="27"/>
  <c r="J396" i="27"/>
  <c r="G396" i="27"/>
  <c r="J395" i="27"/>
  <c r="H395" i="27"/>
  <c r="E395" i="27"/>
  <c r="D395" i="27"/>
  <c r="J393" i="27"/>
  <c r="H393" i="27"/>
  <c r="G393" i="27"/>
  <c r="D393" i="27"/>
  <c r="C392" i="27"/>
  <c r="D394" i="27" s="1"/>
  <c r="G386" i="27"/>
  <c r="C386" i="27"/>
  <c r="J385" i="27"/>
  <c r="E385" i="27"/>
  <c r="J384" i="27"/>
  <c r="H384" i="27"/>
  <c r="G384" i="27"/>
  <c r="E384" i="27" s="1"/>
  <c r="D384" i="27"/>
  <c r="C383" i="27"/>
  <c r="D385" i="27" s="1"/>
  <c r="F385" i="27" s="1"/>
  <c r="C376" i="27"/>
  <c r="G375" i="27"/>
  <c r="J375" i="27" s="1"/>
  <c r="G374" i="27"/>
  <c r="J374" i="27" s="1"/>
  <c r="D374" i="27"/>
  <c r="J373" i="27"/>
  <c r="G373" i="27"/>
  <c r="J372" i="27"/>
  <c r="G372" i="27"/>
  <c r="J371" i="27"/>
  <c r="G371" i="27"/>
  <c r="J370" i="27"/>
  <c r="G370" i="27"/>
  <c r="J369" i="27"/>
  <c r="G369" i="27"/>
  <c r="J368" i="27"/>
  <c r="H368" i="27"/>
  <c r="G368" i="27"/>
  <c r="E368" i="27"/>
  <c r="J367" i="27"/>
  <c r="J366" i="27"/>
  <c r="H366" i="27"/>
  <c r="G366" i="27"/>
  <c r="E366" i="27"/>
  <c r="H365" i="27"/>
  <c r="G365" i="27"/>
  <c r="J365" i="27" s="1"/>
  <c r="E365" i="27"/>
  <c r="G364" i="27"/>
  <c r="J364" i="27" s="1"/>
  <c r="E364" i="27"/>
  <c r="J363" i="27"/>
  <c r="G363" i="27"/>
  <c r="J362" i="27"/>
  <c r="H362" i="27"/>
  <c r="E362" i="27"/>
  <c r="J361" i="27"/>
  <c r="H361" i="27"/>
  <c r="G361" i="27"/>
  <c r="E361" i="27" s="1"/>
  <c r="G360" i="27"/>
  <c r="C359" i="27"/>
  <c r="C352" i="27"/>
  <c r="J351" i="27"/>
  <c r="G351" i="27"/>
  <c r="J350" i="27"/>
  <c r="H350" i="27"/>
  <c r="G350" i="27"/>
  <c r="E350" i="27"/>
  <c r="D350" i="27"/>
  <c r="J348" i="27"/>
  <c r="H348" i="27"/>
  <c r="E348" i="27"/>
  <c r="J347" i="27"/>
  <c r="H347" i="27"/>
  <c r="E347" i="27"/>
  <c r="F347" i="27" s="1"/>
  <c r="D347" i="27"/>
  <c r="C346" i="27"/>
  <c r="D349" i="27" s="1"/>
  <c r="G340" i="27"/>
  <c r="C340" i="27"/>
  <c r="E339" i="27"/>
  <c r="J338" i="27"/>
  <c r="H338" i="27"/>
  <c r="E338" i="27"/>
  <c r="F338" i="27"/>
  <c r="D338" i="27"/>
  <c r="C337" i="27"/>
  <c r="D339" i="27" s="1"/>
  <c r="C330" i="27"/>
  <c r="J329" i="27"/>
  <c r="J328" i="27"/>
  <c r="G328" i="27"/>
  <c r="D328" i="27"/>
  <c r="G327" i="27"/>
  <c r="J327" i="27" s="1"/>
  <c r="D327" i="27"/>
  <c r="J326" i="27"/>
  <c r="G326" i="27"/>
  <c r="D326" i="27"/>
  <c r="J325" i="27"/>
  <c r="G325" i="27"/>
  <c r="D325" i="27"/>
  <c r="G324" i="27"/>
  <c r="J324" i="27" s="1"/>
  <c r="J323" i="27"/>
  <c r="G323" i="27"/>
  <c r="G322" i="27"/>
  <c r="J322" i="27" s="1"/>
  <c r="J321" i="27"/>
  <c r="G321" i="27"/>
  <c r="J320" i="27"/>
  <c r="I320" i="27"/>
  <c r="H320" i="27"/>
  <c r="G320" i="27"/>
  <c r="E320" i="27"/>
  <c r="F320" i="27" s="1"/>
  <c r="D320" i="27"/>
  <c r="G319" i="27"/>
  <c r="J319" i="27" s="1"/>
  <c r="D319" i="27"/>
  <c r="J318" i="27"/>
  <c r="H318" i="27"/>
  <c r="E318" i="27"/>
  <c r="F318" i="27" s="1"/>
  <c r="D318" i="27"/>
  <c r="J317" i="27"/>
  <c r="G317" i="27"/>
  <c r="G316" i="27"/>
  <c r="J316" i="27" s="1"/>
  <c r="G315" i="27"/>
  <c r="J315" i="27" s="1"/>
  <c r="G314" i="27"/>
  <c r="J314" i="27" s="1"/>
  <c r="J313" i="27"/>
  <c r="H313" i="27"/>
  <c r="E313" i="27"/>
  <c r="J312" i="27"/>
  <c r="I312" i="27"/>
  <c r="H312" i="27"/>
  <c r="G312" i="27"/>
  <c r="E312" i="27"/>
  <c r="F312" i="27" s="1"/>
  <c r="D312" i="27"/>
  <c r="C311" i="27"/>
  <c r="D313" i="27" s="1"/>
  <c r="C304" i="27"/>
  <c r="J303" i="27"/>
  <c r="J302" i="27"/>
  <c r="H302" i="27"/>
  <c r="G302" i="27"/>
  <c r="E302" i="27"/>
  <c r="J301" i="27"/>
  <c r="D301" i="27"/>
  <c r="J300" i="27"/>
  <c r="H300" i="27"/>
  <c r="G300" i="27"/>
  <c r="E300" i="27" s="1"/>
  <c r="C299" i="27"/>
  <c r="D302" i="27" s="1"/>
  <c r="C293" i="27"/>
  <c r="J292" i="27"/>
  <c r="I292" i="27"/>
  <c r="H292" i="27"/>
  <c r="F292" i="27"/>
  <c r="E292" i="27"/>
  <c r="J291" i="27"/>
  <c r="H291" i="27"/>
  <c r="G291" i="27"/>
  <c r="E291" i="27"/>
  <c r="D291" i="27"/>
  <c r="D293" i="27" s="1"/>
  <c r="C290" i="27"/>
  <c r="D292" i="27" s="1"/>
  <c r="C283" i="27"/>
  <c r="G282" i="27"/>
  <c r="J282" i="27" s="1"/>
  <c r="G281" i="27"/>
  <c r="H281" i="27" s="1"/>
  <c r="G280" i="27"/>
  <c r="J280" i="27" s="1"/>
  <c r="D280" i="27"/>
  <c r="G279" i="27"/>
  <c r="J279" i="27" s="1"/>
  <c r="D279" i="27"/>
  <c r="H278" i="27"/>
  <c r="E278" i="27"/>
  <c r="J277" i="27"/>
  <c r="H277" i="27"/>
  <c r="E277" i="27"/>
  <c r="G276" i="27"/>
  <c r="J276" i="27" s="1"/>
  <c r="D276" i="27"/>
  <c r="H275" i="27"/>
  <c r="G275" i="27"/>
  <c r="E275" i="27" s="1"/>
  <c r="J274" i="27"/>
  <c r="G274" i="27"/>
  <c r="G273" i="27"/>
  <c r="J273" i="27" s="1"/>
  <c r="D273" i="27"/>
  <c r="H272" i="27"/>
  <c r="G272" i="27"/>
  <c r="E272" i="27" s="1"/>
  <c r="J271" i="27"/>
  <c r="G271" i="27"/>
  <c r="J270" i="27"/>
  <c r="D270" i="27"/>
  <c r="C269" i="27"/>
  <c r="D281" i="27" s="1"/>
  <c r="I281" i="27" s="1"/>
  <c r="C261" i="27"/>
  <c r="J260" i="27"/>
  <c r="G260" i="27"/>
  <c r="J259" i="27"/>
  <c r="H259" i="27"/>
  <c r="F259" i="27"/>
  <c r="E259" i="27"/>
  <c r="D259" i="27"/>
  <c r="I259" i="27" s="1"/>
  <c r="H258" i="27"/>
  <c r="J258" i="27"/>
  <c r="E258" i="27"/>
  <c r="D258" i="27"/>
  <c r="J257" i="27"/>
  <c r="G257" i="27"/>
  <c r="H257" i="27" s="1"/>
  <c r="D257" i="27"/>
  <c r="J256" i="27"/>
  <c r="H256" i="27"/>
  <c r="F256" i="27"/>
  <c r="E256" i="27"/>
  <c r="D256" i="27"/>
  <c r="I256" i="27" s="1"/>
  <c r="C255" i="27"/>
  <c r="G249" i="27"/>
  <c r="C249" i="27"/>
  <c r="H248" i="27"/>
  <c r="G248" i="27"/>
  <c r="J248" i="27" s="1"/>
  <c r="E248" i="27"/>
  <c r="J247" i="27"/>
  <c r="G247" i="27"/>
  <c r="E247" i="27" s="1"/>
  <c r="D247" i="27"/>
  <c r="C246" i="27"/>
  <c r="D248" i="27" s="1"/>
  <c r="C239" i="27"/>
  <c r="J238" i="27"/>
  <c r="J237" i="27"/>
  <c r="G237" i="27"/>
  <c r="J236" i="27"/>
  <c r="H236" i="27"/>
  <c r="G236" i="27"/>
  <c r="E236" i="27"/>
  <c r="G235" i="27"/>
  <c r="J235" i="27" s="1"/>
  <c r="G234" i="27"/>
  <c r="J233" i="27"/>
  <c r="H233" i="27"/>
  <c r="G233" i="27"/>
  <c r="E233" i="27"/>
  <c r="J232" i="27"/>
  <c r="J231" i="27"/>
  <c r="H231" i="27"/>
  <c r="G231" i="27"/>
  <c r="E231" i="27"/>
  <c r="G230" i="27"/>
  <c r="J230" i="27" s="1"/>
  <c r="G229" i="27"/>
  <c r="J228" i="27"/>
  <c r="H228" i="27"/>
  <c r="G228" i="27"/>
  <c r="E228" i="27"/>
  <c r="G227" i="27"/>
  <c r="E227" i="27"/>
  <c r="C226" i="27"/>
  <c r="J218" i="27"/>
  <c r="G218" i="27"/>
  <c r="J217" i="27"/>
  <c r="H217" i="27"/>
  <c r="G217" i="27"/>
  <c r="E217" i="27"/>
  <c r="E216" i="27"/>
  <c r="C216" i="27"/>
  <c r="C213" i="27" s="1"/>
  <c r="G215" i="27"/>
  <c r="J215" i="27" s="1"/>
  <c r="G214" i="27"/>
  <c r="E214" i="27"/>
  <c r="C206" i="27"/>
  <c r="J205" i="27"/>
  <c r="H205" i="27"/>
  <c r="G205" i="27"/>
  <c r="E205" i="27" s="1"/>
  <c r="C205" i="27"/>
  <c r="J204" i="27"/>
  <c r="G204" i="27"/>
  <c r="C204" i="27"/>
  <c r="C196" i="27"/>
  <c r="J195" i="27"/>
  <c r="J194" i="27"/>
  <c r="G194" i="27"/>
  <c r="J193" i="27"/>
  <c r="G193" i="27"/>
  <c r="J192" i="27"/>
  <c r="H192" i="27"/>
  <c r="G192" i="27"/>
  <c r="E192" i="27" s="1"/>
  <c r="F192" i="27"/>
  <c r="D192" i="27"/>
  <c r="G191" i="27"/>
  <c r="J191" i="27" s="1"/>
  <c r="G190" i="27"/>
  <c r="J190" i="27" s="1"/>
  <c r="G189" i="27"/>
  <c r="J189" i="27" s="1"/>
  <c r="G188" i="27"/>
  <c r="J188" i="27" s="1"/>
  <c r="G187" i="27"/>
  <c r="E187" i="27"/>
  <c r="J186" i="27"/>
  <c r="H186" i="27"/>
  <c r="G186" i="27"/>
  <c r="E186" i="27"/>
  <c r="D186" i="27"/>
  <c r="I186" i="27" s="1"/>
  <c r="E185" i="27"/>
  <c r="J184" i="27"/>
  <c r="H184" i="27"/>
  <c r="E184" i="27"/>
  <c r="D184" i="27"/>
  <c r="I184" i="27" s="1"/>
  <c r="G183" i="27"/>
  <c r="J183" i="27" s="1"/>
  <c r="J182" i="27"/>
  <c r="H182" i="27"/>
  <c r="F182" i="27"/>
  <c r="E182" i="27"/>
  <c r="D182" i="27"/>
  <c r="I182" i="27" s="1"/>
  <c r="G181" i="27"/>
  <c r="E181" i="27"/>
  <c r="J180" i="27"/>
  <c r="H180" i="27"/>
  <c r="G180" i="27"/>
  <c r="E180" i="27"/>
  <c r="D180" i="27"/>
  <c r="C179" i="27"/>
  <c r="D187" i="27" s="1"/>
  <c r="C172" i="27"/>
  <c r="G171" i="27"/>
  <c r="J171" i="27" s="1"/>
  <c r="G170" i="27"/>
  <c r="E170" i="27" s="1"/>
  <c r="J169" i="27"/>
  <c r="H169" i="27"/>
  <c r="G169" i="27"/>
  <c r="E169" i="27" s="1"/>
  <c r="E168" i="27"/>
  <c r="C167" i="27"/>
  <c r="C160" i="27"/>
  <c r="J159" i="27"/>
  <c r="H159" i="27"/>
  <c r="E159" i="27"/>
  <c r="E158" i="27"/>
  <c r="C157" i="27"/>
  <c r="D158" i="27" s="1"/>
  <c r="C150" i="27"/>
  <c r="J149" i="27"/>
  <c r="G149" i="27"/>
  <c r="J148" i="27"/>
  <c r="G148" i="27"/>
  <c r="J147" i="27"/>
  <c r="G147" i="27"/>
  <c r="J146" i="27"/>
  <c r="G146" i="27"/>
  <c r="J145" i="27"/>
  <c r="G145" i="27"/>
  <c r="J144" i="27"/>
  <c r="H144" i="27"/>
  <c r="G144" i="27"/>
  <c r="E144" i="27"/>
  <c r="D144" i="27"/>
  <c r="I144" i="27" s="1"/>
  <c r="G143" i="27"/>
  <c r="E143" i="27"/>
  <c r="J142" i="27"/>
  <c r="H142" i="27"/>
  <c r="G142" i="27"/>
  <c r="E142" i="27" s="1"/>
  <c r="F142" i="27"/>
  <c r="D142" i="27"/>
  <c r="G141" i="27"/>
  <c r="J141" i="27" s="1"/>
  <c r="G140" i="27"/>
  <c r="J140" i="27" s="1"/>
  <c r="G139" i="27"/>
  <c r="E139" i="27"/>
  <c r="F139" i="27" s="1"/>
  <c r="G138" i="27"/>
  <c r="E138" i="27" s="1"/>
  <c r="J137" i="27"/>
  <c r="H137" i="27"/>
  <c r="G137" i="27"/>
  <c r="G150" i="27" s="1"/>
  <c r="D137" i="27"/>
  <c r="I137" i="27" s="1"/>
  <c r="C136" i="27"/>
  <c r="D143" i="27" s="1"/>
  <c r="G128" i="27"/>
  <c r="J128" i="27" s="1"/>
  <c r="J127" i="27"/>
  <c r="H127" i="27"/>
  <c r="E127" i="27"/>
  <c r="J126" i="27"/>
  <c r="D126" i="27"/>
  <c r="J125" i="27"/>
  <c r="H125" i="27"/>
  <c r="E125" i="27"/>
  <c r="G124" i="27"/>
  <c r="E124" i="27"/>
  <c r="J123" i="27"/>
  <c r="H123" i="27"/>
  <c r="G123" i="27"/>
  <c r="E123" i="27"/>
  <c r="J122" i="27"/>
  <c r="H122" i="27"/>
  <c r="E122" i="27"/>
  <c r="E121" i="27"/>
  <c r="J120" i="27"/>
  <c r="H120" i="27"/>
  <c r="E120" i="27"/>
  <c r="G119" i="27"/>
  <c r="J119" i="27" s="1"/>
  <c r="G118" i="27"/>
  <c r="J118" i="27" s="1"/>
  <c r="E118" i="27"/>
  <c r="J117" i="27"/>
  <c r="H117" i="27"/>
  <c r="G117" i="27"/>
  <c r="E117" i="27" s="1"/>
  <c r="G116" i="27"/>
  <c r="E116" i="27" s="1"/>
  <c r="J115" i="27"/>
  <c r="H115" i="27"/>
  <c r="E115" i="27"/>
  <c r="J114" i="27"/>
  <c r="G113" i="27"/>
  <c r="J113" i="27" s="1"/>
  <c r="E113" i="27"/>
  <c r="J112" i="27"/>
  <c r="J111" i="27"/>
  <c r="H111" i="27"/>
  <c r="E111" i="27"/>
  <c r="J110" i="27"/>
  <c r="H110" i="27"/>
  <c r="G110" i="27"/>
  <c r="E110" i="27" s="1"/>
  <c r="G109" i="27"/>
  <c r="E109" i="27" s="1"/>
  <c r="J108" i="27"/>
  <c r="G107" i="27"/>
  <c r="E107" i="27" s="1"/>
  <c r="C106" i="27"/>
  <c r="D125" i="27" s="1"/>
  <c r="J95" i="27"/>
  <c r="H95" i="27"/>
  <c r="F95" i="27"/>
  <c r="E95" i="27"/>
  <c r="D95" i="27"/>
  <c r="I95" i="27" s="1"/>
  <c r="J94" i="27"/>
  <c r="H94" i="27"/>
  <c r="E94" i="27"/>
  <c r="D94" i="27"/>
  <c r="F94" i="27" s="1"/>
  <c r="J93" i="27"/>
  <c r="J91" i="27"/>
  <c r="G91" i="27"/>
  <c r="J89" i="27"/>
  <c r="J88" i="27"/>
  <c r="G88" i="27"/>
  <c r="J87" i="27"/>
  <c r="G87" i="27"/>
  <c r="C86" i="27"/>
  <c r="J85" i="27"/>
  <c r="E85" i="27"/>
  <c r="J84" i="27"/>
  <c r="H84" i="27"/>
  <c r="G84" i="27"/>
  <c r="E84" i="27" s="1"/>
  <c r="D84" i="27"/>
  <c r="F84" i="27" s="1"/>
  <c r="E83" i="27"/>
  <c r="J82" i="27"/>
  <c r="H82" i="27"/>
  <c r="E82" i="27"/>
  <c r="F82" i="27" s="1"/>
  <c r="D82" i="27"/>
  <c r="G81" i="27"/>
  <c r="J81" i="27" s="1"/>
  <c r="C80" i="27"/>
  <c r="D83" i="27" s="1"/>
  <c r="J78" i="27"/>
  <c r="H78" i="27"/>
  <c r="G78" i="27"/>
  <c r="E78" i="27" s="1"/>
  <c r="D78" i="27"/>
  <c r="C77" i="27"/>
  <c r="J76" i="27"/>
  <c r="H76" i="27"/>
  <c r="E76" i="27"/>
  <c r="D76" i="27"/>
  <c r="F76" i="27" s="1"/>
  <c r="E75" i="27"/>
  <c r="J74" i="27"/>
  <c r="H74" i="27"/>
  <c r="F74" i="27"/>
  <c r="E74" i="27"/>
  <c r="D74" i="27"/>
  <c r="I74" i="27" s="1"/>
  <c r="C73" i="27"/>
  <c r="D75" i="27" s="1"/>
  <c r="J71" i="27"/>
  <c r="H71" i="27"/>
  <c r="G71" i="27"/>
  <c r="E71" i="27"/>
  <c r="G70" i="27"/>
  <c r="J70" i="27" s="1"/>
  <c r="E70" i="27"/>
  <c r="C69" i="27"/>
  <c r="D71" i="27" s="1"/>
  <c r="J68" i="27"/>
  <c r="J67" i="27"/>
  <c r="J66" i="27"/>
  <c r="C65" i="27"/>
  <c r="J64" i="27"/>
  <c r="J62" i="27"/>
  <c r="G62" i="27"/>
  <c r="J61" i="27"/>
  <c r="G61" i="27"/>
  <c r="J60" i="27"/>
  <c r="G59" i="27"/>
  <c r="H59" i="27" s="1"/>
  <c r="H58" i="27"/>
  <c r="C58" i="27"/>
  <c r="D59" i="27" s="1"/>
  <c r="J57" i="27"/>
  <c r="H57" i="27"/>
  <c r="G57" i="27"/>
  <c r="E57" i="27" s="1"/>
  <c r="D57" i="27"/>
  <c r="I57" i="27" s="1"/>
  <c r="J56" i="27"/>
  <c r="H56" i="27"/>
  <c r="F56" i="27"/>
  <c r="E56" i="27"/>
  <c r="D56" i="27"/>
  <c r="I56" i="27" s="1"/>
  <c r="C55" i="27"/>
  <c r="J54" i="27"/>
  <c r="H54" i="27"/>
  <c r="E54" i="27"/>
  <c r="F54" i="27" s="1"/>
  <c r="D54" i="27"/>
  <c r="I54" i="27" s="1"/>
  <c r="G51" i="27"/>
  <c r="J51" i="27" s="1"/>
  <c r="G50" i="27"/>
  <c r="H50" i="27" s="1"/>
  <c r="J49" i="27"/>
  <c r="H49" i="27"/>
  <c r="E49" i="27"/>
  <c r="J48" i="27"/>
  <c r="H48" i="27"/>
  <c r="G48" i="27"/>
  <c r="E48" i="27" s="1"/>
  <c r="J47" i="27"/>
  <c r="J46" i="27"/>
  <c r="G46" i="27"/>
  <c r="C45" i="27"/>
  <c r="D50" i="27" s="1"/>
  <c r="G44" i="27"/>
  <c r="H44" i="27" s="1"/>
  <c r="J43" i="27"/>
  <c r="H43" i="27"/>
  <c r="G43" i="27"/>
  <c r="F43" i="27"/>
  <c r="E43" i="27"/>
  <c r="D43" i="27"/>
  <c r="I43" i="27" s="1"/>
  <c r="G42" i="27"/>
  <c r="J42" i="27" s="1"/>
  <c r="E42" i="27"/>
  <c r="J41" i="27"/>
  <c r="H41" i="27"/>
  <c r="E41" i="27"/>
  <c r="D41" i="27"/>
  <c r="C40" i="27"/>
  <c r="D44" i="27" s="1"/>
  <c r="J39" i="27"/>
  <c r="J38" i="27"/>
  <c r="H38" i="27"/>
  <c r="E38" i="27"/>
  <c r="D38" i="27"/>
  <c r="E37" i="27"/>
  <c r="J36" i="27"/>
  <c r="H36" i="27"/>
  <c r="E36" i="27"/>
  <c r="F36" i="27" s="1"/>
  <c r="D36" i="27"/>
  <c r="J35" i="27"/>
  <c r="E35" i="27"/>
  <c r="J34" i="27"/>
  <c r="H34" i="27"/>
  <c r="E34" i="27"/>
  <c r="D34" i="27"/>
  <c r="E33" i="27"/>
  <c r="J32" i="27"/>
  <c r="H32" i="27"/>
  <c r="E32" i="27"/>
  <c r="F32" i="27" s="1"/>
  <c r="D32" i="27"/>
  <c r="J31" i="27"/>
  <c r="E31" i="27"/>
  <c r="J30" i="27"/>
  <c r="H30" i="27"/>
  <c r="E30" i="27"/>
  <c r="D30" i="27"/>
  <c r="C29" i="27"/>
  <c r="D37" i="27" s="1"/>
  <c r="J27" i="27"/>
  <c r="G27" i="27"/>
  <c r="J26" i="27"/>
  <c r="H26" i="27"/>
  <c r="G26" i="27"/>
  <c r="E26" i="27"/>
  <c r="J25" i="27"/>
  <c r="E25" i="27"/>
  <c r="J24" i="27"/>
  <c r="H24" i="27"/>
  <c r="G24" i="27"/>
  <c r="E24" i="27" s="1"/>
  <c r="J23" i="27"/>
  <c r="J22" i="27"/>
  <c r="G22" i="27"/>
  <c r="C21" i="27"/>
  <c r="D25" i="27" s="1"/>
  <c r="G20" i="27"/>
  <c r="J20" i="27" s="1"/>
  <c r="G19" i="27"/>
  <c r="J19" i="27" s="1"/>
  <c r="G18" i="27"/>
  <c r="J18" i="27" s="1"/>
  <c r="J17" i="27"/>
  <c r="J15" i="27"/>
  <c r="J14" i="27"/>
  <c r="G14" i="27"/>
  <c r="J13" i="27"/>
  <c r="H13" i="27"/>
  <c r="G13" i="27"/>
  <c r="E13" i="27"/>
  <c r="G12" i="27"/>
  <c r="G96" i="27" s="1"/>
  <c r="C11" i="27"/>
  <c r="D13" i="27" s="1"/>
  <c r="F426" i="27" l="1"/>
  <c r="F313" i="27"/>
  <c r="I82" i="27"/>
  <c r="I32" i="27"/>
  <c r="I36" i="27"/>
  <c r="I30" i="27"/>
  <c r="I34" i="27"/>
  <c r="F37" i="27"/>
  <c r="I44" i="27"/>
  <c r="F25" i="27"/>
  <c r="F41" i="27"/>
  <c r="I50" i="27"/>
  <c r="I59" i="27"/>
  <c r="F75" i="27"/>
  <c r="I125" i="27"/>
  <c r="F125" i="27"/>
  <c r="F13" i="27"/>
  <c r="I13" i="27"/>
  <c r="F38" i="27"/>
  <c r="F71" i="27"/>
  <c r="I71" i="27"/>
  <c r="F78" i="27"/>
  <c r="F83" i="27"/>
  <c r="D214" i="27"/>
  <c r="D217" i="27"/>
  <c r="D24" i="27"/>
  <c r="D26" i="27"/>
  <c r="F30" i="27"/>
  <c r="F34" i="27"/>
  <c r="E44" i="27"/>
  <c r="F44" i="27" s="1"/>
  <c r="E50" i="27"/>
  <c r="F50" i="27" s="1"/>
  <c r="F57" i="27"/>
  <c r="E59" i="27"/>
  <c r="F59" i="27" s="1"/>
  <c r="C9" i="27"/>
  <c r="H25" i="27"/>
  <c r="I25" i="27" s="1"/>
  <c r="D31" i="27"/>
  <c r="H31" i="27"/>
  <c r="J33" i="27"/>
  <c r="D35" i="27"/>
  <c r="H35" i="27"/>
  <c r="J37" i="27"/>
  <c r="E39" i="27"/>
  <c r="D42" i="27"/>
  <c r="H42" i="27"/>
  <c r="J44" i="27"/>
  <c r="D49" i="27"/>
  <c r="J50" i="27"/>
  <c r="J59" i="27"/>
  <c r="D70" i="27"/>
  <c r="H70" i="27"/>
  <c r="J75" i="27"/>
  <c r="J83" i="27"/>
  <c r="D85" i="27"/>
  <c r="H85" i="27"/>
  <c r="C105" i="27"/>
  <c r="J107" i="27"/>
  <c r="J109" i="27"/>
  <c r="H113" i="27"/>
  <c r="J116" i="27"/>
  <c r="H118" i="27"/>
  <c r="H124" i="27"/>
  <c r="J124" i="27"/>
  <c r="E126" i="27"/>
  <c r="F126" i="27" s="1"/>
  <c r="J139" i="27"/>
  <c r="H139" i="27"/>
  <c r="I139" i="27" s="1"/>
  <c r="I142" i="27"/>
  <c r="G160" i="27"/>
  <c r="H158" i="27"/>
  <c r="I158" i="27" s="1"/>
  <c r="J158" i="27"/>
  <c r="F187" i="27"/>
  <c r="H181" i="27"/>
  <c r="J181" i="27"/>
  <c r="H187" i="27"/>
  <c r="I187" i="27" s="1"/>
  <c r="J187" i="27"/>
  <c r="G219" i="27"/>
  <c r="H214" i="27"/>
  <c r="J214" i="27"/>
  <c r="D236" i="27"/>
  <c r="D233" i="27"/>
  <c r="D231" i="27"/>
  <c r="D234" i="27"/>
  <c r="D229" i="27"/>
  <c r="D227" i="27"/>
  <c r="D228" i="27"/>
  <c r="I302" i="27"/>
  <c r="F302" i="27"/>
  <c r="D48" i="27"/>
  <c r="I94" i="27"/>
  <c r="H121" i="27"/>
  <c r="J121" i="27"/>
  <c r="G129" i="27"/>
  <c r="H138" i="27"/>
  <c r="J138" i="27"/>
  <c r="D170" i="27"/>
  <c r="D168" i="27"/>
  <c r="D169" i="27"/>
  <c r="I180" i="27"/>
  <c r="G196" i="27"/>
  <c r="J216" i="27"/>
  <c r="H216" i="27"/>
  <c r="D33" i="27"/>
  <c r="H33" i="27"/>
  <c r="H37" i="27"/>
  <c r="I37" i="27" s="1"/>
  <c r="I38" i="27"/>
  <c r="H39" i="27"/>
  <c r="I41" i="27"/>
  <c r="H75" i="27"/>
  <c r="I75" i="27" s="1"/>
  <c r="I76" i="27"/>
  <c r="I78" i="27"/>
  <c r="H83" i="27"/>
  <c r="I83" i="27" s="1"/>
  <c r="I84" i="27"/>
  <c r="H107" i="27"/>
  <c r="H109" i="27"/>
  <c r="H116" i="27"/>
  <c r="F143" i="27"/>
  <c r="H143" i="27"/>
  <c r="I143" i="27" s="1"/>
  <c r="J143" i="27"/>
  <c r="F144" i="27"/>
  <c r="F158" i="27"/>
  <c r="D159" i="27"/>
  <c r="F184" i="27"/>
  <c r="I192" i="27"/>
  <c r="C207" i="27"/>
  <c r="C203" i="27"/>
  <c r="D205" i="27" s="1"/>
  <c r="G239" i="27"/>
  <c r="J227" i="27"/>
  <c r="H227" i="27"/>
  <c r="E229" i="27"/>
  <c r="H229" i="27"/>
  <c r="J229" i="27"/>
  <c r="F248" i="27"/>
  <c r="I248" i="27"/>
  <c r="J168" i="27"/>
  <c r="H168" i="27"/>
  <c r="H170" i="27"/>
  <c r="J170" i="27"/>
  <c r="G172" i="27"/>
  <c r="F180" i="27"/>
  <c r="J185" i="27"/>
  <c r="H185" i="27"/>
  <c r="F186" i="27"/>
  <c r="C219" i="27"/>
  <c r="D216" i="27"/>
  <c r="E234" i="27"/>
  <c r="H234" i="27"/>
  <c r="J234" i="27"/>
  <c r="I247" i="27"/>
  <c r="F247" i="27"/>
  <c r="D249" i="27"/>
  <c r="E137" i="27"/>
  <c r="F137" i="27" s="1"/>
  <c r="D185" i="27"/>
  <c r="G207" i="27"/>
  <c r="H247" i="27"/>
  <c r="E270" i="27"/>
  <c r="E273" i="27"/>
  <c r="E276" i="27"/>
  <c r="D277" i="27"/>
  <c r="E279" i="27"/>
  <c r="D300" i="27"/>
  <c r="H301" i="27"/>
  <c r="I301" i="27" s="1"/>
  <c r="G304" i="27"/>
  <c r="I313" i="27"/>
  <c r="I318" i="27"/>
  <c r="H319" i="27"/>
  <c r="I319" i="27" s="1"/>
  <c r="D340" i="27"/>
  <c r="I338" i="27"/>
  <c r="E349" i="27"/>
  <c r="H349" i="27"/>
  <c r="I349" i="27" s="1"/>
  <c r="J349" i="27"/>
  <c r="F384" i="27"/>
  <c r="I384" i="27"/>
  <c r="D386" i="27"/>
  <c r="G397" i="27"/>
  <c r="F395" i="27"/>
  <c r="I395" i="27"/>
  <c r="D413" i="27"/>
  <c r="D410" i="27"/>
  <c r="D405" i="27"/>
  <c r="D412" i="27"/>
  <c r="D407" i="27"/>
  <c r="I434" i="27"/>
  <c r="F434" i="27"/>
  <c r="I257" i="27"/>
  <c r="D261" i="27"/>
  <c r="F350" i="27"/>
  <c r="I350" i="27"/>
  <c r="D368" i="27"/>
  <c r="D366" i="27"/>
  <c r="D360" i="27"/>
  <c r="D364" i="27"/>
  <c r="D362" i="27"/>
  <c r="G417" i="27"/>
  <c r="E405" i="27"/>
  <c r="H405" i="27"/>
  <c r="J405" i="27"/>
  <c r="D138" i="27"/>
  <c r="D181" i="27"/>
  <c r="D196" i="27" s="1"/>
  <c r="F258" i="27"/>
  <c r="I258" i="27"/>
  <c r="H270" i="27"/>
  <c r="I270" i="27" s="1"/>
  <c r="D272" i="27"/>
  <c r="D283" i="27" s="1"/>
  <c r="J272" i="27"/>
  <c r="H273" i="27"/>
  <c r="D275" i="27"/>
  <c r="J275" i="27"/>
  <c r="H276" i="27"/>
  <c r="I276" i="27" s="1"/>
  <c r="D278" i="27"/>
  <c r="J278" i="27"/>
  <c r="H279" i="27"/>
  <c r="I291" i="27"/>
  <c r="G293" i="27"/>
  <c r="E301" i="27"/>
  <c r="F301" i="27" s="1"/>
  <c r="D330" i="27"/>
  <c r="E319" i="27"/>
  <c r="F319" i="27" s="1"/>
  <c r="G330" i="27"/>
  <c r="H339" i="27"/>
  <c r="I339" i="27" s="1"/>
  <c r="J339" i="27"/>
  <c r="F349" i="27"/>
  <c r="G352" i="27"/>
  <c r="G376" i="27"/>
  <c r="E360" i="27"/>
  <c r="H360" i="27"/>
  <c r="J360" i="27"/>
  <c r="D397" i="27"/>
  <c r="D406" i="27"/>
  <c r="G261" i="27"/>
  <c r="E257" i="27"/>
  <c r="F257" i="27" s="1"/>
  <c r="F270" i="27"/>
  <c r="F273" i="27"/>
  <c r="I273" i="27"/>
  <c r="F276" i="27"/>
  <c r="F279" i="27"/>
  <c r="I279" i="27"/>
  <c r="E281" i="27"/>
  <c r="F281" i="27" s="1"/>
  <c r="J281" i="27"/>
  <c r="G283" i="27"/>
  <c r="F291" i="27"/>
  <c r="F339" i="27"/>
  <c r="I347" i="27"/>
  <c r="D361" i="27"/>
  <c r="E394" i="27"/>
  <c r="F394" i="27" s="1"/>
  <c r="H394" i="27"/>
  <c r="I394" i="27" s="1"/>
  <c r="J394" i="27"/>
  <c r="D348" i="27"/>
  <c r="H364" i="27"/>
  <c r="H385" i="27"/>
  <c r="I385" i="27" s="1"/>
  <c r="E393" i="27"/>
  <c r="F393" i="27" s="1"/>
  <c r="I393" i="27"/>
  <c r="H407" i="27"/>
  <c r="H412" i="27"/>
  <c r="I426" i="27"/>
  <c r="D437" i="27"/>
  <c r="H437" i="27"/>
  <c r="D436" i="27"/>
  <c r="J437" i="27"/>
  <c r="G394" i="26"/>
  <c r="G292" i="26"/>
  <c r="G258" i="26"/>
  <c r="G248" i="26"/>
  <c r="G216" i="26"/>
  <c r="G206" i="26"/>
  <c r="G159" i="26"/>
  <c r="F436" i="27" l="1"/>
  <c r="I436" i="27"/>
  <c r="F406" i="27"/>
  <c r="I406" i="27"/>
  <c r="I278" i="27"/>
  <c r="F278" i="27"/>
  <c r="F138" i="27"/>
  <c r="I138" i="27"/>
  <c r="D150" i="27"/>
  <c r="F364" i="27"/>
  <c r="I364" i="27"/>
  <c r="F412" i="27"/>
  <c r="I412" i="27"/>
  <c r="I300" i="27"/>
  <c r="D304" i="27"/>
  <c r="F300" i="27"/>
  <c r="F168" i="27"/>
  <c r="D172" i="27"/>
  <c r="I168" i="27"/>
  <c r="F48" i="27"/>
  <c r="I48" i="27"/>
  <c r="D239" i="27"/>
  <c r="F227" i="27"/>
  <c r="I227" i="27"/>
  <c r="I233" i="27"/>
  <c r="F233" i="27"/>
  <c r="F31" i="27"/>
  <c r="I31" i="27"/>
  <c r="F214" i="27"/>
  <c r="D219" i="27"/>
  <c r="I214" i="27"/>
  <c r="F437" i="27"/>
  <c r="I437" i="27"/>
  <c r="F348" i="27"/>
  <c r="I348" i="27"/>
  <c r="I360" i="27"/>
  <c r="D376" i="27"/>
  <c r="F360" i="27"/>
  <c r="I405" i="27"/>
  <c r="D417" i="27"/>
  <c r="F405" i="27"/>
  <c r="F185" i="27"/>
  <c r="I185" i="27"/>
  <c r="F216" i="27"/>
  <c r="I216" i="27"/>
  <c r="F33" i="27"/>
  <c r="I33" i="27"/>
  <c r="F170" i="27"/>
  <c r="I170" i="27"/>
  <c r="I229" i="27"/>
  <c r="F229" i="27"/>
  <c r="I236" i="27"/>
  <c r="F236" i="27"/>
  <c r="D124" i="27"/>
  <c r="D121" i="27"/>
  <c r="D122" i="27"/>
  <c r="D115" i="27"/>
  <c r="D114" i="27"/>
  <c r="C104" i="27"/>
  <c r="D127" i="27"/>
  <c r="D116" i="27"/>
  <c r="D109" i="27"/>
  <c r="D107" i="27"/>
  <c r="D123" i="27"/>
  <c r="D120" i="27"/>
  <c r="D117" i="27"/>
  <c r="D110" i="27"/>
  <c r="D118" i="27"/>
  <c r="D113" i="27"/>
  <c r="D111" i="27"/>
  <c r="F42" i="27"/>
  <c r="I42" i="27"/>
  <c r="F35" i="27"/>
  <c r="I35" i="27"/>
  <c r="F26" i="27"/>
  <c r="I26" i="27"/>
  <c r="F361" i="27"/>
  <c r="I361" i="27"/>
  <c r="I272" i="27"/>
  <c r="F272" i="27"/>
  <c r="I366" i="27"/>
  <c r="F366" i="27"/>
  <c r="D439" i="27"/>
  <c r="I410" i="27"/>
  <c r="F410" i="27"/>
  <c r="I205" i="27"/>
  <c r="F205" i="27"/>
  <c r="D207" i="27"/>
  <c r="I159" i="27"/>
  <c r="F159" i="27"/>
  <c r="D160" i="27"/>
  <c r="I234" i="27"/>
  <c r="F234" i="27"/>
  <c r="F49" i="27"/>
  <c r="I49" i="27"/>
  <c r="F24" i="27"/>
  <c r="I24" i="27"/>
  <c r="D352" i="27"/>
  <c r="I275" i="27"/>
  <c r="F275" i="27"/>
  <c r="F181" i="27"/>
  <c r="I181" i="27"/>
  <c r="F362" i="27"/>
  <c r="I362" i="27"/>
  <c r="I368" i="27"/>
  <c r="F368" i="27"/>
  <c r="F407" i="27"/>
  <c r="I407" i="27"/>
  <c r="I413" i="27"/>
  <c r="F413" i="27"/>
  <c r="F277" i="27"/>
  <c r="I277" i="27"/>
  <c r="I169" i="27"/>
  <c r="F169" i="27"/>
  <c r="I228" i="27"/>
  <c r="F228" i="27"/>
  <c r="I231" i="27"/>
  <c r="F231" i="27"/>
  <c r="F85" i="27"/>
  <c r="I85" i="27"/>
  <c r="F70" i="27"/>
  <c r="I70" i="27"/>
  <c r="I217" i="27"/>
  <c r="F217" i="27"/>
  <c r="G239" i="26"/>
  <c r="F118" i="27" l="1"/>
  <c r="I118" i="27"/>
  <c r="I123" i="27"/>
  <c r="F123" i="27"/>
  <c r="I127" i="27"/>
  <c r="F127" i="27"/>
  <c r="I122" i="27"/>
  <c r="F122" i="27"/>
  <c r="F110" i="27"/>
  <c r="I110" i="27"/>
  <c r="I107" i="27"/>
  <c r="F107" i="27"/>
  <c r="F121" i="27"/>
  <c r="I121" i="27"/>
  <c r="F111" i="27"/>
  <c r="I111" i="27"/>
  <c r="F117" i="27"/>
  <c r="I117" i="27"/>
  <c r="I109" i="27"/>
  <c r="F109" i="27"/>
  <c r="I114" i="27"/>
  <c r="F114" i="27"/>
  <c r="F124" i="27"/>
  <c r="I124" i="27"/>
  <c r="F113" i="27"/>
  <c r="I113" i="27"/>
  <c r="F120" i="27"/>
  <c r="I120" i="27"/>
  <c r="I116" i="27"/>
  <c r="F116" i="27"/>
  <c r="F115" i="27"/>
  <c r="I115" i="27"/>
  <c r="G228" i="26"/>
  <c r="G231" i="26"/>
  <c r="G236" i="26"/>
  <c r="G110" i="26" l="1"/>
  <c r="G82" i="26"/>
  <c r="G385" i="26" l="1"/>
  <c r="G115" i="26" l="1"/>
  <c r="G95" i="26"/>
  <c r="G48" i="26"/>
  <c r="G24" i="26"/>
  <c r="G437" i="26" l="1"/>
  <c r="G436" i="26"/>
  <c r="G426" i="26"/>
  <c r="G339" i="26"/>
  <c r="G301" i="26"/>
  <c r="G169" i="26"/>
  <c r="G192" i="26"/>
  <c r="G186" i="26"/>
  <c r="G416" i="26"/>
  <c r="G413" i="26"/>
  <c r="G411" i="26"/>
  <c r="G410" i="26"/>
  <c r="G405" i="26"/>
  <c r="G125" i="26"/>
  <c r="G120" i="26"/>
  <c r="G109" i="26"/>
  <c r="G91" i="26"/>
  <c r="G85" i="26"/>
  <c r="G83" i="26"/>
  <c r="G76" i="26"/>
  <c r="G62" i="26"/>
  <c r="G57" i="26"/>
  <c r="G54" i="26"/>
  <c r="G51" i="26"/>
  <c r="G42" i="26"/>
  <c r="G41" i="26"/>
  <c r="G14" i="26"/>
  <c r="G302" i="26" l="1"/>
  <c r="G142" i="26" l="1"/>
  <c r="G275" i="26"/>
  <c r="G273" i="26"/>
  <c r="G272" i="26"/>
  <c r="G126" i="26"/>
  <c r="G121" i="26"/>
  <c r="G89" i="26"/>
  <c r="G75" i="26"/>
  <c r="G74" i="26"/>
  <c r="G61" i="26"/>
  <c r="G39" i="26"/>
  <c r="G38" i="26"/>
  <c r="G37" i="26"/>
  <c r="G36" i="26"/>
  <c r="G35" i="26"/>
  <c r="G34" i="26"/>
  <c r="G33" i="26"/>
  <c r="G32" i="26"/>
  <c r="G31" i="26"/>
  <c r="G30" i="26"/>
  <c r="C439" i="26" l="1"/>
  <c r="G438" i="26"/>
  <c r="J438" i="26" s="1"/>
  <c r="G439" i="26"/>
  <c r="J436" i="26"/>
  <c r="H436" i="26"/>
  <c r="E436" i="26"/>
  <c r="J435" i="26"/>
  <c r="J434" i="26"/>
  <c r="H434" i="26"/>
  <c r="E434" i="26"/>
  <c r="D434" i="26"/>
  <c r="C433" i="26"/>
  <c r="D436" i="26" s="1"/>
  <c r="C427" i="26"/>
  <c r="H426" i="26"/>
  <c r="D426" i="26"/>
  <c r="J425" i="26"/>
  <c r="D425" i="26"/>
  <c r="D427" i="26" s="1"/>
  <c r="C424" i="26"/>
  <c r="C417" i="26"/>
  <c r="J416" i="26"/>
  <c r="J415" i="26"/>
  <c r="G415" i="26"/>
  <c r="J414" i="26"/>
  <c r="G414" i="26"/>
  <c r="D414" i="26"/>
  <c r="J413" i="26"/>
  <c r="E413" i="26"/>
  <c r="J412" i="26"/>
  <c r="H412" i="26"/>
  <c r="G412" i="26"/>
  <c r="E412" i="26"/>
  <c r="D412" i="26"/>
  <c r="F412" i="26" s="1"/>
  <c r="J411" i="26"/>
  <c r="J410" i="26"/>
  <c r="H410" i="26"/>
  <c r="E410" i="26"/>
  <c r="D410" i="26"/>
  <c r="F410" i="26" s="1"/>
  <c r="G409" i="26"/>
  <c r="J409" i="26" s="1"/>
  <c r="G408" i="26"/>
  <c r="J408" i="26" s="1"/>
  <c r="G407" i="26"/>
  <c r="E407" i="26" s="1"/>
  <c r="J406" i="26"/>
  <c r="G406" i="26"/>
  <c r="H406" i="26" s="1"/>
  <c r="G417" i="26"/>
  <c r="E405" i="26"/>
  <c r="C404" i="26"/>
  <c r="D406" i="26" s="1"/>
  <c r="C397" i="26"/>
  <c r="J396" i="26"/>
  <c r="G396" i="26"/>
  <c r="J395" i="26"/>
  <c r="H395" i="26"/>
  <c r="G395" i="26"/>
  <c r="E395" i="26" s="1"/>
  <c r="F395" i="26" s="1"/>
  <c r="D395" i="26"/>
  <c r="I395" i="26" s="1"/>
  <c r="G397" i="26"/>
  <c r="E394" i="26"/>
  <c r="J393" i="26"/>
  <c r="H393" i="26"/>
  <c r="G393" i="26"/>
  <c r="E393" i="26"/>
  <c r="D393" i="26"/>
  <c r="F393" i="26" s="1"/>
  <c r="C392" i="26"/>
  <c r="D394" i="26" s="1"/>
  <c r="C386" i="26"/>
  <c r="E385" i="26"/>
  <c r="J384" i="26"/>
  <c r="H384" i="26"/>
  <c r="G384" i="26"/>
  <c r="G386" i="26" s="1"/>
  <c r="D384" i="26"/>
  <c r="C383" i="26"/>
  <c r="D385" i="26" s="1"/>
  <c r="C376" i="26"/>
  <c r="G375" i="26"/>
  <c r="J375" i="26" s="1"/>
  <c r="G374" i="26"/>
  <c r="J374" i="26" s="1"/>
  <c r="D374" i="26"/>
  <c r="J373" i="26"/>
  <c r="G373" i="26"/>
  <c r="J372" i="26"/>
  <c r="G372" i="26"/>
  <c r="J371" i="26"/>
  <c r="G371" i="26"/>
  <c r="J370" i="26"/>
  <c r="G370" i="26"/>
  <c r="J369" i="26"/>
  <c r="G369" i="26"/>
  <c r="J368" i="26"/>
  <c r="H368" i="26"/>
  <c r="G368" i="26"/>
  <c r="E368" i="26"/>
  <c r="D368" i="26"/>
  <c r="F368" i="26" s="1"/>
  <c r="J367" i="26"/>
  <c r="J366" i="26"/>
  <c r="H366" i="26"/>
  <c r="G366" i="26"/>
  <c r="E366" i="26"/>
  <c r="D366" i="26"/>
  <c r="F366" i="26" s="1"/>
  <c r="H365" i="26"/>
  <c r="G365" i="26"/>
  <c r="J365" i="26" s="1"/>
  <c r="E365" i="26"/>
  <c r="G364" i="26"/>
  <c r="E364" i="26" s="1"/>
  <c r="J363" i="26"/>
  <c r="G363" i="26"/>
  <c r="J362" i="26"/>
  <c r="H362" i="26"/>
  <c r="E362" i="26"/>
  <c r="J361" i="26"/>
  <c r="H361" i="26"/>
  <c r="G361" i="26"/>
  <c r="E361" i="26" s="1"/>
  <c r="G360" i="26"/>
  <c r="J360" i="26" s="1"/>
  <c r="E360" i="26"/>
  <c r="C359" i="26"/>
  <c r="D361" i="26" s="1"/>
  <c r="C352" i="26"/>
  <c r="J351" i="26"/>
  <c r="G351" i="26"/>
  <c r="J350" i="26"/>
  <c r="H350" i="26"/>
  <c r="G350" i="26"/>
  <c r="E350" i="26" s="1"/>
  <c r="F350" i="26" s="1"/>
  <c r="D350" i="26"/>
  <c r="I350" i="26" s="1"/>
  <c r="G349" i="26"/>
  <c r="J349" i="26" s="1"/>
  <c r="E349" i="26"/>
  <c r="J348" i="26"/>
  <c r="H348" i="26"/>
  <c r="E348" i="26"/>
  <c r="J347" i="26"/>
  <c r="H347" i="26"/>
  <c r="G347" i="26"/>
  <c r="G352" i="26" s="1"/>
  <c r="D347" i="26"/>
  <c r="I347" i="26" s="1"/>
  <c r="C346" i="26"/>
  <c r="D348" i="26" s="1"/>
  <c r="C340" i="26"/>
  <c r="J339" i="26"/>
  <c r="H339" i="26"/>
  <c r="E339" i="26"/>
  <c r="G338" i="26"/>
  <c r="G340" i="26" s="1"/>
  <c r="C337" i="26"/>
  <c r="D338" i="26" s="1"/>
  <c r="C330" i="26"/>
  <c r="J329" i="26"/>
  <c r="G328" i="26"/>
  <c r="J328" i="26" s="1"/>
  <c r="D328" i="26"/>
  <c r="J327" i="26"/>
  <c r="G327" i="26"/>
  <c r="D327" i="26"/>
  <c r="G326" i="26"/>
  <c r="J326" i="26" s="1"/>
  <c r="D326" i="26"/>
  <c r="J325" i="26"/>
  <c r="G325" i="26"/>
  <c r="D325" i="26"/>
  <c r="G324" i="26"/>
  <c r="J324" i="26" s="1"/>
  <c r="J323" i="26"/>
  <c r="G323" i="26"/>
  <c r="G322" i="26"/>
  <c r="J322" i="26" s="1"/>
  <c r="G321" i="26"/>
  <c r="J321" i="26" s="1"/>
  <c r="H320" i="26"/>
  <c r="G320" i="26"/>
  <c r="J320" i="26" s="1"/>
  <c r="E320" i="26"/>
  <c r="G319" i="26"/>
  <c r="E319" i="26" s="1"/>
  <c r="J318" i="26"/>
  <c r="G318" i="26"/>
  <c r="H318" i="26" s="1"/>
  <c r="E318" i="26"/>
  <c r="J317" i="26"/>
  <c r="G317" i="26"/>
  <c r="J316" i="26"/>
  <c r="G316" i="26"/>
  <c r="J315" i="26"/>
  <c r="G315" i="26"/>
  <c r="J314" i="26"/>
  <c r="G314" i="26"/>
  <c r="J313" i="26"/>
  <c r="H313" i="26"/>
  <c r="G313" i="26"/>
  <c r="E313" i="26"/>
  <c r="H312" i="26"/>
  <c r="G312" i="26"/>
  <c r="E312" i="26"/>
  <c r="C311" i="26"/>
  <c r="D318" i="26" s="1"/>
  <c r="F318" i="26" s="1"/>
  <c r="C304" i="26"/>
  <c r="J303" i="26"/>
  <c r="J302" i="26"/>
  <c r="D302" i="26"/>
  <c r="H301" i="26"/>
  <c r="E301" i="26"/>
  <c r="G300" i="26"/>
  <c r="C299" i="26"/>
  <c r="D300" i="26" s="1"/>
  <c r="C293" i="26"/>
  <c r="J292" i="26"/>
  <c r="H292" i="26"/>
  <c r="E292" i="26"/>
  <c r="G291" i="26"/>
  <c r="J291" i="26" s="1"/>
  <c r="D291" i="26"/>
  <c r="D293" i="26" s="1"/>
  <c r="C290" i="26"/>
  <c r="D292" i="26" s="1"/>
  <c r="C283" i="26"/>
  <c r="J282" i="26"/>
  <c r="G282" i="26"/>
  <c r="J281" i="26"/>
  <c r="H281" i="26"/>
  <c r="G281" i="26"/>
  <c r="F281" i="26"/>
  <c r="E281" i="26"/>
  <c r="D281" i="26"/>
  <c r="I281" i="26" s="1"/>
  <c r="G280" i="26"/>
  <c r="J280" i="26" s="1"/>
  <c r="D280" i="26"/>
  <c r="J279" i="26"/>
  <c r="H279" i="26"/>
  <c r="G279" i="26"/>
  <c r="E279" i="26" s="1"/>
  <c r="G278" i="26"/>
  <c r="H278" i="26" s="1"/>
  <c r="J277" i="26"/>
  <c r="H277" i="26"/>
  <c r="E277" i="26"/>
  <c r="J276" i="26"/>
  <c r="G276" i="26"/>
  <c r="E276" i="26" s="1"/>
  <c r="D276" i="26"/>
  <c r="J275" i="26"/>
  <c r="H275" i="26"/>
  <c r="E275" i="26"/>
  <c r="J274" i="26"/>
  <c r="G274" i="26"/>
  <c r="J273" i="26"/>
  <c r="E273" i="26"/>
  <c r="D273" i="26"/>
  <c r="J272" i="26"/>
  <c r="H272" i="26"/>
  <c r="E272" i="26"/>
  <c r="J271" i="26"/>
  <c r="G271" i="26"/>
  <c r="J270" i="26"/>
  <c r="G270" i="26"/>
  <c r="H270" i="26" s="1"/>
  <c r="D270" i="26"/>
  <c r="C269" i="26"/>
  <c r="C261" i="26"/>
  <c r="J260" i="26"/>
  <c r="G260" i="26"/>
  <c r="G259" i="26"/>
  <c r="J259" i="26" s="1"/>
  <c r="D259" i="26"/>
  <c r="G261" i="26"/>
  <c r="E258" i="26"/>
  <c r="J257" i="26"/>
  <c r="H257" i="26"/>
  <c r="G257" i="26"/>
  <c r="E257" i="26" s="1"/>
  <c r="D257" i="26"/>
  <c r="F257" i="26" s="1"/>
  <c r="J256" i="26"/>
  <c r="H256" i="26"/>
  <c r="F256" i="26"/>
  <c r="E256" i="26"/>
  <c r="D256" i="26"/>
  <c r="C255" i="26"/>
  <c r="D258" i="26" s="1"/>
  <c r="G249" i="26"/>
  <c r="C249" i="26"/>
  <c r="J248" i="26"/>
  <c r="E248" i="26"/>
  <c r="J247" i="26"/>
  <c r="H247" i="26"/>
  <c r="G247" i="26"/>
  <c r="E247" i="26"/>
  <c r="D247" i="26"/>
  <c r="C246" i="26"/>
  <c r="D248" i="26" s="1"/>
  <c r="C239" i="26"/>
  <c r="J238" i="26"/>
  <c r="J237" i="26"/>
  <c r="G237" i="26"/>
  <c r="J236" i="26"/>
  <c r="H236" i="26"/>
  <c r="E236" i="26"/>
  <c r="J235" i="26"/>
  <c r="G235" i="26"/>
  <c r="J234" i="26"/>
  <c r="H234" i="26"/>
  <c r="G234" i="26"/>
  <c r="F234" i="26"/>
  <c r="E234" i="26"/>
  <c r="D234" i="26"/>
  <c r="I234" i="26" s="1"/>
  <c r="G233" i="26"/>
  <c r="J233" i="26" s="1"/>
  <c r="E233" i="26"/>
  <c r="J232" i="26"/>
  <c r="J231" i="26"/>
  <c r="E231" i="26"/>
  <c r="J230" i="26"/>
  <c r="G230" i="26"/>
  <c r="J229" i="26"/>
  <c r="H229" i="26"/>
  <c r="G229" i="26"/>
  <c r="E229" i="26"/>
  <c r="D229" i="26"/>
  <c r="I229" i="26" s="1"/>
  <c r="E228" i="26"/>
  <c r="J227" i="26"/>
  <c r="H227" i="26"/>
  <c r="G227" i="26"/>
  <c r="E227" i="26" s="1"/>
  <c r="D227" i="26"/>
  <c r="C226" i="26"/>
  <c r="D236" i="26" s="1"/>
  <c r="C219" i="26"/>
  <c r="G218" i="26"/>
  <c r="J218" i="26" s="1"/>
  <c r="G217" i="26"/>
  <c r="E217" i="26" s="1"/>
  <c r="J216" i="26"/>
  <c r="H216" i="26"/>
  <c r="E216" i="26"/>
  <c r="D216" i="26"/>
  <c r="C216" i="26"/>
  <c r="J215" i="26"/>
  <c r="G215" i="26"/>
  <c r="J214" i="26"/>
  <c r="H214" i="26"/>
  <c r="G214" i="26"/>
  <c r="E214" i="26"/>
  <c r="D214" i="26"/>
  <c r="C213" i="26"/>
  <c r="D217" i="26" s="1"/>
  <c r="C207" i="26"/>
  <c r="C206" i="26"/>
  <c r="G205" i="26"/>
  <c r="E205" i="26" s="1"/>
  <c r="C205" i="26"/>
  <c r="C203" i="26" s="1"/>
  <c r="G204" i="26"/>
  <c r="J204" i="26" s="1"/>
  <c r="C204" i="26"/>
  <c r="C196" i="26"/>
  <c r="J195" i="26"/>
  <c r="G194" i="26"/>
  <c r="J194" i="26" s="1"/>
  <c r="G193" i="26"/>
  <c r="J193" i="26" s="1"/>
  <c r="J192" i="26"/>
  <c r="H192" i="26"/>
  <c r="E192" i="26"/>
  <c r="D192" i="26"/>
  <c r="F192" i="26" s="1"/>
  <c r="G191" i="26"/>
  <c r="J191" i="26" s="1"/>
  <c r="G190" i="26"/>
  <c r="J190" i="26" s="1"/>
  <c r="G189" i="26"/>
  <c r="J189" i="26" s="1"/>
  <c r="G188" i="26"/>
  <c r="J188" i="26" s="1"/>
  <c r="G187" i="26"/>
  <c r="E187" i="26" s="1"/>
  <c r="J186" i="26"/>
  <c r="H186" i="26"/>
  <c r="E186" i="26"/>
  <c r="D186" i="26"/>
  <c r="G185" i="26"/>
  <c r="E185" i="26" s="1"/>
  <c r="J184" i="26"/>
  <c r="H184" i="26"/>
  <c r="G184" i="26"/>
  <c r="E184" i="26"/>
  <c r="D184" i="26"/>
  <c r="I184" i="26" s="1"/>
  <c r="G183" i="26"/>
  <c r="J183" i="26" s="1"/>
  <c r="J182" i="26"/>
  <c r="H182" i="26"/>
  <c r="E182" i="26"/>
  <c r="D182" i="26"/>
  <c r="F182" i="26" s="1"/>
  <c r="G181" i="26"/>
  <c r="J180" i="26"/>
  <c r="H180" i="26"/>
  <c r="G180" i="26"/>
  <c r="E180" i="26" s="1"/>
  <c r="D180" i="26"/>
  <c r="I180" i="26" s="1"/>
  <c r="C179" i="26"/>
  <c r="D185" i="26" s="1"/>
  <c r="C172" i="26"/>
  <c r="G171" i="26"/>
  <c r="J171" i="26" s="1"/>
  <c r="G170" i="26"/>
  <c r="E170" i="26" s="1"/>
  <c r="J169" i="26"/>
  <c r="H169" i="26"/>
  <c r="E169" i="26"/>
  <c r="G168" i="26"/>
  <c r="C167" i="26"/>
  <c r="D169" i="26" s="1"/>
  <c r="C160" i="26"/>
  <c r="J159" i="26"/>
  <c r="H159" i="26"/>
  <c r="E159" i="26"/>
  <c r="G158" i="26"/>
  <c r="C157" i="26"/>
  <c r="D158" i="26" s="1"/>
  <c r="C150" i="26"/>
  <c r="J149" i="26"/>
  <c r="G149" i="26"/>
  <c r="J148" i="26"/>
  <c r="G148" i="26"/>
  <c r="J147" i="26"/>
  <c r="G147" i="26"/>
  <c r="J146" i="26"/>
  <c r="G146" i="26"/>
  <c r="J145" i="26"/>
  <c r="G145" i="26"/>
  <c r="J144" i="26"/>
  <c r="H144" i="26"/>
  <c r="G144" i="26"/>
  <c r="F144" i="26"/>
  <c r="E144" i="26"/>
  <c r="D144" i="26"/>
  <c r="I144" i="26" s="1"/>
  <c r="G143" i="26"/>
  <c r="E143" i="26" s="1"/>
  <c r="J142" i="26"/>
  <c r="H142" i="26"/>
  <c r="E142" i="26"/>
  <c r="D142" i="26"/>
  <c r="G141" i="26"/>
  <c r="J141" i="26" s="1"/>
  <c r="G140" i="26"/>
  <c r="J140" i="26" s="1"/>
  <c r="G139" i="26"/>
  <c r="E139" i="26" s="1"/>
  <c r="F139" i="26" s="1"/>
  <c r="G138" i="26"/>
  <c r="E138" i="26"/>
  <c r="J137" i="26"/>
  <c r="H137" i="26"/>
  <c r="G137" i="26"/>
  <c r="D137" i="26"/>
  <c r="C136" i="26"/>
  <c r="D143" i="26" s="1"/>
  <c r="G128" i="26"/>
  <c r="J128" i="26" s="1"/>
  <c r="J127" i="26"/>
  <c r="H127" i="26"/>
  <c r="E127" i="26"/>
  <c r="J126" i="26"/>
  <c r="E126" i="26"/>
  <c r="F126" i="26" s="1"/>
  <c r="D126" i="26"/>
  <c r="J125" i="26"/>
  <c r="H125" i="26"/>
  <c r="E125" i="26"/>
  <c r="G124" i="26"/>
  <c r="E124" i="26"/>
  <c r="J123" i="26"/>
  <c r="H123" i="26"/>
  <c r="G123" i="26"/>
  <c r="E123" i="26" s="1"/>
  <c r="J122" i="26"/>
  <c r="H122" i="26"/>
  <c r="E122" i="26"/>
  <c r="E121" i="26"/>
  <c r="H120" i="26"/>
  <c r="E120" i="26"/>
  <c r="J119" i="26"/>
  <c r="G119" i="26"/>
  <c r="J118" i="26"/>
  <c r="H118" i="26"/>
  <c r="G118" i="26"/>
  <c r="E118" i="26" s="1"/>
  <c r="G117" i="26"/>
  <c r="H117" i="26" s="1"/>
  <c r="J116" i="26"/>
  <c r="H116" i="26"/>
  <c r="G116" i="26"/>
  <c r="E116" i="26"/>
  <c r="J115" i="26"/>
  <c r="E115" i="26"/>
  <c r="J114" i="26"/>
  <c r="J113" i="26"/>
  <c r="H113" i="26"/>
  <c r="G113" i="26"/>
  <c r="E113" i="26" s="1"/>
  <c r="G112" i="26"/>
  <c r="J112" i="26" s="1"/>
  <c r="J111" i="26"/>
  <c r="H111" i="26"/>
  <c r="E111" i="26"/>
  <c r="E110" i="26"/>
  <c r="J109" i="26"/>
  <c r="H109" i="26"/>
  <c r="E109" i="26"/>
  <c r="J108" i="26"/>
  <c r="J107" i="26"/>
  <c r="H107" i="26"/>
  <c r="G107" i="26"/>
  <c r="G129" i="26" s="1"/>
  <c r="E107" i="26"/>
  <c r="C106" i="26"/>
  <c r="D125" i="26" s="1"/>
  <c r="C105" i="26"/>
  <c r="D113" i="26" s="1"/>
  <c r="J95" i="26"/>
  <c r="E95" i="26"/>
  <c r="D95" i="26"/>
  <c r="J94" i="26"/>
  <c r="H94" i="26"/>
  <c r="E94" i="26"/>
  <c r="F94" i="26" s="1"/>
  <c r="D94" i="26"/>
  <c r="I94" i="26" s="1"/>
  <c r="J93" i="26"/>
  <c r="J91" i="26"/>
  <c r="J89" i="26"/>
  <c r="G88" i="26"/>
  <c r="J88" i="26" s="1"/>
  <c r="G87" i="26"/>
  <c r="J87" i="26" s="1"/>
  <c r="C86" i="26"/>
  <c r="J85" i="26"/>
  <c r="H85" i="26"/>
  <c r="E85" i="26"/>
  <c r="G84" i="26"/>
  <c r="E84" i="26" s="1"/>
  <c r="J83" i="26"/>
  <c r="H83" i="26"/>
  <c r="E83" i="26"/>
  <c r="J82" i="26"/>
  <c r="E82" i="26"/>
  <c r="J81" i="26"/>
  <c r="G81" i="26"/>
  <c r="C80" i="26"/>
  <c r="D83" i="26" s="1"/>
  <c r="G78" i="26"/>
  <c r="H78" i="26" s="1"/>
  <c r="C77" i="26"/>
  <c r="D78" i="26" s="1"/>
  <c r="H76" i="26"/>
  <c r="J75" i="26"/>
  <c r="H75" i="26"/>
  <c r="E75" i="26"/>
  <c r="J74" i="26"/>
  <c r="E74" i="26"/>
  <c r="C73" i="26"/>
  <c r="D76" i="26" s="1"/>
  <c r="G71" i="26"/>
  <c r="J71" i="26" s="1"/>
  <c r="E71" i="26"/>
  <c r="J70" i="26"/>
  <c r="H70" i="26"/>
  <c r="G70" i="26"/>
  <c r="E70" i="26"/>
  <c r="D70" i="26"/>
  <c r="F70" i="26" s="1"/>
  <c r="C69" i="26"/>
  <c r="D71" i="26" s="1"/>
  <c r="J68" i="26"/>
  <c r="J67" i="26"/>
  <c r="J66" i="26"/>
  <c r="C65" i="26"/>
  <c r="J64" i="26"/>
  <c r="J62" i="26"/>
  <c r="J61" i="26"/>
  <c r="J60" i="26"/>
  <c r="J59" i="26"/>
  <c r="H59" i="26"/>
  <c r="G59" i="26"/>
  <c r="E59" i="26" s="1"/>
  <c r="C58" i="26"/>
  <c r="H58" i="26" s="1"/>
  <c r="E57" i="26"/>
  <c r="J56" i="26"/>
  <c r="H56" i="26"/>
  <c r="E56" i="26"/>
  <c r="C55" i="26"/>
  <c r="D57" i="26" s="1"/>
  <c r="J54" i="26"/>
  <c r="E54" i="26"/>
  <c r="D54" i="26"/>
  <c r="F54" i="26" s="1"/>
  <c r="J51" i="26"/>
  <c r="J50" i="26"/>
  <c r="H50" i="26"/>
  <c r="G50" i="26"/>
  <c r="F50" i="26"/>
  <c r="E50" i="26"/>
  <c r="D50" i="26"/>
  <c r="I50" i="26" s="1"/>
  <c r="J49" i="26"/>
  <c r="H49" i="26"/>
  <c r="E49" i="26"/>
  <c r="D49" i="26"/>
  <c r="I49" i="26" s="1"/>
  <c r="E48" i="26"/>
  <c r="J47" i="26"/>
  <c r="G46" i="26"/>
  <c r="J46" i="26" s="1"/>
  <c r="C45" i="26"/>
  <c r="D48" i="26" s="1"/>
  <c r="J44" i="26"/>
  <c r="H44" i="26"/>
  <c r="G44" i="26"/>
  <c r="E44" i="26"/>
  <c r="G43" i="26"/>
  <c r="J43" i="26" s="1"/>
  <c r="E43" i="26"/>
  <c r="J42" i="26"/>
  <c r="H42" i="26"/>
  <c r="E42" i="26"/>
  <c r="E41" i="26"/>
  <c r="C40" i="26"/>
  <c r="D44" i="26" s="1"/>
  <c r="J39" i="26"/>
  <c r="H39" i="26"/>
  <c r="E39" i="26"/>
  <c r="E38" i="26"/>
  <c r="J37" i="26"/>
  <c r="H37" i="26"/>
  <c r="E37" i="26"/>
  <c r="J36" i="26"/>
  <c r="E36" i="26"/>
  <c r="J35" i="26"/>
  <c r="H35" i="26"/>
  <c r="E35" i="26"/>
  <c r="E34" i="26"/>
  <c r="J33" i="26"/>
  <c r="H33" i="26"/>
  <c r="E33" i="26"/>
  <c r="J32" i="26"/>
  <c r="E32" i="26"/>
  <c r="J31" i="26"/>
  <c r="H31" i="26"/>
  <c r="E31" i="26"/>
  <c r="H30" i="26"/>
  <c r="C29" i="26"/>
  <c r="D37" i="26" s="1"/>
  <c r="G27" i="26"/>
  <c r="J27" i="26" s="1"/>
  <c r="G26" i="26"/>
  <c r="J26" i="26" s="1"/>
  <c r="E26" i="26"/>
  <c r="J25" i="26"/>
  <c r="H25" i="26"/>
  <c r="G25" i="26"/>
  <c r="E25" i="26" s="1"/>
  <c r="D25" i="26"/>
  <c r="J24" i="26"/>
  <c r="H24" i="26"/>
  <c r="E24" i="26"/>
  <c r="J23" i="26"/>
  <c r="J22" i="26"/>
  <c r="G22" i="26"/>
  <c r="C21" i="26"/>
  <c r="D26" i="26" s="1"/>
  <c r="G20" i="26"/>
  <c r="J20" i="26" s="1"/>
  <c r="G19" i="26"/>
  <c r="J19" i="26" s="1"/>
  <c r="G18" i="26"/>
  <c r="J18" i="26" s="1"/>
  <c r="J17" i="26"/>
  <c r="J15" i="26"/>
  <c r="G15" i="26"/>
  <c r="J14" i="26"/>
  <c r="G13" i="26"/>
  <c r="E13" i="26" s="1"/>
  <c r="G12" i="26"/>
  <c r="G96" i="26" s="1"/>
  <c r="C11" i="26"/>
  <c r="D13" i="26" s="1"/>
  <c r="I186" i="26" l="1"/>
  <c r="I216" i="26"/>
  <c r="I142" i="26"/>
  <c r="F95" i="26"/>
  <c r="I13" i="26"/>
  <c r="F13" i="26"/>
  <c r="F37" i="26"/>
  <c r="I37" i="26"/>
  <c r="F57" i="26"/>
  <c r="I78" i="26"/>
  <c r="I113" i="26"/>
  <c r="F113" i="26"/>
  <c r="F25" i="26"/>
  <c r="F48" i="26"/>
  <c r="F71" i="26"/>
  <c r="I76" i="26"/>
  <c r="I125" i="26"/>
  <c r="F125" i="26"/>
  <c r="F26" i="26"/>
  <c r="I26" i="26"/>
  <c r="F44" i="26"/>
  <c r="I44" i="26"/>
  <c r="F83" i="26"/>
  <c r="I83" i="26"/>
  <c r="I169" i="26"/>
  <c r="F169" i="26"/>
  <c r="I217" i="26"/>
  <c r="C9" i="26"/>
  <c r="D24" i="26"/>
  <c r="E30" i="26"/>
  <c r="F49" i="26"/>
  <c r="D59" i="26"/>
  <c r="D75" i="26"/>
  <c r="E76" i="26"/>
  <c r="F76" i="26" s="1"/>
  <c r="E78" i="26"/>
  <c r="F78" i="26" s="1"/>
  <c r="D116" i="26"/>
  <c r="E117" i="26"/>
  <c r="J158" i="26"/>
  <c r="G160" i="26"/>
  <c r="H158" i="26"/>
  <c r="H168" i="26"/>
  <c r="J168" i="26"/>
  <c r="J181" i="26"/>
  <c r="H181" i="26"/>
  <c r="J13" i="26"/>
  <c r="H26" i="26"/>
  <c r="J30" i="26"/>
  <c r="D32" i="26"/>
  <c r="H32" i="26"/>
  <c r="J34" i="26"/>
  <c r="D36" i="26"/>
  <c r="H36" i="26"/>
  <c r="J38" i="26"/>
  <c r="J41" i="26"/>
  <c r="D43" i="26"/>
  <c r="H43" i="26"/>
  <c r="J48" i="26"/>
  <c r="H54" i="26"/>
  <c r="I54" i="26" s="1"/>
  <c r="D56" i="26"/>
  <c r="J57" i="26"/>
  <c r="H71" i="26"/>
  <c r="I71" i="26" s="1"/>
  <c r="D74" i="26"/>
  <c r="H74" i="26"/>
  <c r="J76" i="26"/>
  <c r="J78" i="26"/>
  <c r="D82" i="26"/>
  <c r="H82" i="26"/>
  <c r="J84" i="26"/>
  <c r="H95" i="26"/>
  <c r="I95" i="26" s="1"/>
  <c r="C104" i="26"/>
  <c r="J110" i="26"/>
  <c r="D114" i="26"/>
  <c r="D115" i="26"/>
  <c r="H115" i="26"/>
  <c r="J117" i="26"/>
  <c r="J121" i="26"/>
  <c r="H121" i="26"/>
  <c r="D123" i="26"/>
  <c r="G150" i="26"/>
  <c r="J138" i="26"/>
  <c r="H138" i="26"/>
  <c r="F142" i="26"/>
  <c r="I158" i="26"/>
  <c r="F185" i="26"/>
  <c r="I185" i="26"/>
  <c r="D219" i="26"/>
  <c r="I214" i="26"/>
  <c r="F236" i="26"/>
  <c r="I236" i="26"/>
  <c r="F247" i="26"/>
  <c r="I247" i="26"/>
  <c r="D249" i="26"/>
  <c r="F292" i="26"/>
  <c r="I292" i="26"/>
  <c r="D85" i="26"/>
  <c r="D111" i="26"/>
  <c r="F143" i="26"/>
  <c r="F158" i="26"/>
  <c r="I182" i="26"/>
  <c r="I192" i="26"/>
  <c r="H205" i="26"/>
  <c r="J205" i="26"/>
  <c r="I227" i="26"/>
  <c r="F258" i="26"/>
  <c r="D31" i="26"/>
  <c r="D35" i="26"/>
  <c r="D42" i="26"/>
  <c r="D124" i="26"/>
  <c r="D121" i="26"/>
  <c r="D118" i="26"/>
  <c r="D127" i="26"/>
  <c r="J143" i="26"/>
  <c r="H143" i="26"/>
  <c r="D159" i="26"/>
  <c r="D160" i="26" s="1"/>
  <c r="D168" i="26"/>
  <c r="D170" i="26"/>
  <c r="H13" i="26"/>
  <c r="I25" i="26"/>
  <c r="D30" i="26"/>
  <c r="D34" i="26"/>
  <c r="H34" i="26"/>
  <c r="D38" i="26"/>
  <c r="H38" i="26"/>
  <c r="D41" i="26"/>
  <c r="H41" i="26"/>
  <c r="H48" i="26"/>
  <c r="I48" i="26" s="1"/>
  <c r="H57" i="26"/>
  <c r="I57" i="26" s="1"/>
  <c r="I70" i="26"/>
  <c r="D84" i="26"/>
  <c r="H84" i="26"/>
  <c r="D110" i="26"/>
  <c r="H110" i="26"/>
  <c r="D117" i="26"/>
  <c r="D120" i="26"/>
  <c r="J120" i="26"/>
  <c r="D122" i="26"/>
  <c r="J124" i="26"/>
  <c r="H124" i="26"/>
  <c r="I137" i="26"/>
  <c r="I143" i="26"/>
  <c r="E158" i="26"/>
  <c r="E168" i="26"/>
  <c r="F180" i="26"/>
  <c r="E181" i="26"/>
  <c r="F184" i="26"/>
  <c r="F186" i="26"/>
  <c r="G207" i="26"/>
  <c r="F214" i="26"/>
  <c r="F216" i="26"/>
  <c r="F227" i="26"/>
  <c r="D33" i="26"/>
  <c r="D107" i="26"/>
  <c r="D109" i="26"/>
  <c r="H139" i="26"/>
  <c r="I139" i="26" s="1"/>
  <c r="J139" i="26"/>
  <c r="J170" i="26"/>
  <c r="H170" i="26"/>
  <c r="G172" i="26"/>
  <c r="H185" i="26"/>
  <c r="J185" i="26"/>
  <c r="J187" i="26"/>
  <c r="H187" i="26"/>
  <c r="D205" i="26"/>
  <c r="F217" i="26"/>
  <c r="J217" i="26"/>
  <c r="H217" i="26"/>
  <c r="G219" i="26"/>
  <c r="J228" i="26"/>
  <c r="H228" i="26"/>
  <c r="F229" i="26"/>
  <c r="F248" i="26"/>
  <c r="D138" i="26"/>
  <c r="D181" i="26"/>
  <c r="D187" i="26"/>
  <c r="G196" i="26"/>
  <c r="D228" i="26"/>
  <c r="D231" i="26"/>
  <c r="H231" i="26"/>
  <c r="D233" i="26"/>
  <c r="H233" i="26"/>
  <c r="H248" i="26"/>
  <c r="I248" i="26" s="1"/>
  <c r="H258" i="26"/>
  <c r="I258" i="26" s="1"/>
  <c r="E259" i="26"/>
  <c r="F259" i="26" s="1"/>
  <c r="D278" i="26"/>
  <c r="D275" i="26"/>
  <c r="D283" i="26" s="1"/>
  <c r="D272" i="26"/>
  <c r="H273" i="26"/>
  <c r="I273" i="26" s="1"/>
  <c r="H276" i="26"/>
  <c r="D279" i="26"/>
  <c r="E291" i="26"/>
  <c r="F300" i="26"/>
  <c r="D301" i="26"/>
  <c r="J301" i="26"/>
  <c r="H302" i="26"/>
  <c r="D304" i="26"/>
  <c r="G330" i="26"/>
  <c r="J312" i="26"/>
  <c r="D320" i="26"/>
  <c r="I338" i="26"/>
  <c r="D386" i="26"/>
  <c r="I270" i="26"/>
  <c r="I276" i="26"/>
  <c r="G293" i="26"/>
  <c r="G304" i="26"/>
  <c r="H300" i="26"/>
  <c r="I300" i="26" s="1"/>
  <c r="I302" i="26"/>
  <c r="I318" i="26"/>
  <c r="E338" i="26"/>
  <c r="F338" i="26" s="1"/>
  <c r="H338" i="26"/>
  <c r="J338" i="26"/>
  <c r="I348" i="26"/>
  <c r="F348" i="26"/>
  <c r="I406" i="26"/>
  <c r="E137" i="26"/>
  <c r="F137" i="26" s="1"/>
  <c r="I257" i="26"/>
  <c r="J258" i="26"/>
  <c r="H259" i="26"/>
  <c r="F273" i="26"/>
  <c r="F276" i="26"/>
  <c r="D277" i="26"/>
  <c r="H291" i="26"/>
  <c r="E302" i="26"/>
  <c r="F302" i="26" s="1"/>
  <c r="D312" i="26"/>
  <c r="H319" i="26"/>
  <c r="D339" i="26"/>
  <c r="D340" i="26" s="1"/>
  <c r="F361" i="26"/>
  <c r="I361" i="26"/>
  <c r="F394" i="26"/>
  <c r="D261" i="26"/>
  <c r="I256" i="26"/>
  <c r="I259" i="26"/>
  <c r="G283" i="26"/>
  <c r="E270" i="26"/>
  <c r="F270" i="26" s="1"/>
  <c r="E278" i="26"/>
  <c r="J278" i="26"/>
  <c r="F291" i="26"/>
  <c r="I291" i="26"/>
  <c r="E300" i="26"/>
  <c r="J300" i="26"/>
  <c r="D313" i="26"/>
  <c r="D319" i="26"/>
  <c r="J319" i="26"/>
  <c r="F385" i="26"/>
  <c r="F436" i="26"/>
  <c r="I436" i="26"/>
  <c r="E347" i="26"/>
  <c r="F347" i="26" s="1"/>
  <c r="D349" i="26"/>
  <c r="H349" i="26"/>
  <c r="D360" i="26"/>
  <c r="H360" i="26"/>
  <c r="J364" i="26"/>
  <c r="E384" i="26"/>
  <c r="F384" i="26" s="1"/>
  <c r="I384" i="26"/>
  <c r="J385" i="26"/>
  <c r="H394" i="26"/>
  <c r="I394" i="26" s="1"/>
  <c r="D405" i="26"/>
  <c r="H405" i="26"/>
  <c r="E406" i="26"/>
  <c r="F406" i="26" s="1"/>
  <c r="J407" i="26"/>
  <c r="D413" i="26"/>
  <c r="H413" i="26"/>
  <c r="E426" i="26"/>
  <c r="F426" i="26" s="1"/>
  <c r="I426" i="26"/>
  <c r="G427" i="26"/>
  <c r="F434" i="26"/>
  <c r="D437" i="26"/>
  <c r="D439" i="26" s="1"/>
  <c r="H437" i="26"/>
  <c r="G376" i="26"/>
  <c r="D397" i="26"/>
  <c r="J426" i="26"/>
  <c r="E437" i="26"/>
  <c r="D362" i="26"/>
  <c r="D364" i="26"/>
  <c r="H364" i="26"/>
  <c r="I366" i="26"/>
  <c r="I368" i="26"/>
  <c r="H385" i="26"/>
  <c r="I385" i="26" s="1"/>
  <c r="I393" i="26"/>
  <c r="J394" i="26"/>
  <c r="J405" i="26"/>
  <c r="D407" i="26"/>
  <c r="H407" i="26"/>
  <c r="I410" i="26"/>
  <c r="I412" i="26"/>
  <c r="I434" i="26"/>
  <c r="J437" i="26"/>
  <c r="G436" i="25"/>
  <c r="G426" i="25"/>
  <c r="G394" i="25"/>
  <c r="G385" i="25"/>
  <c r="G349" i="25"/>
  <c r="G301" i="25"/>
  <c r="G292" i="25"/>
  <c r="F413" i="26" l="1"/>
  <c r="I413" i="26"/>
  <c r="I319" i="26"/>
  <c r="F319" i="26"/>
  <c r="D330" i="26"/>
  <c r="F312" i="26"/>
  <c r="I312" i="26"/>
  <c r="I279" i="26"/>
  <c r="F279" i="26"/>
  <c r="F181" i="26"/>
  <c r="I181" i="26"/>
  <c r="D207" i="26"/>
  <c r="F205" i="26"/>
  <c r="I205" i="26"/>
  <c r="I122" i="26"/>
  <c r="F122" i="26"/>
  <c r="F34" i="26"/>
  <c r="I34" i="26"/>
  <c r="F170" i="26"/>
  <c r="I170" i="26"/>
  <c r="F124" i="26"/>
  <c r="I124" i="26"/>
  <c r="F56" i="26"/>
  <c r="I56" i="26"/>
  <c r="F36" i="26"/>
  <c r="I36" i="26"/>
  <c r="F349" i="26"/>
  <c r="I349" i="26"/>
  <c r="F313" i="26"/>
  <c r="I313" i="26"/>
  <c r="D352" i="26"/>
  <c r="I301" i="26"/>
  <c r="F301" i="26"/>
  <c r="I278" i="26"/>
  <c r="F278" i="26"/>
  <c r="F228" i="26"/>
  <c r="I228" i="26"/>
  <c r="F138" i="26"/>
  <c r="I138" i="26"/>
  <c r="D150" i="26"/>
  <c r="D196" i="26"/>
  <c r="F33" i="26"/>
  <c r="I33" i="26"/>
  <c r="F110" i="26"/>
  <c r="I110" i="26"/>
  <c r="I30" i="26"/>
  <c r="F30" i="26"/>
  <c r="D172" i="26"/>
  <c r="F168" i="26"/>
  <c r="I168" i="26"/>
  <c r="I127" i="26"/>
  <c r="F127" i="26"/>
  <c r="F42" i="26"/>
  <c r="I42" i="26"/>
  <c r="I123" i="26"/>
  <c r="F123" i="26"/>
  <c r="F82" i="26"/>
  <c r="I82" i="26"/>
  <c r="F74" i="26"/>
  <c r="I74" i="26"/>
  <c r="F437" i="26"/>
  <c r="I437" i="26"/>
  <c r="I38" i="26"/>
  <c r="F38" i="26"/>
  <c r="I159" i="26"/>
  <c r="F159" i="26"/>
  <c r="I24" i="26"/>
  <c r="F24" i="26"/>
  <c r="F339" i="26"/>
  <c r="I339" i="26"/>
  <c r="F233" i="26"/>
  <c r="I233" i="26"/>
  <c r="I120" i="26"/>
  <c r="F120" i="26"/>
  <c r="F118" i="26"/>
  <c r="I118" i="26"/>
  <c r="I35" i="26"/>
  <c r="F35" i="26"/>
  <c r="F111" i="26"/>
  <c r="I111" i="26"/>
  <c r="F115" i="26"/>
  <c r="I115" i="26"/>
  <c r="F75" i="26"/>
  <c r="I75" i="26"/>
  <c r="I407" i="26"/>
  <c r="F407" i="26"/>
  <c r="I364" i="26"/>
  <c r="F364" i="26"/>
  <c r="F360" i="26"/>
  <c r="D376" i="26"/>
  <c r="I360" i="26"/>
  <c r="F277" i="26"/>
  <c r="I277" i="26"/>
  <c r="F320" i="26"/>
  <c r="I320" i="26"/>
  <c r="I272" i="26"/>
  <c r="F272" i="26"/>
  <c r="F187" i="26"/>
  <c r="I187" i="26"/>
  <c r="F109" i="26"/>
  <c r="I109" i="26"/>
  <c r="F117" i="26"/>
  <c r="I117" i="26"/>
  <c r="F84" i="26"/>
  <c r="I84" i="26"/>
  <c r="F121" i="26"/>
  <c r="I121" i="26"/>
  <c r="I31" i="26"/>
  <c r="F31" i="26"/>
  <c r="D239" i="26"/>
  <c r="F85" i="26"/>
  <c r="I85" i="26"/>
  <c r="I114" i="26"/>
  <c r="F114" i="26"/>
  <c r="F32" i="26"/>
  <c r="I32" i="26"/>
  <c r="F116" i="26"/>
  <c r="I116" i="26"/>
  <c r="F59" i="26"/>
  <c r="I59" i="26"/>
  <c r="I362" i="26"/>
  <c r="F362" i="26"/>
  <c r="D417" i="26"/>
  <c r="F405" i="26"/>
  <c r="I405" i="26"/>
  <c r="I275" i="26"/>
  <c r="F275" i="26"/>
  <c r="F231" i="26"/>
  <c r="I231" i="26"/>
  <c r="F107" i="26"/>
  <c r="I107" i="26"/>
  <c r="F41" i="26"/>
  <c r="I41" i="26"/>
  <c r="F43" i="26"/>
  <c r="I43" i="26"/>
  <c r="G258" i="25"/>
  <c r="G248" i="25"/>
  <c r="G216" i="25"/>
  <c r="G206" i="25"/>
  <c r="G169" i="25"/>
  <c r="G159" i="25"/>
  <c r="G187" i="25"/>
  <c r="G180" i="25"/>
  <c r="G276" i="25"/>
  <c r="G125" i="25"/>
  <c r="G123" i="25"/>
  <c r="G120" i="25"/>
  <c r="G115" i="25"/>
  <c r="G110" i="25"/>
  <c r="G109" i="25"/>
  <c r="G95" i="25"/>
  <c r="G89" i="25"/>
  <c r="G85" i="25"/>
  <c r="G83" i="25"/>
  <c r="G82" i="25"/>
  <c r="G76" i="25"/>
  <c r="G62" i="25"/>
  <c r="G41" i="25"/>
  <c r="G19" i="25"/>
  <c r="G13" i="25"/>
  <c r="G12" i="25"/>
  <c r="G26" i="25"/>
  <c r="G338" i="25" l="1"/>
  <c r="G170" i="25"/>
  <c r="G145" i="25" l="1"/>
  <c r="G144" i="25"/>
  <c r="G137" i="25"/>
  <c r="G107" i="25" l="1"/>
  <c r="G88" i="25"/>
  <c r="G71" i="25"/>
  <c r="G54" i="25"/>
  <c r="G51" i="25"/>
  <c r="G15" i="25"/>
  <c r="J436" i="25" l="1"/>
  <c r="G427" i="25"/>
  <c r="G395" i="25"/>
  <c r="G393" i="25"/>
  <c r="J393" i="25" s="1"/>
  <c r="G350" i="25"/>
  <c r="J350" i="25" s="1"/>
  <c r="G347" i="25"/>
  <c r="H301" i="25"/>
  <c r="J258" i="25"/>
  <c r="G257" i="25"/>
  <c r="G217" i="25"/>
  <c r="H217" i="25" s="1"/>
  <c r="G283" i="25"/>
  <c r="G150" i="25"/>
  <c r="G326" i="25"/>
  <c r="J326" i="25" s="1"/>
  <c r="G319" i="25"/>
  <c r="J319" i="25" s="1"/>
  <c r="G314" i="25"/>
  <c r="J314" i="25" s="1"/>
  <c r="G193" i="25"/>
  <c r="G149" i="25"/>
  <c r="G372" i="25"/>
  <c r="G281" i="25"/>
  <c r="H281" i="25" s="1"/>
  <c r="G280" i="25"/>
  <c r="G271" i="25"/>
  <c r="G126" i="25"/>
  <c r="E125" i="25"/>
  <c r="G124" i="25"/>
  <c r="H124" i="25" s="1"/>
  <c r="G121" i="25"/>
  <c r="E121" i="25" s="1"/>
  <c r="G118" i="25"/>
  <c r="G113" i="25"/>
  <c r="H113" i="25" s="1"/>
  <c r="G112" i="25"/>
  <c r="J112" i="25" s="1"/>
  <c r="J95" i="25"/>
  <c r="E82" i="25"/>
  <c r="G78" i="25"/>
  <c r="G75" i="25"/>
  <c r="H75" i="25" s="1"/>
  <c r="G74" i="25"/>
  <c r="J62" i="25"/>
  <c r="G57" i="25"/>
  <c r="H57" i="25" s="1"/>
  <c r="G39" i="25"/>
  <c r="G38" i="25"/>
  <c r="G37" i="25"/>
  <c r="G36" i="25"/>
  <c r="G35" i="25"/>
  <c r="H35" i="25" s="1"/>
  <c r="G34" i="25"/>
  <c r="G31" i="25"/>
  <c r="H31" i="25" s="1"/>
  <c r="G30" i="25"/>
  <c r="G20" i="25"/>
  <c r="G18" i="25"/>
  <c r="J15" i="25"/>
  <c r="G25" i="25"/>
  <c r="C439" i="25"/>
  <c r="J438" i="25"/>
  <c r="G438" i="25"/>
  <c r="H437" i="25"/>
  <c r="G437" i="25"/>
  <c r="E437" i="25"/>
  <c r="D437" i="25"/>
  <c r="J435" i="25"/>
  <c r="J434" i="25"/>
  <c r="H434" i="25"/>
  <c r="E434" i="25"/>
  <c r="C433" i="25"/>
  <c r="D434" i="25" s="1"/>
  <c r="D427" i="25"/>
  <c r="C427" i="25"/>
  <c r="J426" i="25"/>
  <c r="H426" i="25"/>
  <c r="E426" i="25"/>
  <c r="D426" i="25"/>
  <c r="J425" i="25"/>
  <c r="D425" i="25"/>
  <c r="C424" i="25"/>
  <c r="C417" i="25"/>
  <c r="J416" i="25"/>
  <c r="G415" i="25"/>
  <c r="J415" i="25" s="1"/>
  <c r="J414" i="25"/>
  <c r="G414" i="25"/>
  <c r="D414" i="25"/>
  <c r="J413" i="25"/>
  <c r="G413" i="25"/>
  <c r="E413" i="25" s="1"/>
  <c r="J412" i="25"/>
  <c r="H412" i="25"/>
  <c r="G412" i="25"/>
  <c r="E412" i="25"/>
  <c r="J411" i="25"/>
  <c r="J410" i="25"/>
  <c r="H410" i="25"/>
  <c r="G410" i="25"/>
  <c r="E410" i="25"/>
  <c r="G409" i="25"/>
  <c r="J409" i="25" s="1"/>
  <c r="J408" i="25"/>
  <c r="G408" i="25"/>
  <c r="H407" i="25"/>
  <c r="G407" i="25"/>
  <c r="J407" i="25" s="1"/>
  <c r="E407" i="25"/>
  <c r="D407" i="25"/>
  <c r="G406" i="25"/>
  <c r="J405" i="25"/>
  <c r="G405" i="25"/>
  <c r="E405" i="25" s="1"/>
  <c r="C404" i="25"/>
  <c r="D412" i="25" s="1"/>
  <c r="F412" i="25" s="1"/>
  <c r="C397" i="25"/>
  <c r="G396" i="25"/>
  <c r="J396" i="25" s="1"/>
  <c r="D395" i="25"/>
  <c r="J394" i="25"/>
  <c r="E394" i="25"/>
  <c r="F394" i="25" s="1"/>
  <c r="H393" i="25"/>
  <c r="D393" i="25"/>
  <c r="C392" i="25"/>
  <c r="D394" i="25" s="1"/>
  <c r="C386" i="25"/>
  <c r="J384" i="25"/>
  <c r="G384" i="25"/>
  <c r="E384" i="25" s="1"/>
  <c r="F384" i="25"/>
  <c r="C383" i="25"/>
  <c r="D384" i="25" s="1"/>
  <c r="C376" i="25"/>
  <c r="G375" i="25"/>
  <c r="J375" i="25" s="1"/>
  <c r="G374" i="25"/>
  <c r="J374" i="25" s="1"/>
  <c r="D374" i="25"/>
  <c r="J373" i="25"/>
  <c r="G373" i="25"/>
  <c r="J372" i="25"/>
  <c r="G371" i="25"/>
  <c r="J371" i="25" s="1"/>
  <c r="G370" i="25"/>
  <c r="J370" i="25" s="1"/>
  <c r="G369" i="25"/>
  <c r="J369" i="25" s="1"/>
  <c r="G368" i="25"/>
  <c r="D368" i="25"/>
  <c r="J367" i="25"/>
  <c r="G366" i="25"/>
  <c r="D366" i="25"/>
  <c r="J365" i="25"/>
  <c r="G365" i="25"/>
  <c r="H365" i="25" s="1"/>
  <c r="E365" i="25"/>
  <c r="J364" i="25"/>
  <c r="G364" i="25"/>
  <c r="E364" i="25" s="1"/>
  <c r="G363" i="25"/>
  <c r="J363" i="25" s="1"/>
  <c r="J362" i="25"/>
  <c r="H362" i="25"/>
  <c r="E362" i="25"/>
  <c r="J361" i="25"/>
  <c r="I361" i="25"/>
  <c r="G361" i="25"/>
  <c r="H361" i="25" s="1"/>
  <c r="E361" i="25"/>
  <c r="H360" i="25"/>
  <c r="G360" i="25"/>
  <c r="J360" i="25" s="1"/>
  <c r="E360" i="25"/>
  <c r="D360" i="25"/>
  <c r="C359" i="25"/>
  <c r="D361" i="25" s="1"/>
  <c r="C352" i="25"/>
  <c r="G351" i="25"/>
  <c r="J351" i="25" s="1"/>
  <c r="H349" i="25"/>
  <c r="E349" i="25"/>
  <c r="D349" i="25"/>
  <c r="J348" i="25"/>
  <c r="H348" i="25"/>
  <c r="E348" i="25"/>
  <c r="J347" i="25"/>
  <c r="H347" i="25"/>
  <c r="E347" i="25"/>
  <c r="D347" i="25"/>
  <c r="I347" i="25" s="1"/>
  <c r="C346" i="25"/>
  <c r="D350" i="25" s="1"/>
  <c r="C340" i="25"/>
  <c r="D339" i="25"/>
  <c r="J338" i="25"/>
  <c r="H338" i="25"/>
  <c r="E338" i="25"/>
  <c r="C337" i="25"/>
  <c r="D338" i="25" s="1"/>
  <c r="C330" i="25"/>
  <c r="J329" i="25"/>
  <c r="G328" i="25"/>
  <c r="J328" i="25" s="1"/>
  <c r="D328" i="25"/>
  <c r="G327" i="25"/>
  <c r="J327" i="25" s="1"/>
  <c r="D327" i="25"/>
  <c r="D326" i="25"/>
  <c r="G325" i="25"/>
  <c r="J325" i="25" s="1"/>
  <c r="D325" i="25"/>
  <c r="G324" i="25"/>
  <c r="J324" i="25" s="1"/>
  <c r="J323" i="25"/>
  <c r="G323" i="25"/>
  <c r="G322" i="25"/>
  <c r="J322" i="25" s="1"/>
  <c r="J321" i="25"/>
  <c r="G321" i="25"/>
  <c r="H320" i="25"/>
  <c r="G320" i="25"/>
  <c r="J320" i="25" s="1"/>
  <c r="E320" i="25"/>
  <c r="D320" i="25"/>
  <c r="J318" i="25"/>
  <c r="H318" i="25"/>
  <c r="G318" i="25"/>
  <c r="E318" i="25"/>
  <c r="G317" i="25"/>
  <c r="J317" i="25" s="1"/>
  <c r="J316" i="25"/>
  <c r="G316" i="25"/>
  <c r="G315" i="25"/>
  <c r="J315" i="25" s="1"/>
  <c r="G313" i="25"/>
  <c r="J312" i="25"/>
  <c r="G312" i="25"/>
  <c r="E312" i="25" s="1"/>
  <c r="C311" i="25"/>
  <c r="D318" i="25" s="1"/>
  <c r="C304" i="25"/>
  <c r="J303" i="25"/>
  <c r="J302" i="25"/>
  <c r="G302" i="25"/>
  <c r="E302" i="25" s="1"/>
  <c r="J301" i="25"/>
  <c r="E301" i="25"/>
  <c r="J300" i="25"/>
  <c r="H300" i="25"/>
  <c r="G300" i="25"/>
  <c r="E300" i="25"/>
  <c r="D300" i="25"/>
  <c r="C299" i="25"/>
  <c r="D301" i="25" s="1"/>
  <c r="C293" i="25"/>
  <c r="J292" i="25"/>
  <c r="H292" i="25"/>
  <c r="E292" i="25"/>
  <c r="J291" i="25"/>
  <c r="G291" i="25"/>
  <c r="H291" i="25" s="1"/>
  <c r="E291" i="25"/>
  <c r="C290" i="25"/>
  <c r="D291" i="25" s="1"/>
  <c r="C283" i="25"/>
  <c r="G282" i="25"/>
  <c r="J282" i="25" s="1"/>
  <c r="J281" i="25"/>
  <c r="E281" i="25"/>
  <c r="J280" i="25"/>
  <c r="D280" i="25"/>
  <c r="J279" i="25"/>
  <c r="G279" i="25"/>
  <c r="E279" i="25" s="1"/>
  <c r="J278" i="25"/>
  <c r="H278" i="25"/>
  <c r="G278" i="25"/>
  <c r="E278" i="25"/>
  <c r="J277" i="25"/>
  <c r="H277" i="25"/>
  <c r="E277" i="25"/>
  <c r="D277" i="25"/>
  <c r="F277" i="25" s="1"/>
  <c r="J276" i="25"/>
  <c r="E276" i="25"/>
  <c r="J275" i="25"/>
  <c r="H275" i="25"/>
  <c r="G275" i="25"/>
  <c r="E275" i="25"/>
  <c r="G274" i="25"/>
  <c r="J274" i="25" s="1"/>
  <c r="J273" i="25"/>
  <c r="G273" i="25"/>
  <c r="E273" i="25" s="1"/>
  <c r="J272" i="25"/>
  <c r="H272" i="25"/>
  <c r="G272" i="25"/>
  <c r="E272" i="25"/>
  <c r="J271" i="25"/>
  <c r="J270" i="25"/>
  <c r="G270" i="25"/>
  <c r="H270" i="25" s="1"/>
  <c r="E270" i="25"/>
  <c r="C269" i="25"/>
  <c r="D281" i="25" s="1"/>
  <c r="C261" i="25"/>
  <c r="G260" i="25"/>
  <c r="J260" i="25" s="1"/>
  <c r="J259" i="25"/>
  <c r="G259" i="25"/>
  <c r="E259" i="25" s="1"/>
  <c r="E258" i="25"/>
  <c r="J257" i="25"/>
  <c r="H257" i="25"/>
  <c r="E257" i="25"/>
  <c r="D257" i="25"/>
  <c r="J256" i="25"/>
  <c r="H256" i="25"/>
  <c r="E256" i="25"/>
  <c r="C255" i="25"/>
  <c r="D258" i="25" s="1"/>
  <c r="F258" i="25" s="1"/>
  <c r="C249" i="25"/>
  <c r="H248" i="25"/>
  <c r="J248" i="25"/>
  <c r="E248" i="25"/>
  <c r="G247" i="25"/>
  <c r="C246" i="25"/>
  <c r="D247" i="25" s="1"/>
  <c r="C239" i="25"/>
  <c r="J238" i="25"/>
  <c r="J237" i="25"/>
  <c r="G237" i="25"/>
  <c r="J236" i="25"/>
  <c r="I236" i="25"/>
  <c r="H236" i="25"/>
  <c r="E236" i="25"/>
  <c r="G235" i="25"/>
  <c r="J235" i="25" s="1"/>
  <c r="J234" i="25"/>
  <c r="G234" i="25"/>
  <c r="H234" i="25" s="1"/>
  <c r="E234" i="25"/>
  <c r="H233" i="25"/>
  <c r="G233" i="25"/>
  <c r="J233" i="25" s="1"/>
  <c r="E233" i="25"/>
  <c r="J232" i="25"/>
  <c r="H231" i="25"/>
  <c r="G231" i="25"/>
  <c r="J231" i="25" s="1"/>
  <c r="E231" i="25"/>
  <c r="D231" i="25"/>
  <c r="F231" i="25" s="1"/>
  <c r="G230" i="25"/>
  <c r="J230" i="25" s="1"/>
  <c r="J229" i="25"/>
  <c r="G229" i="25"/>
  <c r="H229" i="25" s="1"/>
  <c r="E229" i="25"/>
  <c r="H228" i="25"/>
  <c r="G228" i="25"/>
  <c r="J228" i="25" s="1"/>
  <c r="E228" i="25"/>
  <c r="G227" i="25"/>
  <c r="E227" i="25"/>
  <c r="C226" i="25"/>
  <c r="D236" i="25" s="1"/>
  <c r="F236" i="25" s="1"/>
  <c r="J218" i="25"/>
  <c r="G218" i="25"/>
  <c r="J217" i="25"/>
  <c r="H216" i="25"/>
  <c r="E216" i="25"/>
  <c r="C216" i="25"/>
  <c r="C219" i="25" s="1"/>
  <c r="G215" i="25"/>
  <c r="J215" i="25" s="1"/>
  <c r="G214" i="25"/>
  <c r="C213" i="25"/>
  <c r="C206" i="25"/>
  <c r="J205" i="25"/>
  <c r="H205" i="25"/>
  <c r="G205" i="25"/>
  <c r="E205" i="25"/>
  <c r="C205" i="25"/>
  <c r="G204" i="25"/>
  <c r="G207" i="25" s="1"/>
  <c r="C204" i="25"/>
  <c r="C196" i="25"/>
  <c r="J195" i="25"/>
  <c r="J194" i="25"/>
  <c r="G194" i="25"/>
  <c r="J193" i="25"/>
  <c r="J192" i="25"/>
  <c r="H192" i="25"/>
  <c r="F192" i="25"/>
  <c r="E192" i="25"/>
  <c r="D192" i="25"/>
  <c r="I192" i="25" s="1"/>
  <c r="G191" i="25"/>
  <c r="J191" i="25" s="1"/>
  <c r="G190" i="25"/>
  <c r="J190" i="25" s="1"/>
  <c r="G189" i="25"/>
  <c r="J189" i="25" s="1"/>
  <c r="G188" i="25"/>
  <c r="J188" i="25" s="1"/>
  <c r="H187" i="25"/>
  <c r="E187" i="25"/>
  <c r="J186" i="25"/>
  <c r="H186" i="25"/>
  <c r="G186" i="25"/>
  <c r="E186" i="25"/>
  <c r="D186" i="25"/>
  <c r="G185" i="25"/>
  <c r="J184" i="25"/>
  <c r="H184" i="25"/>
  <c r="G184" i="25"/>
  <c r="E184" i="25" s="1"/>
  <c r="F184" i="25"/>
  <c r="D184" i="25"/>
  <c r="I184" i="25" s="1"/>
  <c r="G183" i="25"/>
  <c r="J183" i="25" s="1"/>
  <c r="J182" i="25"/>
  <c r="H182" i="25"/>
  <c r="F182" i="25"/>
  <c r="E182" i="25"/>
  <c r="D182" i="25"/>
  <c r="I182" i="25" s="1"/>
  <c r="G181" i="25"/>
  <c r="H181" i="25" s="1"/>
  <c r="E181" i="25"/>
  <c r="J180" i="25"/>
  <c r="H180" i="25"/>
  <c r="E180" i="25"/>
  <c r="D180" i="25"/>
  <c r="C179" i="25"/>
  <c r="D187" i="25" s="1"/>
  <c r="F187" i="25" s="1"/>
  <c r="C172" i="25"/>
  <c r="G171" i="25"/>
  <c r="J171" i="25" s="1"/>
  <c r="H170" i="25"/>
  <c r="E170" i="25"/>
  <c r="J169" i="25"/>
  <c r="H169" i="25"/>
  <c r="E169" i="25"/>
  <c r="G168" i="25"/>
  <c r="C167" i="25"/>
  <c r="C160" i="25"/>
  <c r="J159" i="25"/>
  <c r="H159" i="25"/>
  <c r="E159" i="25"/>
  <c r="G158" i="25"/>
  <c r="G160" i="25" s="1"/>
  <c r="E158" i="25"/>
  <c r="C157" i="25"/>
  <c r="D158" i="25" s="1"/>
  <c r="C150" i="25"/>
  <c r="J149" i="25"/>
  <c r="G148" i="25"/>
  <c r="J148" i="25" s="1"/>
  <c r="G147" i="25"/>
  <c r="J147" i="25" s="1"/>
  <c r="G146" i="25"/>
  <c r="J146" i="25" s="1"/>
  <c r="J145" i="25"/>
  <c r="H144" i="25"/>
  <c r="E144" i="25"/>
  <c r="J143" i="25"/>
  <c r="H143" i="25"/>
  <c r="G143" i="25"/>
  <c r="E143" i="25" s="1"/>
  <c r="G142" i="25"/>
  <c r="J141" i="25"/>
  <c r="G141" i="25"/>
  <c r="J140" i="25"/>
  <c r="G140" i="25"/>
  <c r="J139" i="25"/>
  <c r="H139" i="25"/>
  <c r="I139" i="25" s="1"/>
  <c r="G139" i="25"/>
  <c r="F139" i="25"/>
  <c r="E139" i="25"/>
  <c r="J138" i="25"/>
  <c r="H138" i="25"/>
  <c r="G138" i="25"/>
  <c r="E138" i="25" s="1"/>
  <c r="C136" i="25"/>
  <c r="J128" i="25"/>
  <c r="G128" i="25"/>
  <c r="J127" i="25"/>
  <c r="H127" i="25"/>
  <c r="E127" i="25"/>
  <c r="J126" i="25"/>
  <c r="E126" i="25"/>
  <c r="F126" i="25" s="1"/>
  <c r="D126" i="25"/>
  <c r="J125" i="25"/>
  <c r="H125" i="25"/>
  <c r="J124" i="25"/>
  <c r="E124" i="25"/>
  <c r="J123" i="25"/>
  <c r="H123" i="25"/>
  <c r="E123" i="25"/>
  <c r="J122" i="25"/>
  <c r="H122" i="25"/>
  <c r="E122" i="25"/>
  <c r="H121" i="25"/>
  <c r="J120" i="25"/>
  <c r="H120" i="25"/>
  <c r="E120" i="25"/>
  <c r="G119" i="25"/>
  <c r="J119" i="25" s="1"/>
  <c r="E118" i="25"/>
  <c r="J117" i="25"/>
  <c r="H117" i="25"/>
  <c r="G117" i="25"/>
  <c r="E117" i="25"/>
  <c r="G116" i="25"/>
  <c r="J115" i="25"/>
  <c r="H115" i="25"/>
  <c r="E115" i="25"/>
  <c r="J114" i="25"/>
  <c r="J113" i="25"/>
  <c r="E113" i="25"/>
  <c r="J111" i="25"/>
  <c r="H111" i="25"/>
  <c r="E111" i="25"/>
  <c r="J110" i="25"/>
  <c r="H110" i="25"/>
  <c r="E110" i="25"/>
  <c r="E109" i="25"/>
  <c r="J108" i="25"/>
  <c r="E107" i="25"/>
  <c r="C106" i="25"/>
  <c r="C105" i="25" s="1"/>
  <c r="H95" i="25"/>
  <c r="D95" i="25"/>
  <c r="J94" i="25"/>
  <c r="H94" i="25"/>
  <c r="E94" i="25"/>
  <c r="D94" i="25"/>
  <c r="J93" i="25"/>
  <c r="J91" i="25"/>
  <c r="G91" i="25"/>
  <c r="J89" i="25"/>
  <c r="J88" i="25"/>
  <c r="J87" i="25"/>
  <c r="G87" i="25"/>
  <c r="C86" i="25"/>
  <c r="J84" i="25"/>
  <c r="H84" i="25"/>
  <c r="G84" i="25"/>
  <c r="E84" i="25"/>
  <c r="D84" i="25"/>
  <c r="I84" i="25" s="1"/>
  <c r="E83" i="25"/>
  <c r="H82" i="25"/>
  <c r="D82" i="25"/>
  <c r="G81" i="25"/>
  <c r="J81" i="25" s="1"/>
  <c r="C80" i="25"/>
  <c r="D83" i="25" s="1"/>
  <c r="J78" i="25"/>
  <c r="H78" i="25"/>
  <c r="E78" i="25"/>
  <c r="C77" i="25"/>
  <c r="D78" i="25" s="1"/>
  <c r="H76" i="25"/>
  <c r="E76" i="25"/>
  <c r="D75" i="25"/>
  <c r="C73" i="25"/>
  <c r="J70" i="25"/>
  <c r="H70" i="25"/>
  <c r="G70" i="25"/>
  <c r="E70" i="25" s="1"/>
  <c r="F70" i="25" s="1"/>
  <c r="D70" i="25"/>
  <c r="I70" i="25" s="1"/>
  <c r="C69" i="25"/>
  <c r="D71" i="25" s="1"/>
  <c r="J68" i="25"/>
  <c r="J67" i="25"/>
  <c r="J66" i="25"/>
  <c r="C65" i="25"/>
  <c r="J64" i="25"/>
  <c r="G61" i="25"/>
  <c r="J61" i="25" s="1"/>
  <c r="J60" i="25"/>
  <c r="J59" i="25"/>
  <c r="H59" i="25"/>
  <c r="G59" i="25"/>
  <c r="E59" i="25"/>
  <c r="D59" i="25"/>
  <c r="C58" i="25"/>
  <c r="H58" i="25" s="1"/>
  <c r="E57" i="25"/>
  <c r="J56" i="25"/>
  <c r="H56" i="25"/>
  <c r="E56" i="25"/>
  <c r="C55" i="25"/>
  <c r="D54" i="25"/>
  <c r="J51" i="25"/>
  <c r="G50" i="25"/>
  <c r="J49" i="25"/>
  <c r="H49" i="25"/>
  <c r="E49" i="25"/>
  <c r="J48" i="25"/>
  <c r="H48" i="25"/>
  <c r="G48" i="25"/>
  <c r="E48" i="25"/>
  <c r="J47" i="25"/>
  <c r="J46" i="25"/>
  <c r="G46" i="25"/>
  <c r="C45" i="25"/>
  <c r="G44" i="25"/>
  <c r="J43" i="25"/>
  <c r="H43" i="25"/>
  <c r="G43" i="25"/>
  <c r="E43" i="25" s="1"/>
  <c r="F43" i="25" s="1"/>
  <c r="D43" i="25"/>
  <c r="I43" i="25" s="1"/>
  <c r="G42" i="25"/>
  <c r="H42" i="25" s="1"/>
  <c r="E42" i="25"/>
  <c r="J41" i="25"/>
  <c r="H41" i="25"/>
  <c r="E41" i="25"/>
  <c r="D41" i="25"/>
  <c r="C40" i="25"/>
  <c r="D42" i="25" s="1"/>
  <c r="J38" i="25"/>
  <c r="H38" i="25"/>
  <c r="E38" i="25"/>
  <c r="D38" i="25"/>
  <c r="J36" i="25"/>
  <c r="H36" i="25"/>
  <c r="E36" i="25"/>
  <c r="F36" i="25"/>
  <c r="D36" i="25"/>
  <c r="I36" i="25" s="1"/>
  <c r="E35" i="25"/>
  <c r="J34" i="25"/>
  <c r="H34" i="25"/>
  <c r="E34" i="25"/>
  <c r="D34" i="25"/>
  <c r="G33" i="25"/>
  <c r="J32" i="25"/>
  <c r="H32" i="25"/>
  <c r="G32" i="25"/>
  <c r="E32" i="25" s="1"/>
  <c r="F32" i="25"/>
  <c r="D32" i="25"/>
  <c r="I32" i="25" s="1"/>
  <c r="E31" i="25"/>
  <c r="J30" i="25"/>
  <c r="H30" i="25"/>
  <c r="E30" i="25"/>
  <c r="D30" i="25"/>
  <c r="C29" i="25"/>
  <c r="D35" i="25" s="1"/>
  <c r="F35" i="25" s="1"/>
  <c r="J27" i="25"/>
  <c r="G27" i="25"/>
  <c r="J26" i="25"/>
  <c r="H26" i="25"/>
  <c r="E26" i="25"/>
  <c r="J25" i="25"/>
  <c r="H25" i="25"/>
  <c r="E25" i="25"/>
  <c r="D25" i="25"/>
  <c r="J24" i="25"/>
  <c r="H24" i="25"/>
  <c r="E24" i="25"/>
  <c r="J23" i="25"/>
  <c r="J22" i="25"/>
  <c r="G22" i="25"/>
  <c r="C21" i="25"/>
  <c r="D26" i="25" s="1"/>
  <c r="J20" i="25"/>
  <c r="J19" i="25"/>
  <c r="J18" i="25"/>
  <c r="J17" i="25"/>
  <c r="J14" i="25"/>
  <c r="J13" i="25"/>
  <c r="H13" i="25"/>
  <c r="E13" i="25"/>
  <c r="C11" i="25"/>
  <c r="F83" i="25" l="1"/>
  <c r="E436" i="25"/>
  <c r="F426" i="25"/>
  <c r="H436" i="25"/>
  <c r="G439" i="25"/>
  <c r="E393" i="25"/>
  <c r="G397" i="25"/>
  <c r="E350" i="25"/>
  <c r="F350" i="25" s="1"/>
  <c r="H350" i="25"/>
  <c r="G352" i="25"/>
  <c r="G304" i="25"/>
  <c r="H258" i="25"/>
  <c r="I258" i="25" s="1"/>
  <c r="F257" i="25"/>
  <c r="E217" i="25"/>
  <c r="G219" i="25"/>
  <c r="H319" i="25"/>
  <c r="E319" i="25"/>
  <c r="I95" i="25"/>
  <c r="E95" i="25"/>
  <c r="F95" i="25" s="1"/>
  <c r="J82" i="25"/>
  <c r="J75" i="25"/>
  <c r="E75" i="25"/>
  <c r="F75" i="25" s="1"/>
  <c r="F30" i="25"/>
  <c r="I30" i="25"/>
  <c r="F38" i="25"/>
  <c r="I38" i="25"/>
  <c r="J44" i="25"/>
  <c r="E44" i="25"/>
  <c r="H44" i="25"/>
  <c r="J54" i="25"/>
  <c r="E54" i="25"/>
  <c r="F54" i="25" s="1"/>
  <c r="H54" i="25"/>
  <c r="I54" i="25" s="1"/>
  <c r="J71" i="25"/>
  <c r="E71" i="25"/>
  <c r="F71" i="25" s="1"/>
  <c r="H71" i="25"/>
  <c r="J37" i="25"/>
  <c r="E37" i="25"/>
  <c r="H37" i="25"/>
  <c r="I75" i="25"/>
  <c r="F25" i="25"/>
  <c r="I25" i="25"/>
  <c r="E39" i="25"/>
  <c r="J39" i="25"/>
  <c r="H39" i="25"/>
  <c r="D49" i="25"/>
  <c r="D50" i="25"/>
  <c r="J50" i="25"/>
  <c r="E50" i="25"/>
  <c r="H50" i="25"/>
  <c r="F59" i="25"/>
  <c r="I59" i="25"/>
  <c r="D76" i="25"/>
  <c r="D74" i="25"/>
  <c r="I82" i="25"/>
  <c r="F82" i="25"/>
  <c r="F94" i="25"/>
  <c r="I94" i="25"/>
  <c r="F41" i="25"/>
  <c r="I41" i="25"/>
  <c r="C9" i="25"/>
  <c r="D13" i="25"/>
  <c r="I26" i="25"/>
  <c r="F26" i="25"/>
  <c r="J33" i="25"/>
  <c r="E33" i="25"/>
  <c r="H33" i="25"/>
  <c r="I35" i="25"/>
  <c r="D48" i="25"/>
  <c r="D57" i="25"/>
  <c r="D56" i="25"/>
  <c r="F34" i="25"/>
  <c r="I34" i="25"/>
  <c r="F42" i="25"/>
  <c r="I42" i="25"/>
  <c r="I71" i="25"/>
  <c r="J74" i="25"/>
  <c r="E74" i="25"/>
  <c r="H74" i="25"/>
  <c r="J85" i="25"/>
  <c r="H85" i="25"/>
  <c r="E85" i="25"/>
  <c r="D127" i="25"/>
  <c r="D121" i="25"/>
  <c r="D118" i="25"/>
  <c r="D109" i="25"/>
  <c r="D107" i="25"/>
  <c r="D124" i="25"/>
  <c r="D122" i="25"/>
  <c r="D116" i="25"/>
  <c r="D111" i="25"/>
  <c r="J142" i="25"/>
  <c r="E142" i="25"/>
  <c r="H142" i="25"/>
  <c r="D170" i="25"/>
  <c r="D168" i="25"/>
  <c r="J185" i="25"/>
  <c r="E185" i="25"/>
  <c r="H185" i="25"/>
  <c r="I187" i="25"/>
  <c r="J31" i="25"/>
  <c r="D33" i="25"/>
  <c r="J35" i="25"/>
  <c r="D37" i="25"/>
  <c r="J42" i="25"/>
  <c r="D44" i="25"/>
  <c r="J57" i="25"/>
  <c r="J76" i="25"/>
  <c r="D113" i="25"/>
  <c r="H118" i="25"/>
  <c r="J118" i="25"/>
  <c r="D123" i="25"/>
  <c r="D144" i="25"/>
  <c r="D142" i="25"/>
  <c r="D137" i="25"/>
  <c r="D143" i="25"/>
  <c r="J168" i="25"/>
  <c r="G172" i="25"/>
  <c r="E168" i="25"/>
  <c r="H168" i="25"/>
  <c r="F180" i="25"/>
  <c r="I180" i="25"/>
  <c r="F186" i="25"/>
  <c r="I186" i="25"/>
  <c r="D217" i="25"/>
  <c r="D214" i="25"/>
  <c r="J247" i="25"/>
  <c r="E247" i="25"/>
  <c r="F247" i="25" s="1"/>
  <c r="G249" i="25"/>
  <c r="H247" i="25"/>
  <c r="I247" i="25" s="1"/>
  <c r="F291" i="25"/>
  <c r="I291" i="25"/>
  <c r="I434" i="25"/>
  <c r="F434" i="25"/>
  <c r="J116" i="25"/>
  <c r="H116" i="25"/>
  <c r="D24" i="25"/>
  <c r="I78" i="25"/>
  <c r="F78" i="25"/>
  <c r="G129" i="25"/>
  <c r="H107" i="25"/>
  <c r="J107" i="25"/>
  <c r="D117" i="25"/>
  <c r="D125" i="25"/>
  <c r="J137" i="25"/>
  <c r="E137" i="25"/>
  <c r="H137" i="25"/>
  <c r="D169" i="25"/>
  <c r="J214" i="25"/>
  <c r="E214" i="25"/>
  <c r="H214" i="25"/>
  <c r="I231" i="25"/>
  <c r="G376" i="25"/>
  <c r="D397" i="25"/>
  <c r="F393" i="25"/>
  <c r="I393" i="25"/>
  <c r="D110" i="25"/>
  <c r="D120" i="25"/>
  <c r="H109" i="25"/>
  <c r="J109" i="25"/>
  <c r="D115" i="25"/>
  <c r="G96" i="25"/>
  <c r="D31" i="25"/>
  <c r="H83" i="25"/>
  <c r="I83" i="25" s="1"/>
  <c r="J83" i="25"/>
  <c r="F84" i="25"/>
  <c r="C104" i="25"/>
  <c r="D114" i="25"/>
  <c r="E116" i="25"/>
  <c r="D138" i="25"/>
  <c r="D160" i="25"/>
  <c r="F158" i="25"/>
  <c r="C203" i="25"/>
  <c r="D205" i="25" s="1"/>
  <c r="J204" i="25"/>
  <c r="C207" i="25"/>
  <c r="D85" i="25"/>
  <c r="J121" i="25"/>
  <c r="J144" i="25"/>
  <c r="J158" i="25"/>
  <c r="J170" i="25"/>
  <c r="J181" i="25"/>
  <c r="D185" i="25"/>
  <c r="J187" i="25"/>
  <c r="J216" i="25"/>
  <c r="D228" i="25"/>
  <c r="I281" i="25"/>
  <c r="F281" i="25"/>
  <c r="F320" i="25"/>
  <c r="I320" i="25"/>
  <c r="I350" i="25"/>
  <c r="F361" i="25"/>
  <c r="F366" i="25"/>
  <c r="J368" i="25"/>
  <c r="E368" i="25"/>
  <c r="F368" i="25" s="1"/>
  <c r="H368" i="25"/>
  <c r="I384" i="25"/>
  <c r="J385" i="25"/>
  <c r="E385" i="25"/>
  <c r="H385" i="25"/>
  <c r="J395" i="25"/>
  <c r="E395" i="25"/>
  <c r="F395" i="25" s="1"/>
  <c r="H395" i="25"/>
  <c r="I395" i="25" s="1"/>
  <c r="J406" i="25"/>
  <c r="E406" i="25"/>
  <c r="H406" i="25"/>
  <c r="F437" i="25"/>
  <c r="I437" i="25"/>
  <c r="D159" i="25"/>
  <c r="G196" i="25"/>
  <c r="D234" i="25"/>
  <c r="D229" i="25"/>
  <c r="G239" i="25"/>
  <c r="J227" i="25"/>
  <c r="D233" i="25"/>
  <c r="D248" i="25"/>
  <c r="F301" i="25"/>
  <c r="I301" i="25"/>
  <c r="F318" i="25"/>
  <c r="J313" i="25"/>
  <c r="E313" i="25"/>
  <c r="H313" i="25"/>
  <c r="I338" i="25"/>
  <c r="D340" i="25"/>
  <c r="F338" i="25"/>
  <c r="F347" i="25"/>
  <c r="F360" i="25"/>
  <c r="I360" i="25"/>
  <c r="J366" i="25"/>
  <c r="E366" i="25"/>
  <c r="H366" i="25"/>
  <c r="I366" i="25" s="1"/>
  <c r="F407" i="25"/>
  <c r="I407" i="25"/>
  <c r="I412" i="25"/>
  <c r="H158" i="25"/>
  <c r="I158" i="25" s="1"/>
  <c r="D181" i="25"/>
  <c r="D216" i="25"/>
  <c r="D227" i="25"/>
  <c r="H227" i="25"/>
  <c r="F300" i="25"/>
  <c r="I300" i="25"/>
  <c r="I318" i="25"/>
  <c r="J339" i="25"/>
  <c r="G340" i="25"/>
  <c r="E339" i="25"/>
  <c r="F339" i="25" s="1"/>
  <c r="H339" i="25"/>
  <c r="I339" i="25" s="1"/>
  <c r="F349" i="25"/>
  <c r="I349" i="25"/>
  <c r="I257" i="25"/>
  <c r="G261" i="25"/>
  <c r="I277" i="25"/>
  <c r="D313" i="25"/>
  <c r="G330" i="25"/>
  <c r="D385" i="25"/>
  <c r="D406" i="25"/>
  <c r="G417" i="25"/>
  <c r="I426" i="25"/>
  <c r="D259" i="25"/>
  <c r="H259" i="25"/>
  <c r="D273" i="25"/>
  <c r="H273" i="25"/>
  <c r="D276" i="25"/>
  <c r="H276" i="25"/>
  <c r="D279" i="25"/>
  <c r="H279" i="25"/>
  <c r="D292" i="25"/>
  <c r="D293" i="25" s="1"/>
  <c r="G293" i="25"/>
  <c r="D302" i="25"/>
  <c r="D304" i="25" s="1"/>
  <c r="H302" i="25"/>
  <c r="D312" i="25"/>
  <c r="H312" i="25"/>
  <c r="D319" i="25"/>
  <c r="D348" i="25"/>
  <c r="D352" i="25" s="1"/>
  <c r="J349" i="25"/>
  <c r="D362" i="25"/>
  <c r="D364" i="25"/>
  <c r="H364" i="25"/>
  <c r="I368" i="25"/>
  <c r="H384" i="25"/>
  <c r="G386" i="25"/>
  <c r="H394" i="25"/>
  <c r="I394" i="25" s="1"/>
  <c r="D405" i="25"/>
  <c r="H405" i="25"/>
  <c r="D413" i="25"/>
  <c r="H413" i="25"/>
  <c r="D436" i="25"/>
  <c r="J437" i="25"/>
  <c r="D256" i="25"/>
  <c r="D270" i="25"/>
  <c r="D272" i="25"/>
  <c r="D275" i="25"/>
  <c r="D278" i="25"/>
  <c r="D410" i="25"/>
  <c r="G386" i="24"/>
  <c r="G384" i="24"/>
  <c r="G261" i="24"/>
  <c r="G259" i="24"/>
  <c r="G258" i="24"/>
  <c r="G249" i="24"/>
  <c r="G248" i="24"/>
  <c r="G247" i="24"/>
  <c r="G216" i="24"/>
  <c r="G219" i="24" s="1"/>
  <c r="G364" i="24"/>
  <c r="G115" i="24"/>
  <c r="G81" i="24"/>
  <c r="G70" i="24"/>
  <c r="G41" i="24"/>
  <c r="G37" i="24"/>
  <c r="G36" i="24"/>
  <c r="G35" i="24"/>
  <c r="G34" i="24"/>
  <c r="G33" i="24"/>
  <c r="G32" i="24"/>
  <c r="G31" i="24"/>
  <c r="G30" i="24"/>
  <c r="F275" i="25" l="1"/>
  <c r="I275" i="25"/>
  <c r="I312" i="25"/>
  <c r="F312" i="25"/>
  <c r="D330" i="25"/>
  <c r="I259" i="25"/>
  <c r="F259" i="25"/>
  <c r="D207" i="25"/>
  <c r="F205" i="25"/>
  <c r="I205" i="25"/>
  <c r="F121" i="25"/>
  <c r="I121" i="25"/>
  <c r="F272" i="25"/>
  <c r="I272" i="25"/>
  <c r="I436" i="25"/>
  <c r="F436" i="25"/>
  <c r="I405" i="25"/>
  <c r="F405" i="25"/>
  <c r="D417" i="25"/>
  <c r="I364" i="25"/>
  <c r="F364" i="25"/>
  <c r="F181" i="25"/>
  <c r="I181" i="25"/>
  <c r="F233" i="25"/>
  <c r="I233" i="25"/>
  <c r="I234" i="25"/>
  <c r="F234" i="25"/>
  <c r="F85" i="25"/>
  <c r="I85" i="25"/>
  <c r="F114" i="25"/>
  <c r="I114" i="25"/>
  <c r="I115" i="25"/>
  <c r="F115" i="25"/>
  <c r="I110" i="25"/>
  <c r="F110" i="25"/>
  <c r="F169" i="25"/>
  <c r="I169" i="25"/>
  <c r="I24" i="25"/>
  <c r="F24" i="25"/>
  <c r="D439" i="25"/>
  <c r="F143" i="25"/>
  <c r="I143" i="25"/>
  <c r="F123" i="25"/>
  <c r="I123" i="25"/>
  <c r="F37" i="25"/>
  <c r="I37" i="25"/>
  <c r="F170" i="25"/>
  <c r="I170" i="25"/>
  <c r="F111" i="25"/>
  <c r="I111" i="25"/>
  <c r="F107" i="25"/>
  <c r="I107" i="25"/>
  <c r="I127" i="25"/>
  <c r="F127" i="25"/>
  <c r="I292" i="25"/>
  <c r="F292" i="25"/>
  <c r="F216" i="25"/>
  <c r="I216" i="25"/>
  <c r="F248" i="25"/>
  <c r="I248" i="25"/>
  <c r="F228" i="25"/>
  <c r="I228" i="25"/>
  <c r="I120" i="25"/>
  <c r="F120" i="25"/>
  <c r="F113" i="25"/>
  <c r="I113" i="25"/>
  <c r="F76" i="25"/>
  <c r="I76" i="25"/>
  <c r="F270" i="25"/>
  <c r="D283" i="25"/>
  <c r="I270" i="25"/>
  <c r="I302" i="25"/>
  <c r="F302" i="25"/>
  <c r="F125" i="25"/>
  <c r="I125" i="25"/>
  <c r="F214" i="25"/>
  <c r="I214" i="25"/>
  <c r="D219" i="25"/>
  <c r="F137" i="25"/>
  <c r="I137" i="25"/>
  <c r="D150" i="25"/>
  <c r="F116" i="25"/>
  <c r="I116" i="25"/>
  <c r="F109" i="25"/>
  <c r="I109" i="25"/>
  <c r="F56" i="25"/>
  <c r="I56" i="25"/>
  <c r="F50" i="25"/>
  <c r="I50" i="25"/>
  <c r="I348" i="25"/>
  <c r="F348" i="25"/>
  <c r="I276" i="25"/>
  <c r="F276" i="25"/>
  <c r="F385" i="25"/>
  <c r="I385" i="25"/>
  <c r="F229" i="25"/>
  <c r="I229" i="25"/>
  <c r="F144" i="25"/>
  <c r="I144" i="25"/>
  <c r="F168" i="25"/>
  <c r="I168" i="25"/>
  <c r="D172" i="25"/>
  <c r="I124" i="25"/>
  <c r="F124" i="25"/>
  <c r="F48" i="25"/>
  <c r="I48" i="25"/>
  <c r="F410" i="25"/>
  <c r="I410" i="25"/>
  <c r="I362" i="25"/>
  <c r="F362" i="25"/>
  <c r="I319" i="25"/>
  <c r="F319" i="25"/>
  <c r="I279" i="25"/>
  <c r="F279" i="25"/>
  <c r="I273" i="25"/>
  <c r="F273" i="25"/>
  <c r="F313" i="25"/>
  <c r="I313" i="25"/>
  <c r="F278" i="25"/>
  <c r="I278" i="25"/>
  <c r="I256" i="25"/>
  <c r="D261" i="25"/>
  <c r="F256" i="25"/>
  <c r="I413" i="25"/>
  <c r="F413" i="25"/>
  <c r="F406" i="25"/>
  <c r="I406" i="25"/>
  <c r="D239" i="25"/>
  <c r="F227" i="25"/>
  <c r="I227" i="25"/>
  <c r="D376" i="25"/>
  <c r="I159" i="25"/>
  <c r="F159" i="25"/>
  <c r="D386" i="25"/>
  <c r="F185" i="25"/>
  <c r="I185" i="25"/>
  <c r="F138" i="25"/>
  <c r="I138" i="25"/>
  <c r="F31" i="25"/>
  <c r="I31" i="25"/>
  <c r="D249" i="25"/>
  <c r="I117" i="25"/>
  <c r="F117" i="25"/>
  <c r="I217" i="25"/>
  <c r="F217" i="25"/>
  <c r="D196" i="25"/>
  <c r="F142" i="25"/>
  <c r="I142" i="25"/>
  <c r="F44" i="25"/>
  <c r="I44" i="25"/>
  <c r="F33" i="25"/>
  <c r="I33" i="25"/>
  <c r="I122" i="25"/>
  <c r="F122" i="25"/>
  <c r="F118" i="25"/>
  <c r="I118" i="25"/>
  <c r="F57" i="25"/>
  <c r="I57" i="25"/>
  <c r="I13" i="25"/>
  <c r="F13" i="25"/>
  <c r="F74" i="25"/>
  <c r="I74" i="25"/>
  <c r="I49" i="25"/>
  <c r="F49" i="25"/>
  <c r="G439" i="24"/>
  <c r="G437" i="24"/>
  <c r="G207" i="24"/>
  <c r="G206" i="24"/>
  <c r="G172" i="24" l="1"/>
  <c r="G169" i="24"/>
  <c r="G160" i="24"/>
  <c r="G159" i="24"/>
  <c r="G120" i="24" l="1"/>
  <c r="G397" i="24" l="1"/>
  <c r="G394" i="24"/>
  <c r="G385" i="24"/>
  <c r="G339" i="24"/>
  <c r="G302" i="24"/>
  <c r="G304" i="24" s="1"/>
  <c r="G300" i="24"/>
  <c r="G291" i="24"/>
  <c r="G215" i="24"/>
  <c r="G204" i="24"/>
  <c r="G276" i="24"/>
  <c r="G275" i="24"/>
  <c r="G270" i="24"/>
  <c r="G110" i="24"/>
  <c r="G109" i="24"/>
  <c r="G88" i="24"/>
  <c r="G82" i="24"/>
  <c r="G71" i="24"/>
  <c r="G57" i="24"/>
  <c r="G39" i="24"/>
  <c r="G38" i="24"/>
  <c r="G25" i="24"/>
  <c r="G205" i="24" l="1"/>
  <c r="G351" i="24" l="1"/>
  <c r="G171" i="24"/>
  <c r="G121" i="24"/>
  <c r="G76" i="24"/>
  <c r="G75" i="24"/>
  <c r="G74" i="24"/>
  <c r="G27" i="24"/>
  <c r="C439" i="24" l="1"/>
  <c r="G438" i="24"/>
  <c r="J438" i="24" s="1"/>
  <c r="J437" i="24"/>
  <c r="J436" i="24"/>
  <c r="H436" i="24"/>
  <c r="E436" i="24"/>
  <c r="J435" i="24"/>
  <c r="J434" i="24"/>
  <c r="H434" i="24"/>
  <c r="E434" i="24"/>
  <c r="C433" i="24"/>
  <c r="D434" i="24" s="1"/>
  <c r="G427" i="24"/>
  <c r="C427" i="24"/>
  <c r="J426" i="24"/>
  <c r="H426" i="24"/>
  <c r="E426" i="24"/>
  <c r="J425" i="24"/>
  <c r="D425" i="24"/>
  <c r="D427" i="24" s="1"/>
  <c r="C424" i="24"/>
  <c r="D426" i="24" s="1"/>
  <c r="C417" i="24"/>
  <c r="J416" i="24"/>
  <c r="G415" i="24"/>
  <c r="J415" i="24" s="1"/>
  <c r="J414" i="24"/>
  <c r="G414" i="24"/>
  <c r="D414" i="24"/>
  <c r="H413" i="24"/>
  <c r="G413" i="24"/>
  <c r="J413" i="24" s="1"/>
  <c r="E413" i="24"/>
  <c r="H412" i="24"/>
  <c r="G412" i="24"/>
  <c r="J412" i="24" s="1"/>
  <c r="J411" i="24"/>
  <c r="H410" i="24"/>
  <c r="G410" i="24"/>
  <c r="J410" i="24" s="1"/>
  <c r="J409" i="24"/>
  <c r="G409" i="24"/>
  <c r="G408" i="24"/>
  <c r="J408" i="24" s="1"/>
  <c r="G407" i="24"/>
  <c r="J406" i="24"/>
  <c r="G406" i="24"/>
  <c r="H406" i="24" s="1"/>
  <c r="E406" i="24"/>
  <c r="G405" i="24"/>
  <c r="J405" i="24" s="1"/>
  <c r="D405" i="24"/>
  <c r="C404" i="24"/>
  <c r="D406" i="24" s="1"/>
  <c r="I406" i="24" s="1"/>
  <c r="C397" i="24"/>
  <c r="G396" i="24"/>
  <c r="J396" i="24" s="1"/>
  <c r="J395" i="24"/>
  <c r="G395" i="24"/>
  <c r="H395" i="24" s="1"/>
  <c r="J394" i="24"/>
  <c r="H394" i="24"/>
  <c r="E394" i="24"/>
  <c r="J393" i="24"/>
  <c r="H393" i="24"/>
  <c r="E393" i="24"/>
  <c r="C392" i="24"/>
  <c r="D395" i="24" s="1"/>
  <c r="I395" i="24" s="1"/>
  <c r="C386" i="24"/>
  <c r="J385" i="24"/>
  <c r="H385" i="24"/>
  <c r="E385" i="24"/>
  <c r="J384" i="24"/>
  <c r="H384" i="24"/>
  <c r="E384" i="24"/>
  <c r="C383" i="24"/>
  <c r="D384" i="24" s="1"/>
  <c r="C376" i="24"/>
  <c r="G375" i="24"/>
  <c r="J375" i="24" s="1"/>
  <c r="G374" i="24"/>
  <c r="J374" i="24" s="1"/>
  <c r="D374" i="24"/>
  <c r="G373" i="24"/>
  <c r="J373" i="24" s="1"/>
  <c r="J372" i="24"/>
  <c r="G371" i="24"/>
  <c r="J371" i="24" s="1"/>
  <c r="G370" i="24"/>
  <c r="J370" i="24" s="1"/>
  <c r="G369" i="24"/>
  <c r="J369" i="24" s="1"/>
  <c r="G368" i="24"/>
  <c r="J367" i="24"/>
  <c r="G366" i="24"/>
  <c r="J365" i="24"/>
  <c r="H365" i="24"/>
  <c r="G365" i="24"/>
  <c r="E365" i="24" s="1"/>
  <c r="H364" i="24"/>
  <c r="J364" i="24"/>
  <c r="E364" i="24"/>
  <c r="G363" i="24"/>
  <c r="J363" i="24" s="1"/>
  <c r="J362" i="24"/>
  <c r="H362" i="24"/>
  <c r="E362" i="24"/>
  <c r="G361" i="24"/>
  <c r="J361" i="24" s="1"/>
  <c r="H360" i="24"/>
  <c r="G360" i="24"/>
  <c r="J360" i="24" s="1"/>
  <c r="D360" i="24"/>
  <c r="C359" i="24"/>
  <c r="D361" i="24" s="1"/>
  <c r="C352" i="24"/>
  <c r="J351" i="24"/>
  <c r="H350" i="24"/>
  <c r="G350" i="24"/>
  <c r="J350" i="24" s="1"/>
  <c r="G349" i="24"/>
  <c r="G352" i="24" s="1"/>
  <c r="J348" i="24"/>
  <c r="H348" i="24"/>
  <c r="E348" i="24"/>
  <c r="J347" i="24"/>
  <c r="H347" i="24"/>
  <c r="E347" i="24"/>
  <c r="C346" i="24"/>
  <c r="G340" i="24"/>
  <c r="C340" i="24"/>
  <c r="J339" i="24"/>
  <c r="H339" i="24"/>
  <c r="E339" i="24"/>
  <c r="J338" i="24"/>
  <c r="H338" i="24"/>
  <c r="E338" i="24"/>
  <c r="C337" i="24"/>
  <c r="C330" i="24"/>
  <c r="J329" i="24"/>
  <c r="G328" i="24"/>
  <c r="J328" i="24" s="1"/>
  <c r="D328" i="24"/>
  <c r="J327" i="24"/>
  <c r="G327" i="24"/>
  <c r="D327" i="24"/>
  <c r="J326" i="24"/>
  <c r="D326" i="24"/>
  <c r="G325" i="24"/>
  <c r="J325" i="24" s="1"/>
  <c r="D325" i="24"/>
  <c r="J324" i="24"/>
  <c r="G324" i="24"/>
  <c r="G323" i="24"/>
  <c r="J323" i="24" s="1"/>
  <c r="G322" i="24"/>
  <c r="J322" i="24" s="1"/>
  <c r="G321" i="24"/>
  <c r="J321" i="24" s="1"/>
  <c r="G320" i="24"/>
  <c r="E320" i="24" s="1"/>
  <c r="J319" i="24"/>
  <c r="H319" i="24"/>
  <c r="E319" i="24"/>
  <c r="G318" i="24"/>
  <c r="J318" i="24" s="1"/>
  <c r="J317" i="24"/>
  <c r="G317" i="24"/>
  <c r="G316" i="24"/>
  <c r="J316" i="24" s="1"/>
  <c r="G315" i="24"/>
  <c r="J315" i="24" s="1"/>
  <c r="J314" i="24"/>
  <c r="G313" i="24"/>
  <c r="H313" i="24" s="1"/>
  <c r="J312" i="24"/>
  <c r="H312" i="24"/>
  <c r="G312" i="24"/>
  <c r="E312" i="24"/>
  <c r="C311" i="24"/>
  <c r="D313" i="24" s="1"/>
  <c r="C304" i="24"/>
  <c r="J303" i="24"/>
  <c r="J302" i="24"/>
  <c r="H302" i="24"/>
  <c r="E302" i="24"/>
  <c r="G301" i="24"/>
  <c r="J300" i="24"/>
  <c r="H300" i="24"/>
  <c r="E300" i="24"/>
  <c r="C299" i="24"/>
  <c r="D300" i="24" s="1"/>
  <c r="G293" i="24"/>
  <c r="C293" i="24"/>
  <c r="J292" i="24"/>
  <c r="H292" i="24"/>
  <c r="E292" i="24"/>
  <c r="J291" i="24"/>
  <c r="H291" i="24"/>
  <c r="E291" i="24"/>
  <c r="C290" i="24"/>
  <c r="C283" i="24"/>
  <c r="G282" i="24"/>
  <c r="J282" i="24" s="1"/>
  <c r="J281" i="24"/>
  <c r="H281" i="24"/>
  <c r="E281" i="24"/>
  <c r="J280" i="24"/>
  <c r="D280" i="24"/>
  <c r="G279" i="24"/>
  <c r="J279" i="24" s="1"/>
  <c r="G278" i="24"/>
  <c r="H278" i="24" s="1"/>
  <c r="J277" i="24"/>
  <c r="H277" i="24"/>
  <c r="E277" i="24"/>
  <c r="J276" i="24"/>
  <c r="H276" i="24"/>
  <c r="E276" i="24"/>
  <c r="J275" i="24"/>
  <c r="H275" i="24"/>
  <c r="E275" i="24"/>
  <c r="G274" i="24"/>
  <c r="J274" i="24" s="1"/>
  <c r="G273" i="24"/>
  <c r="E273" i="24" s="1"/>
  <c r="G272" i="24"/>
  <c r="E272" i="24" s="1"/>
  <c r="J271" i="24"/>
  <c r="J270" i="24"/>
  <c r="H270" i="24"/>
  <c r="E270" i="24"/>
  <c r="D270" i="24"/>
  <c r="I270" i="24" s="1"/>
  <c r="C269" i="24"/>
  <c r="D281" i="24" s="1"/>
  <c r="I281" i="24" s="1"/>
  <c r="C261" i="24"/>
  <c r="G260" i="24"/>
  <c r="J260" i="24" s="1"/>
  <c r="H259" i="24"/>
  <c r="H258" i="24"/>
  <c r="J258" i="24"/>
  <c r="E258" i="24"/>
  <c r="J257" i="24"/>
  <c r="H257" i="24"/>
  <c r="E257" i="24"/>
  <c r="D257" i="24"/>
  <c r="J256" i="24"/>
  <c r="H256" i="24"/>
  <c r="E256" i="24"/>
  <c r="D256" i="24"/>
  <c r="C255" i="24"/>
  <c r="D259" i="24" s="1"/>
  <c r="I259" i="24" s="1"/>
  <c r="C249" i="24"/>
  <c r="J248" i="24"/>
  <c r="H248" i="24"/>
  <c r="E248" i="24"/>
  <c r="J247" i="24"/>
  <c r="H247" i="24"/>
  <c r="E247" i="24"/>
  <c r="C246" i="24"/>
  <c r="D248" i="24" s="1"/>
  <c r="C239" i="24"/>
  <c r="J238" i="24"/>
  <c r="G237" i="24"/>
  <c r="J237" i="24" s="1"/>
  <c r="J236" i="24"/>
  <c r="H236" i="24"/>
  <c r="E236" i="24"/>
  <c r="J235" i="24"/>
  <c r="G235" i="24"/>
  <c r="G234" i="24"/>
  <c r="J234" i="24" s="1"/>
  <c r="J233" i="24"/>
  <c r="G233" i="24"/>
  <c r="H233" i="24" s="1"/>
  <c r="J232" i="24"/>
  <c r="G231" i="24"/>
  <c r="H231" i="24" s="1"/>
  <c r="J230" i="24"/>
  <c r="G230" i="24"/>
  <c r="G229" i="24"/>
  <c r="G228" i="24"/>
  <c r="H228" i="24" s="1"/>
  <c r="H227" i="24"/>
  <c r="G227" i="24"/>
  <c r="E227" i="24" s="1"/>
  <c r="C226" i="24"/>
  <c r="D236" i="24" s="1"/>
  <c r="I236" i="24" s="1"/>
  <c r="G218" i="24"/>
  <c r="J218" i="24" s="1"/>
  <c r="G217" i="24"/>
  <c r="H217" i="24" s="1"/>
  <c r="J216" i="24"/>
  <c r="H216" i="24"/>
  <c r="E216" i="24"/>
  <c r="C216" i="24"/>
  <c r="C219" i="24" s="1"/>
  <c r="J215" i="24"/>
  <c r="G214" i="24"/>
  <c r="H214" i="24" s="1"/>
  <c r="C213" i="24"/>
  <c r="C206" i="24"/>
  <c r="J205" i="24"/>
  <c r="E205" i="24"/>
  <c r="C205" i="24"/>
  <c r="H205" i="24" s="1"/>
  <c r="C204" i="24"/>
  <c r="J204" i="24" s="1"/>
  <c r="C196" i="24"/>
  <c r="J195" i="24"/>
  <c r="J194" i="24"/>
  <c r="G194" i="24"/>
  <c r="J193" i="24"/>
  <c r="J192" i="24"/>
  <c r="H192" i="24"/>
  <c r="E192" i="24"/>
  <c r="G191" i="24"/>
  <c r="J191" i="24" s="1"/>
  <c r="G190" i="24"/>
  <c r="J190" i="24" s="1"/>
  <c r="G189" i="24"/>
  <c r="J189" i="24" s="1"/>
  <c r="G188" i="24"/>
  <c r="J188" i="24" s="1"/>
  <c r="G187" i="24"/>
  <c r="J187" i="24" s="1"/>
  <c r="G186" i="24"/>
  <c r="G185" i="24"/>
  <c r="E185" i="24" s="1"/>
  <c r="G184" i="24"/>
  <c r="J184" i="24" s="1"/>
  <c r="G183" i="24"/>
  <c r="J183" i="24" s="1"/>
  <c r="J182" i="24"/>
  <c r="H182" i="24"/>
  <c r="E182" i="24"/>
  <c r="D182" i="24"/>
  <c r="F182" i="24" s="1"/>
  <c r="G181" i="24"/>
  <c r="E181" i="24"/>
  <c r="H180" i="24"/>
  <c r="G180" i="24"/>
  <c r="J180" i="24" s="1"/>
  <c r="D180" i="24"/>
  <c r="C179" i="24"/>
  <c r="D181" i="24" s="1"/>
  <c r="C172" i="24"/>
  <c r="J171" i="24"/>
  <c r="G170" i="24"/>
  <c r="E170" i="24" s="1"/>
  <c r="E169" i="24"/>
  <c r="J168" i="24"/>
  <c r="H168" i="24"/>
  <c r="G168" i="24"/>
  <c r="E168" i="24"/>
  <c r="D168" i="24"/>
  <c r="F168" i="24" s="1"/>
  <c r="C167" i="24"/>
  <c r="D169" i="24" s="1"/>
  <c r="C160" i="24"/>
  <c r="H158" i="24"/>
  <c r="G158" i="24"/>
  <c r="J158" i="24" s="1"/>
  <c r="C157" i="24"/>
  <c r="D159" i="24" s="1"/>
  <c r="C150" i="24"/>
  <c r="J149" i="24"/>
  <c r="G148" i="24"/>
  <c r="J148" i="24" s="1"/>
  <c r="J147" i="24"/>
  <c r="G147" i="24"/>
  <c r="G146" i="24"/>
  <c r="J146" i="24" s="1"/>
  <c r="J145" i="24"/>
  <c r="G145" i="24"/>
  <c r="G144" i="24"/>
  <c r="E144" i="24" s="1"/>
  <c r="G143" i="24"/>
  <c r="E143" i="24"/>
  <c r="H142" i="24"/>
  <c r="G142" i="24"/>
  <c r="J142" i="24" s="1"/>
  <c r="E142" i="24"/>
  <c r="G141" i="24"/>
  <c r="J141" i="24" s="1"/>
  <c r="G140" i="24"/>
  <c r="J140" i="24" s="1"/>
  <c r="G139" i="24"/>
  <c r="E139" i="24" s="1"/>
  <c r="F139" i="24" s="1"/>
  <c r="G138" i="24"/>
  <c r="E138" i="24"/>
  <c r="H137" i="24"/>
  <c r="G137" i="24"/>
  <c r="J137" i="24" s="1"/>
  <c r="E137" i="24"/>
  <c r="C136" i="24"/>
  <c r="D143" i="24" s="1"/>
  <c r="G128" i="24"/>
  <c r="J128" i="24" s="1"/>
  <c r="J127" i="24"/>
  <c r="H127" i="24"/>
  <c r="E127" i="24"/>
  <c r="G126" i="24"/>
  <c r="J126" i="24" s="1"/>
  <c r="D126" i="24"/>
  <c r="J125" i="24"/>
  <c r="H125" i="24"/>
  <c r="E125" i="24"/>
  <c r="J124" i="24"/>
  <c r="H124" i="24"/>
  <c r="E124" i="24"/>
  <c r="J123" i="24"/>
  <c r="H123" i="24"/>
  <c r="E123" i="24"/>
  <c r="J122" i="24"/>
  <c r="H122" i="24"/>
  <c r="E122" i="24"/>
  <c r="J121" i="24"/>
  <c r="H121" i="24"/>
  <c r="E121" i="24"/>
  <c r="G119" i="24"/>
  <c r="J119" i="24" s="1"/>
  <c r="H118" i="24"/>
  <c r="G118" i="24"/>
  <c r="J118" i="24" s="1"/>
  <c r="E118" i="24"/>
  <c r="G117" i="24"/>
  <c r="E117" i="24"/>
  <c r="J116" i="24"/>
  <c r="H116" i="24"/>
  <c r="G116" i="24"/>
  <c r="E116" i="24" s="1"/>
  <c r="E115" i="24"/>
  <c r="J114" i="24"/>
  <c r="J113" i="24"/>
  <c r="H113" i="24"/>
  <c r="E113" i="24"/>
  <c r="J112" i="24"/>
  <c r="J111" i="24"/>
  <c r="H111" i="24"/>
  <c r="E111" i="24"/>
  <c r="J110" i="24"/>
  <c r="H110" i="24"/>
  <c r="E110" i="24"/>
  <c r="E109" i="24"/>
  <c r="J108" i="24"/>
  <c r="G107" i="24"/>
  <c r="H107" i="24" s="1"/>
  <c r="C106" i="24"/>
  <c r="D125" i="24" s="1"/>
  <c r="J95" i="24"/>
  <c r="H95" i="24"/>
  <c r="G95" i="24"/>
  <c r="E95" i="24"/>
  <c r="D95" i="24"/>
  <c r="J94" i="24"/>
  <c r="H94" i="24"/>
  <c r="E94" i="24"/>
  <c r="D94" i="24"/>
  <c r="J93" i="24"/>
  <c r="G91" i="24"/>
  <c r="J91" i="24" s="1"/>
  <c r="G89" i="24"/>
  <c r="J89" i="24" s="1"/>
  <c r="J88" i="24"/>
  <c r="J87" i="24"/>
  <c r="G87" i="24"/>
  <c r="C86" i="24"/>
  <c r="G85" i="24"/>
  <c r="J85" i="24" s="1"/>
  <c r="E85" i="24"/>
  <c r="J84" i="24"/>
  <c r="H84" i="24"/>
  <c r="G84" i="24"/>
  <c r="E84" i="24" s="1"/>
  <c r="G83" i="24"/>
  <c r="E83" i="24" s="1"/>
  <c r="J82" i="24"/>
  <c r="H82" i="24"/>
  <c r="E82" i="24"/>
  <c r="J81" i="24"/>
  <c r="C80" i="24"/>
  <c r="D82" i="24" s="1"/>
  <c r="J78" i="24"/>
  <c r="H78" i="24"/>
  <c r="E78" i="24"/>
  <c r="C77" i="24"/>
  <c r="D78" i="24" s="1"/>
  <c r="F78" i="24" s="1"/>
  <c r="J76" i="24"/>
  <c r="H76" i="24"/>
  <c r="E76" i="24"/>
  <c r="J75" i="24"/>
  <c r="E75" i="24"/>
  <c r="J74" i="24"/>
  <c r="H74" i="24"/>
  <c r="E74" i="24"/>
  <c r="D74" i="24"/>
  <c r="C73" i="24"/>
  <c r="D75" i="24" s="1"/>
  <c r="J71" i="24"/>
  <c r="H71" i="24"/>
  <c r="E71" i="24"/>
  <c r="J70" i="24"/>
  <c r="H70" i="24"/>
  <c r="E70" i="24"/>
  <c r="C69" i="24"/>
  <c r="D71" i="24" s="1"/>
  <c r="J68" i="24"/>
  <c r="J67" i="24"/>
  <c r="J66" i="24"/>
  <c r="C65" i="24"/>
  <c r="J64" i="24"/>
  <c r="G62" i="24"/>
  <c r="J62" i="24" s="1"/>
  <c r="G61" i="24"/>
  <c r="J61" i="24" s="1"/>
  <c r="J60" i="24"/>
  <c r="G59" i="24"/>
  <c r="E59" i="24" s="1"/>
  <c r="D59" i="24"/>
  <c r="C58" i="24"/>
  <c r="H58" i="24" s="1"/>
  <c r="J57" i="24"/>
  <c r="E57" i="24"/>
  <c r="J56" i="24"/>
  <c r="H56" i="24"/>
  <c r="E56" i="24"/>
  <c r="C55" i="24"/>
  <c r="D56" i="24" s="1"/>
  <c r="G54" i="24"/>
  <c r="E54" i="24" s="1"/>
  <c r="F54" i="24" s="1"/>
  <c r="D54" i="24"/>
  <c r="J51" i="24"/>
  <c r="G50" i="24"/>
  <c r="E50" i="24" s="1"/>
  <c r="J49" i="24"/>
  <c r="H49" i="24"/>
  <c r="E49" i="24"/>
  <c r="J48" i="24"/>
  <c r="H48" i="24"/>
  <c r="G48" i="24"/>
  <c r="E48" i="24" s="1"/>
  <c r="J47" i="24"/>
  <c r="J46" i="24"/>
  <c r="G46" i="24"/>
  <c r="C45" i="24"/>
  <c r="D50" i="24" s="1"/>
  <c r="G44" i="24"/>
  <c r="H44" i="24" s="1"/>
  <c r="J43" i="24"/>
  <c r="G43" i="24"/>
  <c r="H43" i="24" s="1"/>
  <c r="E43" i="24"/>
  <c r="G42" i="24"/>
  <c r="J42" i="24" s="1"/>
  <c r="E42" i="24"/>
  <c r="J41" i="24"/>
  <c r="H41" i="24"/>
  <c r="E41" i="24"/>
  <c r="C40" i="24"/>
  <c r="D44" i="24" s="1"/>
  <c r="J39" i="24"/>
  <c r="J38" i="24"/>
  <c r="H38" i="24"/>
  <c r="E38" i="24"/>
  <c r="E37" i="24"/>
  <c r="J36" i="24"/>
  <c r="H36" i="24"/>
  <c r="E36" i="24"/>
  <c r="J35" i="24"/>
  <c r="E35" i="24"/>
  <c r="J34" i="24"/>
  <c r="H34" i="24"/>
  <c r="E34" i="24"/>
  <c r="H33" i="24"/>
  <c r="J32" i="24"/>
  <c r="H32" i="24"/>
  <c r="E32" i="24"/>
  <c r="J31" i="24"/>
  <c r="E31" i="24"/>
  <c r="J30" i="24"/>
  <c r="H30" i="24"/>
  <c r="E30" i="24"/>
  <c r="C29" i="24"/>
  <c r="D37" i="24" s="1"/>
  <c r="J27" i="24"/>
  <c r="J26" i="24"/>
  <c r="H26" i="24"/>
  <c r="E26" i="24"/>
  <c r="J25" i="24"/>
  <c r="H25" i="24"/>
  <c r="E25" i="24"/>
  <c r="J24" i="24"/>
  <c r="H24" i="24"/>
  <c r="E24" i="24"/>
  <c r="J23" i="24"/>
  <c r="J22" i="24"/>
  <c r="G22" i="24"/>
  <c r="G96" i="24" s="1"/>
  <c r="C21" i="24"/>
  <c r="D25" i="24" s="1"/>
  <c r="J20" i="24"/>
  <c r="J19" i="24"/>
  <c r="J18" i="24"/>
  <c r="J17" i="24"/>
  <c r="J15" i="24"/>
  <c r="J14" i="24"/>
  <c r="J13" i="24"/>
  <c r="H13" i="24"/>
  <c r="E13" i="24"/>
  <c r="J12" i="24"/>
  <c r="C11" i="24"/>
  <c r="C9" i="24" s="1"/>
  <c r="F384" i="24" l="1"/>
  <c r="I248" i="24"/>
  <c r="F256" i="24"/>
  <c r="I257" i="24"/>
  <c r="I405" i="24"/>
  <c r="D32" i="24"/>
  <c r="I32" i="24" s="1"/>
  <c r="F36" i="24"/>
  <c r="D38" i="24"/>
  <c r="D43" i="24"/>
  <c r="D76" i="24"/>
  <c r="I76" i="24" s="1"/>
  <c r="D234" i="24"/>
  <c r="D277" i="24"/>
  <c r="F277" i="24" s="1"/>
  <c r="D301" i="24"/>
  <c r="D319" i="24"/>
  <c r="F319" i="24" s="1"/>
  <c r="D320" i="24"/>
  <c r="F320" i="24" s="1"/>
  <c r="D385" i="24"/>
  <c r="F385" i="24" s="1"/>
  <c r="H405" i="24"/>
  <c r="F32" i="24"/>
  <c r="D34" i="24"/>
  <c r="D70" i="24"/>
  <c r="F70" i="24" s="1"/>
  <c r="F94" i="24"/>
  <c r="F95" i="24"/>
  <c r="D137" i="24"/>
  <c r="F137" i="24" s="1"/>
  <c r="H144" i="24"/>
  <c r="H170" i="24"/>
  <c r="D184" i="24"/>
  <c r="H184" i="24"/>
  <c r="D186" i="24"/>
  <c r="H187" i="24"/>
  <c r="C203" i="24"/>
  <c r="D205" i="24" s="1"/>
  <c r="F205" i="24" s="1"/>
  <c r="D227" i="24"/>
  <c r="F227" i="24" s="1"/>
  <c r="J227" i="24"/>
  <c r="E233" i="24"/>
  <c r="F236" i="24"/>
  <c r="D247" i="24"/>
  <c r="D249" i="24" s="1"/>
  <c r="D258" i="24"/>
  <c r="I258" i="24" s="1"/>
  <c r="H273" i="24"/>
  <c r="D279" i="24"/>
  <c r="D312" i="24"/>
  <c r="I312" i="24" s="1"/>
  <c r="H361" i="24"/>
  <c r="I361" i="24" s="1"/>
  <c r="D413" i="24"/>
  <c r="D13" i="24"/>
  <c r="F13" i="24" s="1"/>
  <c r="D30" i="24"/>
  <c r="D41" i="24"/>
  <c r="F41" i="24" s="1"/>
  <c r="H59" i="24"/>
  <c r="I59" i="24" s="1"/>
  <c r="D144" i="24"/>
  <c r="F144" i="24" s="1"/>
  <c r="J144" i="24"/>
  <c r="D158" i="24"/>
  <c r="F158" i="24" s="1"/>
  <c r="J170" i="24"/>
  <c r="E184" i="24"/>
  <c r="F257" i="24"/>
  <c r="D261" i="24"/>
  <c r="D273" i="24"/>
  <c r="F273" i="24" s="1"/>
  <c r="J273" i="24"/>
  <c r="D318" i="24"/>
  <c r="D394" i="24"/>
  <c r="F394" i="24" s="1"/>
  <c r="E395" i="24"/>
  <c r="E405" i="24"/>
  <c r="D410" i="24"/>
  <c r="D412" i="24"/>
  <c r="D36" i="24"/>
  <c r="I36" i="24" s="1"/>
  <c r="J59" i="24"/>
  <c r="E107" i="24"/>
  <c r="D142" i="24"/>
  <c r="I142" i="24" s="1"/>
  <c r="E158" i="24"/>
  <c r="D170" i="24"/>
  <c r="I170" i="24" s="1"/>
  <c r="E187" i="24"/>
  <c r="D192" i="24"/>
  <c r="D229" i="24"/>
  <c r="D276" i="24"/>
  <c r="F276" i="24" s="1"/>
  <c r="H320" i="24"/>
  <c r="F361" i="24"/>
  <c r="E361" i="24"/>
  <c r="F395" i="24"/>
  <c r="F74" i="24"/>
  <c r="F30" i="24"/>
  <c r="F76" i="24"/>
  <c r="F25" i="24"/>
  <c r="I25" i="24"/>
  <c r="F34" i="24"/>
  <c r="F50" i="24"/>
  <c r="F38" i="24"/>
  <c r="F37" i="24"/>
  <c r="I44" i="24"/>
  <c r="I56" i="24"/>
  <c r="F56" i="24"/>
  <c r="F71" i="24"/>
  <c r="F75" i="24"/>
  <c r="F82" i="24"/>
  <c r="I82" i="24"/>
  <c r="I205" i="24"/>
  <c r="E33" i="24"/>
  <c r="E44" i="24"/>
  <c r="F44" i="24" s="1"/>
  <c r="F59" i="24"/>
  <c r="I78" i="24"/>
  <c r="J120" i="24"/>
  <c r="H120" i="24"/>
  <c r="D31" i="24"/>
  <c r="H31" i="24"/>
  <c r="J33" i="24"/>
  <c r="D35" i="24"/>
  <c r="H35" i="24"/>
  <c r="J37" i="24"/>
  <c r="E39" i="24"/>
  <c r="D42" i="24"/>
  <c r="H42" i="24"/>
  <c r="J44" i="24"/>
  <c r="D49" i="24"/>
  <c r="J50" i="24"/>
  <c r="J54" i="24"/>
  <c r="D57" i="24"/>
  <c r="H57" i="24"/>
  <c r="H75" i="24"/>
  <c r="I75" i="24" s="1"/>
  <c r="J83" i="24"/>
  <c r="D85" i="24"/>
  <c r="H85" i="24"/>
  <c r="I95" i="24"/>
  <c r="C105" i="24"/>
  <c r="J107" i="24"/>
  <c r="J109" i="24"/>
  <c r="H115" i="24"/>
  <c r="J115" i="24"/>
  <c r="J117" i="24"/>
  <c r="H117" i="24"/>
  <c r="E126" i="24"/>
  <c r="F126" i="24" s="1"/>
  <c r="J143" i="24"/>
  <c r="H143" i="24"/>
  <c r="I143" i="24" s="1"/>
  <c r="E159" i="24"/>
  <c r="F159" i="24" s="1"/>
  <c r="I180" i="24"/>
  <c r="I182" i="24"/>
  <c r="J214" i="24"/>
  <c r="E217" i="24"/>
  <c r="I256" i="24"/>
  <c r="J272" i="24"/>
  <c r="F281" i="24"/>
  <c r="I313" i="24"/>
  <c r="D48" i="24"/>
  <c r="F125" i="24"/>
  <c r="I125" i="24"/>
  <c r="H139" i="24"/>
  <c r="I139" i="24" s="1"/>
  <c r="J139" i="24"/>
  <c r="H159" i="24"/>
  <c r="I159" i="24" s="1"/>
  <c r="J159" i="24"/>
  <c r="F169" i="24"/>
  <c r="E186" i="24"/>
  <c r="H186" i="24"/>
  <c r="I186" i="24" s="1"/>
  <c r="E229" i="24"/>
  <c r="F229" i="24" s="1"/>
  <c r="H229" i="24"/>
  <c r="I229" i="24" s="1"/>
  <c r="I247" i="24"/>
  <c r="F248" i="24"/>
  <c r="D24" i="24"/>
  <c r="D26" i="24"/>
  <c r="D84" i="24"/>
  <c r="I94" i="24"/>
  <c r="G129" i="24"/>
  <c r="G150" i="24"/>
  <c r="J169" i="24"/>
  <c r="H169" i="24"/>
  <c r="I169" i="24" s="1"/>
  <c r="I30" i="24"/>
  <c r="D33" i="24"/>
  <c r="I34" i="24"/>
  <c r="H37" i="24"/>
  <c r="I37" i="24" s="1"/>
  <c r="I38" i="24"/>
  <c r="H39" i="24"/>
  <c r="I41" i="24"/>
  <c r="H50" i="24"/>
  <c r="I50" i="24" s="1"/>
  <c r="H54" i="24"/>
  <c r="I54" i="24" s="1"/>
  <c r="I71" i="24"/>
  <c r="I74" i="24"/>
  <c r="D83" i="24"/>
  <c r="H83" i="24"/>
  <c r="H109" i="24"/>
  <c r="E120" i="24"/>
  <c r="F143" i="24"/>
  <c r="J138" i="24"/>
  <c r="H138" i="24"/>
  <c r="I144" i="24"/>
  <c r="I168" i="24"/>
  <c r="G196" i="24"/>
  <c r="H181" i="24"/>
  <c r="J181" i="24"/>
  <c r="J185" i="24"/>
  <c r="H185" i="24"/>
  <c r="J186" i="24"/>
  <c r="E214" i="24"/>
  <c r="J217" i="24"/>
  <c r="J229" i="24"/>
  <c r="F300" i="24"/>
  <c r="I137" i="24"/>
  <c r="D160" i="24"/>
  <c r="F181" i="24"/>
  <c r="I181" i="24"/>
  <c r="I227" i="24"/>
  <c r="E234" i="24"/>
  <c r="F234" i="24" s="1"/>
  <c r="H234" i="24"/>
  <c r="I234" i="24" s="1"/>
  <c r="G239" i="24"/>
  <c r="F247" i="24"/>
  <c r="H272" i="24"/>
  <c r="G283" i="24"/>
  <c r="I277" i="24"/>
  <c r="E279" i="24"/>
  <c r="H279" i="24"/>
  <c r="I279" i="24" s="1"/>
  <c r="D291" i="24"/>
  <c r="D292" i="24"/>
  <c r="J301" i="24"/>
  <c r="H301" i="24"/>
  <c r="E301" i="24"/>
  <c r="F301" i="24" s="1"/>
  <c r="D138" i="24"/>
  <c r="E180" i="24"/>
  <c r="F180" i="24" s="1"/>
  <c r="D185" i="24"/>
  <c r="D187" i="24"/>
  <c r="C207" i="24"/>
  <c r="D217" i="24"/>
  <c r="D214" i="24"/>
  <c r="D216" i="24"/>
  <c r="E228" i="24"/>
  <c r="J228" i="24"/>
  <c r="E231" i="24"/>
  <c r="J231" i="24"/>
  <c r="E259" i="24"/>
  <c r="F259" i="24" s="1"/>
  <c r="J259" i="24"/>
  <c r="F270" i="24"/>
  <c r="E278" i="24"/>
  <c r="J278" i="24"/>
  <c r="D302" i="24"/>
  <c r="D330" i="24"/>
  <c r="E318" i="24"/>
  <c r="I319" i="24"/>
  <c r="D348" i="24"/>
  <c r="D349" i="24"/>
  <c r="D347" i="24"/>
  <c r="D350" i="24"/>
  <c r="J368" i="24"/>
  <c r="E368" i="24"/>
  <c r="H368" i="24"/>
  <c r="F426" i="24"/>
  <c r="I426" i="24"/>
  <c r="I434" i="24"/>
  <c r="F434" i="24"/>
  <c r="G376" i="24"/>
  <c r="I273" i="24"/>
  <c r="I300" i="24"/>
  <c r="F312" i="24"/>
  <c r="H318" i="24"/>
  <c r="I318" i="24" s="1"/>
  <c r="I320" i="24"/>
  <c r="J320" i="24"/>
  <c r="I360" i="24"/>
  <c r="J366" i="24"/>
  <c r="E366" i="24"/>
  <c r="H366" i="24"/>
  <c r="D386" i="24"/>
  <c r="I384" i="24"/>
  <c r="I385" i="24"/>
  <c r="I394" i="24"/>
  <c r="G417" i="24"/>
  <c r="J407" i="24"/>
  <c r="E407" i="24"/>
  <c r="H407" i="24"/>
  <c r="I410" i="24"/>
  <c r="I412" i="24"/>
  <c r="I301" i="24"/>
  <c r="G330" i="24"/>
  <c r="E313" i="24"/>
  <c r="F313" i="24" s="1"/>
  <c r="J313" i="24"/>
  <c r="F318" i="24"/>
  <c r="D339" i="24"/>
  <c r="D338" i="24"/>
  <c r="J349" i="24"/>
  <c r="E349" i="24"/>
  <c r="H349" i="24"/>
  <c r="F406" i="24"/>
  <c r="E350" i="24"/>
  <c r="E360" i="24"/>
  <c r="F360" i="24" s="1"/>
  <c r="D366" i="24"/>
  <c r="D368" i="24"/>
  <c r="F405" i="24"/>
  <c r="D407" i="24"/>
  <c r="E410" i="24"/>
  <c r="F410" i="24" s="1"/>
  <c r="E412" i="24"/>
  <c r="F412" i="24" s="1"/>
  <c r="D437" i="24"/>
  <c r="H437" i="24"/>
  <c r="D362" i="24"/>
  <c r="D364" i="24"/>
  <c r="D393" i="24"/>
  <c r="E437" i="24"/>
  <c r="D228" i="24"/>
  <c r="D239" i="24" s="1"/>
  <c r="D231" i="24"/>
  <c r="D233" i="24"/>
  <c r="D272" i="24"/>
  <c r="D275" i="24"/>
  <c r="D278" i="24"/>
  <c r="D436" i="24"/>
  <c r="D439" i="24" s="1"/>
  <c r="G350" i="23"/>
  <c r="G353" i="23" s="1"/>
  <c r="I276" i="24" l="1"/>
  <c r="F279" i="24"/>
  <c r="I158" i="24"/>
  <c r="D172" i="24"/>
  <c r="F186" i="24"/>
  <c r="I192" i="24"/>
  <c r="F192" i="24"/>
  <c r="I184" i="24"/>
  <c r="F184" i="24"/>
  <c r="D196" i="24"/>
  <c r="F142" i="24"/>
  <c r="F258" i="24"/>
  <c r="F170" i="24"/>
  <c r="I70" i="24"/>
  <c r="I13" i="24"/>
  <c r="F413" i="24"/>
  <c r="I413" i="24"/>
  <c r="I43" i="24"/>
  <c r="F43" i="24"/>
  <c r="F275" i="24"/>
  <c r="I275" i="24"/>
  <c r="I362" i="24"/>
  <c r="F362" i="24"/>
  <c r="F368" i="24"/>
  <c r="I368" i="24"/>
  <c r="F349" i="24"/>
  <c r="I349" i="24"/>
  <c r="I291" i="24"/>
  <c r="D293" i="24"/>
  <c r="F291" i="24"/>
  <c r="F83" i="24"/>
  <c r="I83" i="24"/>
  <c r="F272" i="24"/>
  <c r="I272" i="24"/>
  <c r="D283" i="24"/>
  <c r="F407" i="24"/>
  <c r="I407" i="24"/>
  <c r="F366" i="24"/>
  <c r="I366" i="24"/>
  <c r="F338" i="24"/>
  <c r="D340" i="24"/>
  <c r="I338" i="24"/>
  <c r="D417" i="24"/>
  <c r="I348" i="24"/>
  <c r="F348" i="24"/>
  <c r="F216" i="24"/>
  <c r="I216" i="24"/>
  <c r="D207" i="24"/>
  <c r="I84" i="24"/>
  <c r="F84" i="24"/>
  <c r="F42" i="24"/>
  <c r="I42" i="24"/>
  <c r="F35" i="24"/>
  <c r="I35" i="24"/>
  <c r="I393" i="24"/>
  <c r="D397" i="24"/>
  <c r="F393" i="24"/>
  <c r="I339" i="24"/>
  <c r="F339" i="24"/>
  <c r="F350" i="24"/>
  <c r="I350" i="24"/>
  <c r="F302" i="24"/>
  <c r="D304" i="24"/>
  <c r="I302" i="24"/>
  <c r="F138" i="24"/>
  <c r="I138" i="24"/>
  <c r="I33" i="24"/>
  <c r="F33" i="24"/>
  <c r="I26" i="24"/>
  <c r="F26" i="24"/>
  <c r="F85" i="24"/>
  <c r="I85" i="24"/>
  <c r="I436" i="24"/>
  <c r="F436" i="24"/>
  <c r="F233" i="24"/>
  <c r="I233" i="24"/>
  <c r="F437" i="24"/>
  <c r="I437" i="24"/>
  <c r="D219" i="24"/>
  <c r="F214" i="24"/>
  <c r="I214" i="24"/>
  <c r="D150" i="24"/>
  <c r="I48" i="24"/>
  <c r="F48" i="24"/>
  <c r="F49" i="24"/>
  <c r="I49" i="24"/>
  <c r="F278" i="24"/>
  <c r="I278" i="24"/>
  <c r="I231" i="24"/>
  <c r="F231" i="24"/>
  <c r="I364" i="24"/>
  <c r="F364" i="24"/>
  <c r="D376" i="24"/>
  <c r="F347" i="24"/>
  <c r="D352" i="24"/>
  <c r="I347" i="24"/>
  <c r="I217" i="24"/>
  <c r="F217" i="24"/>
  <c r="F187" i="24"/>
  <c r="I187" i="24"/>
  <c r="F292" i="24"/>
  <c r="I292" i="24"/>
  <c r="I24" i="24"/>
  <c r="F24" i="24"/>
  <c r="D124" i="24"/>
  <c r="D122" i="24"/>
  <c r="D115" i="24"/>
  <c r="D114" i="24"/>
  <c r="D123" i="24"/>
  <c r="D120" i="24"/>
  <c r="D117" i="24"/>
  <c r="C104" i="24"/>
  <c r="D127" i="24"/>
  <c r="D118" i="24"/>
  <c r="D116" i="24"/>
  <c r="D109" i="24"/>
  <c r="D107" i="24"/>
  <c r="D110" i="24"/>
  <c r="D121" i="24"/>
  <c r="D111" i="24"/>
  <c r="D113" i="24"/>
  <c r="F57" i="24"/>
  <c r="I57" i="24"/>
  <c r="I228" i="24"/>
  <c r="F228" i="24"/>
  <c r="F185" i="24"/>
  <c r="I185" i="24"/>
  <c r="F31" i="24"/>
  <c r="I31" i="24"/>
  <c r="G234" i="23"/>
  <c r="G228" i="23"/>
  <c r="G406" i="23"/>
  <c r="G115" i="23"/>
  <c r="G95" i="23"/>
  <c r="G88" i="23"/>
  <c r="G85" i="23"/>
  <c r="G83" i="23"/>
  <c r="G82" i="23"/>
  <c r="G71" i="23"/>
  <c r="G54" i="23"/>
  <c r="F110" i="24" l="1"/>
  <c r="I110" i="24"/>
  <c r="I118" i="24"/>
  <c r="F118" i="24"/>
  <c r="F120" i="24"/>
  <c r="I120" i="24"/>
  <c r="I122" i="24"/>
  <c r="F122" i="24"/>
  <c r="I113" i="24"/>
  <c r="F113" i="24"/>
  <c r="I107" i="24"/>
  <c r="F107" i="24"/>
  <c r="I127" i="24"/>
  <c r="F127" i="24"/>
  <c r="F123" i="24"/>
  <c r="I123" i="24"/>
  <c r="I124" i="24"/>
  <c r="F124" i="24"/>
  <c r="F111" i="24"/>
  <c r="I111" i="24"/>
  <c r="F109" i="24"/>
  <c r="I109" i="24"/>
  <c r="I114" i="24"/>
  <c r="F114" i="24"/>
  <c r="I121" i="24"/>
  <c r="F121" i="24"/>
  <c r="I116" i="24"/>
  <c r="F116" i="24"/>
  <c r="F117" i="24"/>
  <c r="I117" i="24"/>
  <c r="F115" i="24"/>
  <c r="I115" i="24"/>
  <c r="G62" i="21"/>
  <c r="G397" i="23" l="1"/>
  <c r="G302" i="23"/>
  <c r="G261" i="23"/>
  <c r="G259" i="23"/>
  <c r="G169" i="23"/>
  <c r="G168" i="23"/>
  <c r="G158" i="23"/>
  <c r="G329" i="23" l="1"/>
  <c r="G328" i="23"/>
  <c r="G326" i="23"/>
  <c r="G321" i="23"/>
  <c r="G319" i="23"/>
  <c r="G314" i="23"/>
  <c r="G313" i="23"/>
  <c r="G184" i="23"/>
  <c r="G238" i="23"/>
  <c r="G235" i="23"/>
  <c r="G230" i="23"/>
  <c r="G229" i="23"/>
  <c r="G413" i="23"/>
  <c r="G41" i="23"/>
  <c r="G217" i="23" l="1"/>
  <c r="G89" i="23"/>
  <c r="G61" i="23"/>
  <c r="G34" i="23"/>
  <c r="G33" i="23"/>
  <c r="G32" i="23"/>
  <c r="G31" i="23"/>
  <c r="G30" i="23"/>
  <c r="G109" i="23" l="1"/>
  <c r="G87" i="23" l="1"/>
  <c r="G62" i="23"/>
  <c r="G42" i="23"/>
  <c r="G39" i="23"/>
  <c r="G38" i="23"/>
  <c r="G120" i="23" l="1"/>
  <c r="C217" i="23" l="1"/>
  <c r="G215" i="23"/>
  <c r="G159" i="23" l="1"/>
  <c r="G121" i="23" l="1"/>
  <c r="G119" i="23" l="1"/>
  <c r="G74" i="23"/>
  <c r="G75" i="23"/>
  <c r="G76" i="23"/>
  <c r="G439" i="23" l="1"/>
  <c r="G438" i="23"/>
  <c r="G37" i="23" l="1"/>
  <c r="G36" i="23"/>
  <c r="G35" i="23"/>
  <c r="C440" i="23" l="1"/>
  <c r="J439" i="23"/>
  <c r="J438" i="23"/>
  <c r="H438" i="23"/>
  <c r="E438" i="23"/>
  <c r="J437" i="23"/>
  <c r="H437" i="23"/>
  <c r="E437" i="23"/>
  <c r="J436" i="23"/>
  <c r="J435" i="23"/>
  <c r="H435" i="23"/>
  <c r="E435" i="23"/>
  <c r="C434" i="23"/>
  <c r="D437" i="23" s="1"/>
  <c r="G428" i="23"/>
  <c r="C428" i="23"/>
  <c r="J427" i="23"/>
  <c r="H427" i="23"/>
  <c r="E427" i="23"/>
  <c r="J426" i="23"/>
  <c r="D426" i="23"/>
  <c r="D428" i="23" s="1"/>
  <c r="C425" i="23"/>
  <c r="D427" i="23" s="1"/>
  <c r="C418" i="23"/>
  <c r="J417" i="23"/>
  <c r="J416" i="23"/>
  <c r="G416" i="23"/>
  <c r="G415" i="23"/>
  <c r="J415" i="23" s="1"/>
  <c r="D415" i="23"/>
  <c r="H414" i="23"/>
  <c r="G414" i="23"/>
  <c r="J414" i="23" s="1"/>
  <c r="J412" i="23"/>
  <c r="G411" i="23"/>
  <c r="G410" i="23"/>
  <c r="G409" i="23"/>
  <c r="J409" i="23" s="1"/>
  <c r="J408" i="23"/>
  <c r="G408" i="23"/>
  <c r="H408" i="23" s="1"/>
  <c r="E408" i="23"/>
  <c r="J407" i="23"/>
  <c r="H407" i="23"/>
  <c r="G407" i="23"/>
  <c r="E407" i="23"/>
  <c r="J406" i="23"/>
  <c r="H406" i="23"/>
  <c r="E406" i="23"/>
  <c r="C405" i="23"/>
  <c r="D414" i="23" s="1"/>
  <c r="C398" i="23"/>
  <c r="J397" i="23"/>
  <c r="G396" i="23"/>
  <c r="J395" i="23"/>
  <c r="H395" i="23"/>
  <c r="E395" i="23"/>
  <c r="J394" i="23"/>
  <c r="H394" i="23"/>
  <c r="E394" i="23"/>
  <c r="C393" i="23"/>
  <c r="G387" i="23"/>
  <c r="C387" i="23"/>
  <c r="J386" i="23"/>
  <c r="H386" i="23"/>
  <c r="E386" i="23"/>
  <c r="J385" i="23"/>
  <c r="H385" i="23"/>
  <c r="E385" i="23"/>
  <c r="C384" i="23"/>
  <c r="C377" i="23"/>
  <c r="J376" i="23"/>
  <c r="G376" i="23"/>
  <c r="G375" i="23"/>
  <c r="J375" i="23" s="1"/>
  <c r="D375" i="23"/>
  <c r="J374" i="23"/>
  <c r="G374" i="23"/>
  <c r="J373" i="23"/>
  <c r="G372" i="23"/>
  <c r="J372" i="23" s="1"/>
  <c r="G371" i="23"/>
  <c r="J371" i="23" s="1"/>
  <c r="G370" i="23"/>
  <c r="J370" i="23" s="1"/>
  <c r="H369" i="23"/>
  <c r="G369" i="23"/>
  <c r="J369" i="23" s="1"/>
  <c r="J368" i="23"/>
  <c r="H367" i="23"/>
  <c r="G367" i="23"/>
  <c r="J367" i="23" s="1"/>
  <c r="G366" i="23"/>
  <c r="H366" i="23" s="1"/>
  <c r="G365" i="23"/>
  <c r="G364" i="23"/>
  <c r="J364" i="23" s="1"/>
  <c r="J363" i="23"/>
  <c r="H363" i="23"/>
  <c r="E363" i="23"/>
  <c r="J362" i="23"/>
  <c r="G362" i="23"/>
  <c r="H362" i="23" s="1"/>
  <c r="E362" i="23"/>
  <c r="H361" i="23"/>
  <c r="G361" i="23"/>
  <c r="J361" i="23" s="1"/>
  <c r="E361" i="23"/>
  <c r="D361" i="23"/>
  <c r="I361" i="23" s="1"/>
  <c r="C360" i="23"/>
  <c r="D362" i="23" s="1"/>
  <c r="I362" i="23" s="1"/>
  <c r="C353" i="23"/>
  <c r="J352" i="23"/>
  <c r="H351" i="23"/>
  <c r="G351" i="23"/>
  <c r="J350" i="23"/>
  <c r="H350" i="23"/>
  <c r="E350" i="23"/>
  <c r="J349" i="23"/>
  <c r="H349" i="23"/>
  <c r="E349" i="23"/>
  <c r="J348" i="23"/>
  <c r="H348" i="23"/>
  <c r="E348" i="23"/>
  <c r="C347" i="23"/>
  <c r="G341" i="23"/>
  <c r="C341" i="23"/>
  <c r="J340" i="23"/>
  <c r="H340" i="23"/>
  <c r="E340" i="23"/>
  <c r="J339" i="23"/>
  <c r="H339" i="23"/>
  <c r="E339" i="23"/>
  <c r="C338" i="23"/>
  <c r="C331" i="23"/>
  <c r="J330" i="23"/>
  <c r="J329" i="23"/>
  <c r="D329" i="23"/>
  <c r="J328" i="23"/>
  <c r="D328" i="23"/>
  <c r="J327" i="23"/>
  <c r="D327" i="23"/>
  <c r="J326" i="23"/>
  <c r="D326" i="23"/>
  <c r="J325" i="23"/>
  <c r="G325" i="23"/>
  <c r="G324" i="23"/>
  <c r="J324" i="23" s="1"/>
  <c r="G323" i="23"/>
  <c r="J323" i="23" s="1"/>
  <c r="G322" i="23"/>
  <c r="J322" i="23" s="1"/>
  <c r="J320" i="23"/>
  <c r="H320" i="23"/>
  <c r="E320" i="23"/>
  <c r="H319" i="23"/>
  <c r="D319" i="23"/>
  <c r="J318" i="23"/>
  <c r="G318" i="23"/>
  <c r="G317" i="23"/>
  <c r="J316" i="23"/>
  <c r="G316" i="23"/>
  <c r="J315" i="23"/>
  <c r="J314" i="23"/>
  <c r="H314" i="23"/>
  <c r="E314" i="23"/>
  <c r="J313" i="23"/>
  <c r="H313" i="23"/>
  <c r="E313" i="23"/>
  <c r="C312" i="23"/>
  <c r="C305" i="23"/>
  <c r="J304" i="23"/>
  <c r="G303" i="23"/>
  <c r="J302" i="23"/>
  <c r="H302" i="23"/>
  <c r="E302" i="23"/>
  <c r="J301" i="23"/>
  <c r="H301" i="23"/>
  <c r="E301" i="23"/>
  <c r="C300" i="23"/>
  <c r="D302" i="23" s="1"/>
  <c r="G294" i="23"/>
  <c r="C294" i="23"/>
  <c r="J293" i="23"/>
  <c r="H293" i="23"/>
  <c r="F293" i="23"/>
  <c r="E293" i="23"/>
  <c r="J292" i="23"/>
  <c r="H292" i="23"/>
  <c r="E292" i="23"/>
  <c r="D292" i="23"/>
  <c r="C291" i="23"/>
  <c r="D293" i="23" s="1"/>
  <c r="C284" i="23"/>
  <c r="J283" i="23"/>
  <c r="G283" i="23"/>
  <c r="J282" i="23"/>
  <c r="H282" i="23"/>
  <c r="E282" i="23"/>
  <c r="J281" i="23"/>
  <c r="D281" i="23"/>
  <c r="G280" i="23"/>
  <c r="J280" i="23" s="1"/>
  <c r="G279" i="23"/>
  <c r="J278" i="23"/>
  <c r="H278" i="23"/>
  <c r="E278" i="23"/>
  <c r="G277" i="23"/>
  <c r="J277" i="23" s="1"/>
  <c r="G276" i="23"/>
  <c r="J275" i="23"/>
  <c r="G275" i="23"/>
  <c r="G274" i="23"/>
  <c r="J274" i="23" s="1"/>
  <c r="E274" i="23"/>
  <c r="G273" i="23"/>
  <c r="J272" i="23"/>
  <c r="J271" i="23"/>
  <c r="H271" i="23"/>
  <c r="E271" i="23"/>
  <c r="C270" i="23"/>
  <c r="D274" i="23" s="1"/>
  <c r="F274" i="23" s="1"/>
  <c r="G262" i="23"/>
  <c r="C262" i="23"/>
  <c r="J261" i="23"/>
  <c r="G260" i="23"/>
  <c r="J259" i="23"/>
  <c r="H259" i="23"/>
  <c r="E259" i="23"/>
  <c r="J258" i="23"/>
  <c r="H258" i="23"/>
  <c r="E258" i="23"/>
  <c r="J257" i="23"/>
  <c r="H257" i="23"/>
  <c r="E257" i="23"/>
  <c r="C256" i="23"/>
  <c r="D260" i="23" s="1"/>
  <c r="G250" i="23"/>
  <c r="C250" i="23"/>
  <c r="J249" i="23"/>
  <c r="H249" i="23"/>
  <c r="E249" i="23"/>
  <c r="J248" i="23"/>
  <c r="H248" i="23"/>
  <c r="E248" i="23"/>
  <c r="C247" i="23"/>
  <c r="D249" i="23" s="1"/>
  <c r="C240" i="23"/>
  <c r="J239" i="23"/>
  <c r="J238" i="23"/>
  <c r="J237" i="23"/>
  <c r="H237" i="23"/>
  <c r="E237" i="23"/>
  <c r="G236" i="23"/>
  <c r="J236" i="23" s="1"/>
  <c r="H235" i="23"/>
  <c r="J234" i="23"/>
  <c r="H234" i="23"/>
  <c r="E234" i="23"/>
  <c r="J233" i="23"/>
  <c r="J232" i="23"/>
  <c r="H232" i="23"/>
  <c r="G232" i="23"/>
  <c r="E232" i="23"/>
  <c r="D232" i="23"/>
  <c r="G231" i="23"/>
  <c r="J231" i="23" s="1"/>
  <c r="E230" i="23"/>
  <c r="J229" i="23"/>
  <c r="H229" i="23"/>
  <c r="E229" i="23"/>
  <c r="J228" i="23"/>
  <c r="H228" i="23"/>
  <c r="E228" i="23"/>
  <c r="C227" i="23"/>
  <c r="D229" i="23" s="1"/>
  <c r="G219" i="23"/>
  <c r="J219" i="23" s="1"/>
  <c r="J218" i="23"/>
  <c r="H218" i="23"/>
  <c r="G218" i="23"/>
  <c r="E218" i="23" s="1"/>
  <c r="H217" i="23"/>
  <c r="E217" i="23"/>
  <c r="C220" i="23"/>
  <c r="J216" i="23"/>
  <c r="J215" i="23"/>
  <c r="H215" i="23"/>
  <c r="E215" i="23"/>
  <c r="C214" i="23"/>
  <c r="D215" i="23" s="1"/>
  <c r="G208" i="23"/>
  <c r="C207" i="23"/>
  <c r="C206" i="23"/>
  <c r="H206" i="23" s="1"/>
  <c r="J205" i="23"/>
  <c r="C205" i="23"/>
  <c r="C204" i="23"/>
  <c r="C208" i="23" s="1"/>
  <c r="C196" i="23"/>
  <c r="J195" i="23"/>
  <c r="G194" i="23"/>
  <c r="J194" i="23" s="1"/>
  <c r="J193" i="23"/>
  <c r="J192" i="23"/>
  <c r="H192" i="23"/>
  <c r="E192" i="23"/>
  <c r="G191" i="23"/>
  <c r="J191" i="23" s="1"/>
  <c r="G190" i="23"/>
  <c r="J190" i="23" s="1"/>
  <c r="G189" i="23"/>
  <c r="J189" i="23" s="1"/>
  <c r="G188" i="23"/>
  <c r="J188" i="23" s="1"/>
  <c r="G187" i="23"/>
  <c r="J186" i="23"/>
  <c r="H186" i="23"/>
  <c r="G186" i="23"/>
  <c r="E186" i="23" s="1"/>
  <c r="G185" i="23"/>
  <c r="H185" i="23" s="1"/>
  <c r="E185" i="23"/>
  <c r="J184" i="23"/>
  <c r="E184" i="23"/>
  <c r="G183" i="23"/>
  <c r="J183" i="23" s="1"/>
  <c r="J182" i="23"/>
  <c r="H182" i="23"/>
  <c r="E182" i="23"/>
  <c r="G181" i="23"/>
  <c r="J180" i="23"/>
  <c r="H180" i="23"/>
  <c r="G180" i="23"/>
  <c r="E180" i="23" s="1"/>
  <c r="C179" i="23"/>
  <c r="D185" i="23" s="1"/>
  <c r="G172" i="23"/>
  <c r="C172" i="23"/>
  <c r="J171" i="23"/>
  <c r="J170" i="23"/>
  <c r="H170" i="23"/>
  <c r="G170" i="23"/>
  <c r="E170" i="23" s="1"/>
  <c r="D170" i="23"/>
  <c r="I170" i="23" s="1"/>
  <c r="J169" i="23"/>
  <c r="H169" i="23"/>
  <c r="E169" i="23"/>
  <c r="D169" i="23"/>
  <c r="J168" i="23"/>
  <c r="H168" i="23"/>
  <c r="E168" i="23"/>
  <c r="D168" i="23"/>
  <c r="C167" i="23"/>
  <c r="G160" i="23"/>
  <c r="C160" i="23"/>
  <c r="J159" i="23"/>
  <c r="H159" i="23"/>
  <c r="E159" i="23"/>
  <c r="D159" i="23"/>
  <c r="J158" i="23"/>
  <c r="H158" i="23"/>
  <c r="E158" i="23"/>
  <c r="D158" i="23"/>
  <c r="C157" i="23"/>
  <c r="C150" i="23"/>
  <c r="J149" i="23"/>
  <c r="G148" i="23"/>
  <c r="J148" i="23" s="1"/>
  <c r="G147" i="23"/>
  <c r="J147" i="23" s="1"/>
  <c r="J146" i="23"/>
  <c r="G146" i="23"/>
  <c r="G145" i="23"/>
  <c r="J145" i="23" s="1"/>
  <c r="G144" i="23"/>
  <c r="E144" i="23" s="1"/>
  <c r="D144" i="23"/>
  <c r="G143" i="23"/>
  <c r="H143" i="23" s="1"/>
  <c r="E143" i="23"/>
  <c r="J142" i="23"/>
  <c r="G142" i="23"/>
  <c r="H142" i="23" s="1"/>
  <c r="E142" i="23"/>
  <c r="D142" i="23"/>
  <c r="G141" i="23"/>
  <c r="J141" i="23" s="1"/>
  <c r="G140" i="23"/>
  <c r="J140" i="23" s="1"/>
  <c r="G139" i="23"/>
  <c r="G138" i="23"/>
  <c r="H138" i="23" s="1"/>
  <c r="G137" i="23"/>
  <c r="E137" i="23" s="1"/>
  <c r="C136" i="23"/>
  <c r="D143" i="23" s="1"/>
  <c r="I143" i="23" s="1"/>
  <c r="G128" i="23"/>
  <c r="J128" i="23" s="1"/>
  <c r="J127" i="23"/>
  <c r="H127" i="23"/>
  <c r="E127" i="23"/>
  <c r="G126" i="23"/>
  <c r="J126" i="23" s="1"/>
  <c r="D126" i="23"/>
  <c r="J125" i="23"/>
  <c r="H125" i="23"/>
  <c r="E125" i="23"/>
  <c r="J124" i="23"/>
  <c r="H124" i="23"/>
  <c r="E124" i="23"/>
  <c r="J123" i="23"/>
  <c r="H123" i="23"/>
  <c r="E123" i="23"/>
  <c r="J122" i="23"/>
  <c r="H122" i="23"/>
  <c r="E122" i="23"/>
  <c r="J121" i="23"/>
  <c r="H121" i="23"/>
  <c r="E121" i="23"/>
  <c r="E120" i="23"/>
  <c r="J119" i="23"/>
  <c r="J118" i="23"/>
  <c r="H118" i="23"/>
  <c r="G118" i="23"/>
  <c r="E118" i="23"/>
  <c r="G117" i="23"/>
  <c r="E117" i="23" s="1"/>
  <c r="J116" i="23"/>
  <c r="G116" i="23"/>
  <c r="E116" i="23" s="1"/>
  <c r="E115" i="23"/>
  <c r="J114" i="23"/>
  <c r="J113" i="23"/>
  <c r="H113" i="23"/>
  <c r="E113" i="23"/>
  <c r="J112" i="23"/>
  <c r="J111" i="23"/>
  <c r="H111" i="23"/>
  <c r="E111" i="23"/>
  <c r="G110" i="23"/>
  <c r="E110" i="23" s="1"/>
  <c r="J109" i="23"/>
  <c r="E109" i="23"/>
  <c r="J108" i="23"/>
  <c r="G107" i="23"/>
  <c r="G129" i="23" s="1"/>
  <c r="C106" i="23"/>
  <c r="D125" i="23" s="1"/>
  <c r="H95" i="23"/>
  <c r="I95" i="23" s="1"/>
  <c r="D95" i="23"/>
  <c r="J94" i="23"/>
  <c r="H94" i="23"/>
  <c r="E94" i="23"/>
  <c r="D94" i="23"/>
  <c r="F94" i="23" s="1"/>
  <c r="J93" i="23"/>
  <c r="G91" i="23"/>
  <c r="J91" i="23" s="1"/>
  <c r="J89" i="23"/>
  <c r="J88" i="23"/>
  <c r="J87" i="23"/>
  <c r="C86" i="23"/>
  <c r="J85" i="23"/>
  <c r="H85" i="23"/>
  <c r="E85" i="23"/>
  <c r="H84" i="23"/>
  <c r="G84" i="23"/>
  <c r="J84" i="23" s="1"/>
  <c r="J83" i="23"/>
  <c r="H82" i="23"/>
  <c r="J81" i="23"/>
  <c r="C80" i="23"/>
  <c r="D85" i="23" s="1"/>
  <c r="J78" i="23"/>
  <c r="H78" i="23"/>
  <c r="E78" i="23"/>
  <c r="C77" i="23"/>
  <c r="D78" i="23" s="1"/>
  <c r="J76" i="23"/>
  <c r="H76" i="23"/>
  <c r="E76" i="23"/>
  <c r="H75" i="23"/>
  <c r="J75" i="23"/>
  <c r="E75" i="23"/>
  <c r="H74" i="23"/>
  <c r="J74" i="23"/>
  <c r="D74" i="23"/>
  <c r="C73" i="23"/>
  <c r="D75" i="23" s="1"/>
  <c r="J71" i="23"/>
  <c r="J70" i="23"/>
  <c r="H70" i="23"/>
  <c r="E70" i="23"/>
  <c r="C69" i="23"/>
  <c r="D70" i="23" s="1"/>
  <c r="J68" i="23"/>
  <c r="J67" i="23"/>
  <c r="J66" i="23"/>
  <c r="C65" i="23"/>
  <c r="J64" i="23"/>
  <c r="J62" i="23"/>
  <c r="J61" i="23"/>
  <c r="J60" i="23"/>
  <c r="G59" i="23"/>
  <c r="J59" i="23" s="1"/>
  <c r="D59" i="23"/>
  <c r="H58" i="23"/>
  <c r="C58" i="23"/>
  <c r="G57" i="23"/>
  <c r="J57" i="23" s="1"/>
  <c r="J56" i="23"/>
  <c r="H56" i="23"/>
  <c r="E56" i="23"/>
  <c r="C55" i="23"/>
  <c r="D57" i="23" s="1"/>
  <c r="J54" i="23"/>
  <c r="D54" i="23"/>
  <c r="J51" i="23"/>
  <c r="G50" i="23"/>
  <c r="J50" i="23" s="1"/>
  <c r="J49" i="23"/>
  <c r="H49" i="23"/>
  <c r="E49" i="23"/>
  <c r="H48" i="23"/>
  <c r="G48" i="23"/>
  <c r="J48" i="23" s="1"/>
  <c r="J47" i="23"/>
  <c r="G46" i="23"/>
  <c r="J46" i="23" s="1"/>
  <c r="C45" i="23"/>
  <c r="D49" i="23" s="1"/>
  <c r="G44" i="23"/>
  <c r="J44" i="23" s="1"/>
  <c r="G43" i="23"/>
  <c r="H43" i="23" s="1"/>
  <c r="E42" i="23"/>
  <c r="J41" i="23"/>
  <c r="D41" i="23"/>
  <c r="C40" i="23"/>
  <c r="D42" i="23" s="1"/>
  <c r="J38" i="23"/>
  <c r="J36" i="23"/>
  <c r="H36" i="23"/>
  <c r="E36" i="23"/>
  <c r="J35" i="23"/>
  <c r="H35" i="23"/>
  <c r="E35" i="23"/>
  <c r="H34" i="23"/>
  <c r="J34" i="23"/>
  <c r="J32" i="23"/>
  <c r="H32" i="23"/>
  <c r="E32" i="23"/>
  <c r="H31" i="23"/>
  <c r="J31" i="23"/>
  <c r="E31" i="23"/>
  <c r="H30" i="23"/>
  <c r="J30" i="23"/>
  <c r="C29" i="23"/>
  <c r="D35" i="23" s="1"/>
  <c r="J27" i="23"/>
  <c r="J26" i="23"/>
  <c r="H26" i="23"/>
  <c r="E26" i="23"/>
  <c r="J25" i="23"/>
  <c r="H25" i="23"/>
  <c r="E25" i="23"/>
  <c r="J24" i="23"/>
  <c r="H24" i="23"/>
  <c r="E24" i="23"/>
  <c r="J23" i="23"/>
  <c r="G22" i="23"/>
  <c r="J22" i="23" s="1"/>
  <c r="C21" i="23"/>
  <c r="D24" i="23" s="1"/>
  <c r="J20" i="23"/>
  <c r="J19" i="23"/>
  <c r="J18" i="23"/>
  <c r="J17" i="23"/>
  <c r="J15" i="23"/>
  <c r="J14" i="23"/>
  <c r="J13" i="23"/>
  <c r="H13" i="23"/>
  <c r="E13" i="23"/>
  <c r="D13" i="23"/>
  <c r="F13" i="23" s="1"/>
  <c r="J12" i="23"/>
  <c r="C11" i="23"/>
  <c r="F169" i="23" l="1"/>
  <c r="F168" i="23"/>
  <c r="F158" i="23"/>
  <c r="D71" i="23"/>
  <c r="D180" i="23"/>
  <c r="F180" i="23" s="1"/>
  <c r="I302" i="23"/>
  <c r="J366" i="23"/>
  <c r="G418" i="23"/>
  <c r="I144" i="23"/>
  <c r="D30" i="23"/>
  <c r="J43" i="23"/>
  <c r="J82" i="23"/>
  <c r="J95" i="23"/>
  <c r="H137" i="23"/>
  <c r="F144" i="23"/>
  <c r="E204" i="23"/>
  <c r="J235" i="23"/>
  <c r="D257" i="23"/>
  <c r="I257" i="23" s="1"/>
  <c r="D259" i="23"/>
  <c r="F259" i="23" s="1"/>
  <c r="H277" i="23"/>
  <c r="D34" i="23"/>
  <c r="I34" i="23" s="1"/>
  <c r="H41" i="23"/>
  <c r="J42" i="23"/>
  <c r="H59" i="23"/>
  <c r="H71" i="23"/>
  <c r="I71" i="23" s="1"/>
  <c r="E95" i="23"/>
  <c r="F95" i="23" s="1"/>
  <c r="J107" i="23"/>
  <c r="H109" i="23"/>
  <c r="D137" i="23"/>
  <c r="I137" i="23" s="1"/>
  <c r="J137" i="23"/>
  <c r="H144" i="23"/>
  <c r="G150" i="23"/>
  <c r="F170" i="23"/>
  <c r="D182" i="23"/>
  <c r="F182" i="23" s="1"/>
  <c r="H184" i="23"/>
  <c r="D186" i="23"/>
  <c r="I186" i="23" s="1"/>
  <c r="J204" i="23"/>
  <c r="E206" i="23"/>
  <c r="D248" i="23"/>
  <c r="H274" i="23"/>
  <c r="I274" i="23" s="1"/>
  <c r="D277" i="23"/>
  <c r="D280" i="23"/>
  <c r="I293" i="23"/>
  <c r="D301" i="23"/>
  <c r="I301" i="23" s="1"/>
  <c r="D303" i="23"/>
  <c r="E351" i="23"/>
  <c r="F362" i="23"/>
  <c r="D367" i="23"/>
  <c r="I367" i="23" s="1"/>
  <c r="D369" i="23"/>
  <c r="J410" i="23"/>
  <c r="H38" i="23"/>
  <c r="I38" i="23" s="1"/>
  <c r="H42" i="23"/>
  <c r="I42" i="23" s="1"/>
  <c r="H57" i="23"/>
  <c r="H107" i="23"/>
  <c r="G196" i="23"/>
  <c r="I249" i="23"/>
  <c r="H280" i="23"/>
  <c r="I13" i="23"/>
  <c r="D38" i="23"/>
  <c r="E43" i="23"/>
  <c r="E57" i="23"/>
  <c r="E82" i="23"/>
  <c r="E107" i="23"/>
  <c r="H116" i="23"/>
  <c r="E138" i="23"/>
  <c r="J144" i="23"/>
  <c r="D184" i="23"/>
  <c r="F186" i="23"/>
  <c r="D192" i="23"/>
  <c r="F192" i="23" s="1"/>
  <c r="J206" i="23"/>
  <c r="G240" i="23"/>
  <c r="D234" i="23"/>
  <c r="I234" i="23" s="1"/>
  <c r="E235" i="23"/>
  <c r="F249" i="23"/>
  <c r="E277" i="23"/>
  <c r="E280" i="23"/>
  <c r="F302" i="23"/>
  <c r="E366" i="23"/>
  <c r="F159" i="23"/>
  <c r="F35" i="23"/>
  <c r="F24" i="23"/>
  <c r="I24" i="23"/>
  <c r="F42" i="23"/>
  <c r="F75" i="23"/>
  <c r="I75" i="23"/>
  <c r="J33" i="23"/>
  <c r="E33" i="23"/>
  <c r="H33" i="23"/>
  <c r="I78" i="23"/>
  <c r="F78" i="23"/>
  <c r="I85" i="23"/>
  <c r="F85" i="23"/>
  <c r="I30" i="23"/>
  <c r="J37" i="23"/>
  <c r="E37" i="23"/>
  <c r="H37" i="23"/>
  <c r="E39" i="23"/>
  <c r="J39" i="23"/>
  <c r="H39" i="23"/>
  <c r="D25" i="23"/>
  <c r="C9" i="23"/>
  <c r="I49" i="23"/>
  <c r="F49" i="23"/>
  <c r="I57" i="23"/>
  <c r="F57" i="23"/>
  <c r="I35" i="23"/>
  <c r="I41" i="23"/>
  <c r="I70" i="23"/>
  <c r="F70" i="23"/>
  <c r="D26" i="23"/>
  <c r="F229" i="23"/>
  <c r="I229" i="23"/>
  <c r="E30" i="23"/>
  <c r="F30" i="23" s="1"/>
  <c r="D33" i="23"/>
  <c r="E34" i="23"/>
  <c r="D37" i="23"/>
  <c r="E38" i="23"/>
  <c r="F38" i="23" s="1"/>
  <c r="E41" i="23"/>
  <c r="F41" i="23" s="1"/>
  <c r="D44" i="23"/>
  <c r="H44" i="23"/>
  <c r="E48" i="23"/>
  <c r="D50" i="23"/>
  <c r="H50" i="23"/>
  <c r="H54" i="23"/>
  <c r="I54" i="23" s="1"/>
  <c r="D56" i="23"/>
  <c r="E59" i="23"/>
  <c r="F59" i="23" s="1"/>
  <c r="I59" i="23"/>
  <c r="E71" i="23"/>
  <c r="F71" i="23" s="1"/>
  <c r="E74" i="23"/>
  <c r="F74" i="23" s="1"/>
  <c r="I74" i="23"/>
  <c r="D83" i="23"/>
  <c r="H83" i="23"/>
  <c r="E84" i="23"/>
  <c r="G96" i="23"/>
  <c r="H120" i="23"/>
  <c r="J120" i="23"/>
  <c r="E126" i="23"/>
  <c r="F126" i="23" s="1"/>
  <c r="F143" i="23"/>
  <c r="F142" i="23"/>
  <c r="I142" i="23"/>
  <c r="F185" i="23"/>
  <c r="I185" i="23"/>
  <c r="F234" i="23"/>
  <c r="E260" i="23"/>
  <c r="F260" i="23" s="1"/>
  <c r="H260" i="23"/>
  <c r="I260" i="23" s="1"/>
  <c r="J260" i="23"/>
  <c r="F292" i="23"/>
  <c r="D294" i="23"/>
  <c r="I292" i="23"/>
  <c r="I414" i="23"/>
  <c r="D48" i="23"/>
  <c r="D84" i="23"/>
  <c r="I94" i="23"/>
  <c r="I125" i="23"/>
  <c r="F125" i="23"/>
  <c r="I215" i="23"/>
  <c r="F215" i="23"/>
  <c r="F301" i="23"/>
  <c r="D32" i="23"/>
  <c r="D36" i="23"/>
  <c r="D43" i="23"/>
  <c r="E44" i="23"/>
  <c r="E50" i="23"/>
  <c r="E54" i="23"/>
  <c r="F54" i="23" s="1"/>
  <c r="D76" i="23"/>
  <c r="D82" i="23"/>
  <c r="E83" i="23"/>
  <c r="J115" i="23"/>
  <c r="H115" i="23"/>
  <c r="H117" i="23"/>
  <c r="J117" i="23"/>
  <c r="F137" i="23"/>
  <c r="J139" i="23"/>
  <c r="E139" i="23"/>
  <c r="F139" i="23" s="1"/>
  <c r="H139" i="23"/>
  <c r="I139" i="23" s="1"/>
  <c r="D160" i="23"/>
  <c r="I159" i="23"/>
  <c r="F184" i="23"/>
  <c r="I184" i="23"/>
  <c r="F248" i="23"/>
  <c r="I248" i="23"/>
  <c r="D250" i="23"/>
  <c r="G284" i="23"/>
  <c r="J273" i="23"/>
  <c r="E273" i="23"/>
  <c r="H273" i="23"/>
  <c r="I277" i="23"/>
  <c r="J365" i="23"/>
  <c r="E365" i="23"/>
  <c r="H365" i="23"/>
  <c r="F367" i="23"/>
  <c r="I369" i="23"/>
  <c r="D386" i="23"/>
  <c r="D385" i="23"/>
  <c r="G398" i="23"/>
  <c r="J396" i="23"/>
  <c r="E396" i="23"/>
  <c r="H396" i="23"/>
  <c r="D31" i="23"/>
  <c r="C105" i="23"/>
  <c r="J110" i="23"/>
  <c r="H110" i="23"/>
  <c r="D172" i="23"/>
  <c r="I169" i="23"/>
  <c r="J181" i="23"/>
  <c r="E181" i="23"/>
  <c r="H181" i="23"/>
  <c r="I182" i="23"/>
  <c r="J187" i="23"/>
  <c r="E187" i="23"/>
  <c r="H187" i="23"/>
  <c r="I192" i="23"/>
  <c r="F232" i="23"/>
  <c r="I232" i="23"/>
  <c r="I280" i="23"/>
  <c r="I319" i="23"/>
  <c r="D351" i="23"/>
  <c r="D349" i="23"/>
  <c r="D350" i="23"/>
  <c r="D348" i="23"/>
  <c r="F437" i="23"/>
  <c r="I437" i="23"/>
  <c r="J138" i="23"/>
  <c r="J143" i="23"/>
  <c r="D181" i="23"/>
  <c r="J185" i="23"/>
  <c r="D187" i="23"/>
  <c r="C203" i="23"/>
  <c r="D206" i="23" s="1"/>
  <c r="J217" i="23"/>
  <c r="G220" i="23"/>
  <c r="J230" i="23"/>
  <c r="F257" i="23"/>
  <c r="I259" i="23"/>
  <c r="D278" i="23"/>
  <c r="D271" i="23"/>
  <c r="D276" i="23"/>
  <c r="D279" i="23"/>
  <c r="G331" i="23"/>
  <c r="J317" i="23"/>
  <c r="J319" i="23"/>
  <c r="E319" i="23"/>
  <c r="F319" i="23" s="1"/>
  <c r="D395" i="23"/>
  <c r="D396" i="23"/>
  <c r="D394" i="23"/>
  <c r="J413" i="23"/>
  <c r="E413" i="23"/>
  <c r="H413" i="23"/>
  <c r="I158" i="23"/>
  <c r="I168" i="23"/>
  <c r="H204" i="23"/>
  <c r="D218" i="23"/>
  <c r="D237" i="23"/>
  <c r="D235" i="23"/>
  <c r="J276" i="23"/>
  <c r="E276" i="23"/>
  <c r="J279" i="23"/>
  <c r="E279" i="23"/>
  <c r="G305" i="23"/>
  <c r="J303" i="23"/>
  <c r="E303" i="23"/>
  <c r="F303" i="23" s="1"/>
  <c r="D320" i="23"/>
  <c r="D314" i="23"/>
  <c r="D321" i="23"/>
  <c r="J321" i="23"/>
  <c r="E321" i="23"/>
  <c r="H321" i="23"/>
  <c r="G377" i="23"/>
  <c r="D138" i="23"/>
  <c r="D204" i="23"/>
  <c r="D217" i="23"/>
  <c r="D228" i="23"/>
  <c r="D230" i="23"/>
  <c r="H230" i="23"/>
  <c r="D273" i="23"/>
  <c r="H276" i="23"/>
  <c r="H279" i="23"/>
  <c r="D282" i="23"/>
  <c r="H303" i="23"/>
  <c r="I303" i="23" s="1"/>
  <c r="D313" i="23"/>
  <c r="D340" i="23"/>
  <c r="D339" i="23"/>
  <c r="D407" i="23"/>
  <c r="D408" i="23"/>
  <c r="D413" i="23"/>
  <c r="D411" i="23"/>
  <c r="D406" i="23"/>
  <c r="J411" i="23"/>
  <c r="E411" i="23"/>
  <c r="H411" i="23"/>
  <c r="I427" i="23"/>
  <c r="F427" i="23"/>
  <c r="D438" i="23"/>
  <c r="D435" i="23"/>
  <c r="G440" i="23"/>
  <c r="D258" i="23"/>
  <c r="J351" i="23"/>
  <c r="F361" i="23"/>
  <c r="D363" i="23"/>
  <c r="D365" i="23"/>
  <c r="E367" i="23"/>
  <c r="E369" i="23"/>
  <c r="F369" i="23" s="1"/>
  <c r="E414" i="23"/>
  <c r="F414" i="23" s="1"/>
  <c r="G429" i="22"/>
  <c r="G399" i="22"/>
  <c r="G388" i="22"/>
  <c r="G354" i="22"/>
  <c r="G342" i="22"/>
  <c r="G306" i="22"/>
  <c r="G295" i="22"/>
  <c r="G263" i="22"/>
  <c r="G251" i="22"/>
  <c r="G221" i="22"/>
  <c r="G208" i="22"/>
  <c r="G160" i="22"/>
  <c r="I180" i="23" l="1"/>
  <c r="D377" i="23"/>
  <c r="D305" i="23"/>
  <c r="F277" i="23"/>
  <c r="D220" i="23"/>
  <c r="F34" i="23"/>
  <c r="F280" i="23"/>
  <c r="F339" i="23"/>
  <c r="D341" i="23"/>
  <c r="I339" i="23"/>
  <c r="I237" i="23"/>
  <c r="F237" i="23"/>
  <c r="F394" i="23"/>
  <c r="D398" i="23"/>
  <c r="I394" i="23"/>
  <c r="F187" i="23"/>
  <c r="I187" i="23"/>
  <c r="F350" i="23"/>
  <c r="I350" i="23"/>
  <c r="I82" i="23"/>
  <c r="F82" i="23"/>
  <c r="F84" i="23"/>
  <c r="I84" i="23"/>
  <c r="I438" i="23"/>
  <c r="F438" i="23"/>
  <c r="F413" i="23"/>
  <c r="I413" i="23"/>
  <c r="I340" i="23"/>
  <c r="F340" i="23"/>
  <c r="F230" i="23"/>
  <c r="I230" i="23"/>
  <c r="F314" i="23"/>
  <c r="I314" i="23"/>
  <c r="I218" i="23"/>
  <c r="F218" i="23"/>
  <c r="F396" i="23"/>
  <c r="I396" i="23"/>
  <c r="F279" i="23"/>
  <c r="I279" i="23"/>
  <c r="I349" i="23"/>
  <c r="F349" i="23"/>
  <c r="D123" i="23"/>
  <c r="D120" i="23"/>
  <c r="D117" i="23"/>
  <c r="D113" i="23"/>
  <c r="D124" i="23"/>
  <c r="D122" i="23"/>
  <c r="D115" i="23"/>
  <c r="D114" i="23"/>
  <c r="D110" i="23"/>
  <c r="D127" i="23"/>
  <c r="D121" i="23"/>
  <c r="C104" i="23"/>
  <c r="D118" i="23"/>
  <c r="D116" i="23"/>
  <c r="D111" i="23"/>
  <c r="D107" i="23"/>
  <c r="D109" i="23"/>
  <c r="I76" i="23"/>
  <c r="F76" i="23"/>
  <c r="I43" i="23"/>
  <c r="F43" i="23"/>
  <c r="F48" i="23"/>
  <c r="I48" i="23"/>
  <c r="F50" i="23"/>
  <c r="I50" i="23"/>
  <c r="F33" i="23"/>
  <c r="I33" i="23"/>
  <c r="F365" i="23"/>
  <c r="I365" i="23"/>
  <c r="D331" i="23"/>
  <c r="F313" i="23"/>
  <c r="I313" i="23"/>
  <c r="I228" i="23"/>
  <c r="D240" i="23"/>
  <c r="F228" i="23"/>
  <c r="F351" i="23"/>
  <c r="I351" i="23"/>
  <c r="F31" i="23"/>
  <c r="I31" i="23"/>
  <c r="I36" i="23"/>
  <c r="F36" i="23"/>
  <c r="F56" i="23"/>
  <c r="I56" i="23"/>
  <c r="I25" i="23"/>
  <c r="F25" i="23"/>
  <c r="I258" i="23"/>
  <c r="F258" i="23"/>
  <c r="I408" i="23"/>
  <c r="F408" i="23"/>
  <c r="F138" i="23"/>
  <c r="I138" i="23"/>
  <c r="I320" i="23"/>
  <c r="F320" i="23"/>
  <c r="I395" i="23"/>
  <c r="F395" i="23"/>
  <c r="F276" i="23"/>
  <c r="I276" i="23"/>
  <c r="F181" i="23"/>
  <c r="I181" i="23"/>
  <c r="D196" i="23"/>
  <c r="D150" i="23"/>
  <c r="F363" i="23"/>
  <c r="I363" i="23"/>
  <c r="F406" i="23"/>
  <c r="D418" i="23"/>
  <c r="I406" i="23"/>
  <c r="F407" i="23"/>
  <c r="I407" i="23"/>
  <c r="F273" i="23"/>
  <c r="I273" i="23"/>
  <c r="F217" i="23"/>
  <c r="I217" i="23"/>
  <c r="F235" i="23"/>
  <c r="I235" i="23"/>
  <c r="D284" i="23"/>
  <c r="I271" i="23"/>
  <c r="F271" i="23"/>
  <c r="D262" i="23"/>
  <c r="F206" i="23"/>
  <c r="I206" i="23"/>
  <c r="F348" i="23"/>
  <c r="I348" i="23"/>
  <c r="D353" i="23"/>
  <c r="F385" i="23"/>
  <c r="D387" i="23"/>
  <c r="I385" i="23"/>
  <c r="I32" i="23"/>
  <c r="F32" i="23"/>
  <c r="F83" i="23"/>
  <c r="I83" i="23"/>
  <c r="F37" i="23"/>
  <c r="I37" i="23"/>
  <c r="D440" i="23"/>
  <c r="F435" i="23"/>
  <c r="I435" i="23"/>
  <c r="F411" i="23"/>
  <c r="I411" i="23"/>
  <c r="F282" i="23"/>
  <c r="I282" i="23"/>
  <c r="I204" i="23"/>
  <c r="F204" i="23"/>
  <c r="D208" i="23"/>
  <c r="F321" i="23"/>
  <c r="I321" i="23"/>
  <c r="I278" i="23"/>
  <c r="F278" i="23"/>
  <c r="I386" i="23"/>
  <c r="F386" i="23"/>
  <c r="F44" i="23"/>
  <c r="I44" i="23"/>
  <c r="F26" i="23"/>
  <c r="I26" i="23"/>
  <c r="G441" i="22"/>
  <c r="G440" i="22"/>
  <c r="F111" i="23" l="1"/>
  <c r="I111" i="23"/>
  <c r="I121" i="23"/>
  <c r="F121" i="23"/>
  <c r="F115" i="23"/>
  <c r="I115" i="23"/>
  <c r="F117" i="23"/>
  <c r="I117" i="23"/>
  <c r="I116" i="23"/>
  <c r="F116" i="23"/>
  <c r="I127" i="23"/>
  <c r="F127" i="23"/>
  <c r="F122" i="23"/>
  <c r="I122" i="23"/>
  <c r="F120" i="23"/>
  <c r="I120" i="23"/>
  <c r="I109" i="23"/>
  <c r="F109" i="23"/>
  <c r="I118" i="23"/>
  <c r="F118" i="23"/>
  <c r="F110" i="23"/>
  <c r="I110" i="23"/>
  <c r="F124" i="23"/>
  <c r="I124" i="23"/>
  <c r="I123" i="23"/>
  <c r="F123" i="23"/>
  <c r="I107" i="23"/>
  <c r="F107" i="23"/>
  <c r="I114" i="23"/>
  <c r="F114" i="23"/>
  <c r="I113" i="23"/>
  <c r="F113" i="23"/>
  <c r="G397" i="22"/>
  <c r="G352" i="22"/>
  <c r="G304" i="22"/>
  <c r="G261" i="22"/>
  <c r="G415" i="22" l="1"/>
  <c r="G419" i="22" s="1"/>
  <c r="G378" i="22"/>
  <c r="G332" i="22"/>
  <c r="G285" i="22"/>
  <c r="G241" i="22"/>
  <c r="G196" i="22"/>
  <c r="G150" i="22"/>
  <c r="G129" i="22"/>
  <c r="G322" i="22"/>
  <c r="G187" i="22"/>
  <c r="G188" i="22"/>
  <c r="G180" i="22"/>
  <c r="G145" i="22"/>
  <c r="G370" i="22"/>
  <c r="G362" i="22"/>
  <c r="G280" i="22"/>
  <c r="G412" i="22"/>
  <c r="G88" i="22"/>
  <c r="G61" i="22"/>
  <c r="G41" i="22"/>
  <c r="G39" i="22"/>
  <c r="G38" i="22"/>
  <c r="G172" i="22" l="1"/>
  <c r="G115" i="22"/>
  <c r="G107" i="22"/>
  <c r="G82" i="22"/>
  <c r="G62" i="22"/>
  <c r="G54" i="22"/>
  <c r="G50" i="22"/>
  <c r="G46" i="22"/>
  <c r="G170" i="22" l="1"/>
  <c r="G372" i="22"/>
  <c r="G371" i="22"/>
  <c r="G366" i="22"/>
  <c r="G137" i="22"/>
  <c r="G219" i="22" l="1"/>
  <c r="G218" i="22"/>
  <c r="C218" i="22"/>
  <c r="C207" i="22"/>
  <c r="C206" i="22"/>
  <c r="C205" i="22"/>
  <c r="C204" i="22"/>
  <c r="C208" i="22" s="1"/>
  <c r="G121" i="22"/>
  <c r="G85" i="22"/>
  <c r="G76" i="22"/>
  <c r="G75" i="22"/>
  <c r="G74" i="22"/>
  <c r="G71" i="22"/>
  <c r="G59" i="22"/>
  <c r="G57" i="22"/>
  <c r="G37" i="22"/>
  <c r="G36" i="22"/>
  <c r="G35" i="22"/>
  <c r="G34" i="22"/>
  <c r="G33" i="22"/>
  <c r="G32" i="22"/>
  <c r="G31" i="22"/>
  <c r="G30" i="22"/>
  <c r="G22" i="22"/>
  <c r="C203" i="22" l="1"/>
  <c r="G115" i="21" l="1"/>
  <c r="C441" i="22" l="1"/>
  <c r="J440" i="22"/>
  <c r="J439" i="22"/>
  <c r="H439" i="22"/>
  <c r="E439" i="22"/>
  <c r="J438" i="22"/>
  <c r="H438" i="22"/>
  <c r="E438" i="22"/>
  <c r="J437" i="22"/>
  <c r="J436" i="22"/>
  <c r="H436" i="22"/>
  <c r="E436" i="22"/>
  <c r="C435" i="22"/>
  <c r="D439" i="22" s="1"/>
  <c r="C429" i="22"/>
  <c r="J428" i="22"/>
  <c r="H428" i="22"/>
  <c r="E428" i="22"/>
  <c r="J427" i="22"/>
  <c r="D427" i="22"/>
  <c r="D429" i="22" s="1"/>
  <c r="C426" i="22"/>
  <c r="D428" i="22" s="1"/>
  <c r="F428" i="22" s="1"/>
  <c r="C419" i="22"/>
  <c r="J418" i="22"/>
  <c r="J417" i="22"/>
  <c r="G417" i="22"/>
  <c r="J416" i="22"/>
  <c r="G416" i="22"/>
  <c r="D416" i="22"/>
  <c r="J415" i="22"/>
  <c r="H415" i="22"/>
  <c r="E415" i="22"/>
  <c r="G414" i="22"/>
  <c r="J413" i="22"/>
  <c r="G411" i="22"/>
  <c r="J411" i="22" s="1"/>
  <c r="G410" i="22"/>
  <c r="J410" i="22" s="1"/>
  <c r="H409" i="22"/>
  <c r="G409" i="22"/>
  <c r="E409" i="22" s="1"/>
  <c r="G408" i="22"/>
  <c r="H408" i="22" s="1"/>
  <c r="J407" i="22"/>
  <c r="H407" i="22"/>
  <c r="E407" i="22"/>
  <c r="C406" i="22"/>
  <c r="C399" i="22"/>
  <c r="J398" i="22"/>
  <c r="J397" i="22"/>
  <c r="H397" i="22"/>
  <c r="E397" i="22"/>
  <c r="J396" i="22"/>
  <c r="H396" i="22"/>
  <c r="E396" i="22"/>
  <c r="J395" i="22"/>
  <c r="H395" i="22"/>
  <c r="E395" i="22"/>
  <c r="C394" i="22"/>
  <c r="D397" i="22" s="1"/>
  <c r="C388" i="22"/>
  <c r="J387" i="22"/>
  <c r="H387" i="22"/>
  <c r="E387" i="22"/>
  <c r="J386" i="22"/>
  <c r="H386" i="22"/>
  <c r="E386" i="22"/>
  <c r="C385" i="22"/>
  <c r="D387" i="22" s="1"/>
  <c r="C378" i="22"/>
  <c r="G377" i="22"/>
  <c r="J377" i="22" s="1"/>
  <c r="G376" i="22"/>
  <c r="J376" i="22" s="1"/>
  <c r="D376" i="22"/>
  <c r="J375" i="22"/>
  <c r="G375" i="22"/>
  <c r="J374" i="22"/>
  <c r="G373" i="22"/>
  <c r="J373" i="22" s="1"/>
  <c r="J372" i="22"/>
  <c r="J371" i="22"/>
  <c r="J369" i="22"/>
  <c r="G368" i="22"/>
  <c r="J367" i="22"/>
  <c r="G367" i="22"/>
  <c r="H367" i="22" s="1"/>
  <c r="J366" i="22"/>
  <c r="H366" i="22"/>
  <c r="E366" i="22"/>
  <c r="G365" i="22"/>
  <c r="J365" i="22" s="1"/>
  <c r="J364" i="22"/>
  <c r="H364" i="22"/>
  <c r="E364" i="22"/>
  <c r="G363" i="22"/>
  <c r="H363" i="22" s="1"/>
  <c r="E363" i="22"/>
  <c r="J362" i="22"/>
  <c r="H362" i="22"/>
  <c r="E362" i="22"/>
  <c r="C361" i="22"/>
  <c r="C354" i="22"/>
  <c r="J353" i="22"/>
  <c r="J352" i="22"/>
  <c r="H352" i="22"/>
  <c r="E352" i="22"/>
  <c r="J351" i="22"/>
  <c r="H351" i="22"/>
  <c r="E351" i="22"/>
  <c r="J350" i="22"/>
  <c r="H350" i="22"/>
  <c r="E350" i="22"/>
  <c r="J349" i="22"/>
  <c r="H349" i="22"/>
  <c r="E349" i="22"/>
  <c r="C348" i="22"/>
  <c r="C342" i="22"/>
  <c r="J341" i="22"/>
  <c r="H341" i="22"/>
  <c r="E341" i="22"/>
  <c r="D341" i="22"/>
  <c r="F341" i="22" s="1"/>
  <c r="J340" i="22"/>
  <c r="H340" i="22"/>
  <c r="E340" i="22"/>
  <c r="C339" i="22"/>
  <c r="D340" i="22" s="1"/>
  <c r="C332" i="22"/>
  <c r="J331" i="22"/>
  <c r="J330" i="22"/>
  <c r="D330" i="22"/>
  <c r="J329" i="22"/>
  <c r="D329" i="22"/>
  <c r="J328" i="22"/>
  <c r="D328" i="22"/>
  <c r="J327" i="22"/>
  <c r="D327" i="22"/>
  <c r="G326" i="22"/>
  <c r="J326" i="22" s="1"/>
  <c r="G325" i="22"/>
  <c r="J325" i="22" s="1"/>
  <c r="G324" i="22"/>
  <c r="J324" i="22" s="1"/>
  <c r="G323" i="22"/>
  <c r="J323" i="22" s="1"/>
  <c r="J322" i="22"/>
  <c r="H322" i="22"/>
  <c r="E322" i="22"/>
  <c r="J321" i="22"/>
  <c r="H321" i="22"/>
  <c r="E321" i="22"/>
  <c r="G320" i="22"/>
  <c r="H320" i="22" s="1"/>
  <c r="E320" i="22"/>
  <c r="J319" i="22"/>
  <c r="G319" i="22"/>
  <c r="G318" i="22"/>
  <c r="J318" i="22" s="1"/>
  <c r="J317" i="22"/>
  <c r="G317" i="22"/>
  <c r="J316" i="22"/>
  <c r="G315" i="22"/>
  <c r="J315" i="22" s="1"/>
  <c r="J314" i="22"/>
  <c r="H314" i="22"/>
  <c r="E314" i="22"/>
  <c r="C313" i="22"/>
  <c r="D322" i="22" s="1"/>
  <c r="F322" i="22" s="1"/>
  <c r="C306" i="22"/>
  <c r="J305" i="22"/>
  <c r="J304" i="22"/>
  <c r="H304" i="22"/>
  <c r="E304" i="22"/>
  <c r="J303" i="22"/>
  <c r="H303" i="22"/>
  <c r="E303" i="22"/>
  <c r="J302" i="22"/>
  <c r="H302" i="22"/>
  <c r="E302" i="22"/>
  <c r="C301" i="22"/>
  <c r="D303" i="22" s="1"/>
  <c r="I303" i="22" s="1"/>
  <c r="C295" i="22"/>
  <c r="J294" i="22"/>
  <c r="H294" i="22"/>
  <c r="E294" i="22"/>
  <c r="J293" i="22"/>
  <c r="H293" i="22"/>
  <c r="E293" i="22"/>
  <c r="C292" i="22"/>
  <c r="C285" i="22"/>
  <c r="G284" i="22"/>
  <c r="J284" i="22" s="1"/>
  <c r="J283" i="22"/>
  <c r="H283" i="22"/>
  <c r="E283" i="22"/>
  <c r="J282" i="22"/>
  <c r="D282" i="22"/>
  <c r="G281" i="22"/>
  <c r="J281" i="22" s="1"/>
  <c r="J279" i="22"/>
  <c r="H279" i="22"/>
  <c r="E279" i="22"/>
  <c r="G278" i="22"/>
  <c r="J278" i="22" s="1"/>
  <c r="G277" i="22"/>
  <c r="G276" i="22"/>
  <c r="J276" i="22" s="1"/>
  <c r="G275" i="22"/>
  <c r="J275" i="22" s="1"/>
  <c r="G274" i="22"/>
  <c r="J273" i="22"/>
  <c r="J272" i="22"/>
  <c r="H272" i="22"/>
  <c r="E272" i="22"/>
  <c r="C271" i="22"/>
  <c r="C263" i="22"/>
  <c r="J262" i="22"/>
  <c r="J261" i="22"/>
  <c r="H261" i="22"/>
  <c r="E261" i="22"/>
  <c r="J260" i="22"/>
  <c r="H260" i="22"/>
  <c r="E260" i="22"/>
  <c r="J259" i="22"/>
  <c r="H259" i="22"/>
  <c r="E259" i="22"/>
  <c r="J258" i="22"/>
  <c r="H258" i="22"/>
  <c r="E258" i="22"/>
  <c r="C257" i="22"/>
  <c r="D261" i="22" s="1"/>
  <c r="C251" i="22"/>
  <c r="J250" i="22"/>
  <c r="H250" i="22"/>
  <c r="E250" i="22"/>
  <c r="J249" i="22"/>
  <c r="H249" i="22"/>
  <c r="E249" i="22"/>
  <c r="C248" i="22"/>
  <c r="D250" i="22" s="1"/>
  <c r="C241" i="22"/>
  <c r="J240" i="22"/>
  <c r="G239" i="22"/>
  <c r="J239" i="22" s="1"/>
  <c r="J238" i="22"/>
  <c r="H238" i="22"/>
  <c r="E238" i="22"/>
  <c r="G237" i="22"/>
  <c r="J237" i="22" s="1"/>
  <c r="G236" i="22"/>
  <c r="J235" i="22"/>
  <c r="H235" i="22"/>
  <c r="E235" i="22"/>
  <c r="J234" i="22"/>
  <c r="G233" i="22"/>
  <c r="J233" i="22" s="1"/>
  <c r="E233" i="22"/>
  <c r="G232" i="22"/>
  <c r="J232" i="22" s="1"/>
  <c r="G231" i="22"/>
  <c r="J230" i="22"/>
  <c r="H230" i="22"/>
  <c r="E230" i="22"/>
  <c r="J229" i="22"/>
  <c r="H229" i="22"/>
  <c r="E229" i="22"/>
  <c r="C228" i="22"/>
  <c r="D233" i="22" s="1"/>
  <c r="C221" i="22"/>
  <c r="G220" i="22"/>
  <c r="J220" i="22" s="1"/>
  <c r="J219" i="22"/>
  <c r="H219" i="22"/>
  <c r="E219" i="22"/>
  <c r="J218" i="22"/>
  <c r="H218" i="22"/>
  <c r="E218" i="22"/>
  <c r="J217" i="22"/>
  <c r="J216" i="22"/>
  <c r="H216" i="22"/>
  <c r="E216" i="22"/>
  <c r="C214" i="22"/>
  <c r="D216" i="22" s="1"/>
  <c r="J206" i="22"/>
  <c r="H206" i="22"/>
  <c r="E206" i="22"/>
  <c r="J205" i="22"/>
  <c r="J204" i="22"/>
  <c r="H204" i="22"/>
  <c r="E204" i="22"/>
  <c r="D204" i="22"/>
  <c r="C196" i="22"/>
  <c r="J195" i="22"/>
  <c r="G194" i="22"/>
  <c r="J194" i="22" s="1"/>
  <c r="J193" i="22"/>
  <c r="J192" i="22"/>
  <c r="H192" i="22"/>
  <c r="E192" i="22"/>
  <c r="G191" i="22"/>
  <c r="J191" i="22" s="1"/>
  <c r="G190" i="22"/>
  <c r="J190" i="22" s="1"/>
  <c r="G189" i="22"/>
  <c r="J189" i="22" s="1"/>
  <c r="J188" i="22"/>
  <c r="E187" i="22"/>
  <c r="G186" i="22"/>
  <c r="H186" i="22" s="1"/>
  <c r="H185" i="22"/>
  <c r="G185" i="22"/>
  <c r="J185" i="22" s="1"/>
  <c r="E185" i="22"/>
  <c r="G184" i="22"/>
  <c r="J184" i="22" s="1"/>
  <c r="G183" i="22"/>
  <c r="J183" i="22" s="1"/>
  <c r="J182" i="22"/>
  <c r="H182" i="22"/>
  <c r="E182" i="22"/>
  <c r="G181" i="22"/>
  <c r="E181" i="22" s="1"/>
  <c r="J180" i="22"/>
  <c r="H180" i="22"/>
  <c r="E180" i="22"/>
  <c r="C179" i="22"/>
  <c r="D186" i="22" s="1"/>
  <c r="I186" i="22" s="1"/>
  <c r="C172" i="22"/>
  <c r="J171" i="22"/>
  <c r="J170" i="22"/>
  <c r="H170" i="22"/>
  <c r="E170" i="22"/>
  <c r="J169" i="22"/>
  <c r="H169" i="22"/>
  <c r="E169" i="22"/>
  <c r="J168" i="22"/>
  <c r="H168" i="22"/>
  <c r="E168" i="22"/>
  <c r="C167" i="22"/>
  <c r="D170" i="22" s="1"/>
  <c r="C160" i="22"/>
  <c r="J159" i="22"/>
  <c r="H159" i="22"/>
  <c r="E159" i="22"/>
  <c r="J158" i="22"/>
  <c r="H158" i="22"/>
  <c r="E158" i="22"/>
  <c r="C157" i="22"/>
  <c r="D158" i="22" s="1"/>
  <c r="F158" i="22" s="1"/>
  <c r="C150" i="22"/>
  <c r="J149" i="22"/>
  <c r="G148" i="22"/>
  <c r="J148" i="22" s="1"/>
  <c r="G147" i="22"/>
  <c r="J147" i="22" s="1"/>
  <c r="G146" i="22"/>
  <c r="J146" i="22" s="1"/>
  <c r="J145" i="22"/>
  <c r="G144" i="22"/>
  <c r="H144" i="22" s="1"/>
  <c r="G143" i="22"/>
  <c r="E143" i="22" s="1"/>
  <c r="G142" i="22"/>
  <c r="J141" i="22"/>
  <c r="G141" i="22"/>
  <c r="G140" i="22"/>
  <c r="J140" i="22" s="1"/>
  <c r="G139" i="22"/>
  <c r="E139" i="22" s="1"/>
  <c r="F139" i="22" s="1"/>
  <c r="H138" i="22"/>
  <c r="G138" i="22"/>
  <c r="J138" i="22" s="1"/>
  <c r="E138" i="22"/>
  <c r="J137" i="22"/>
  <c r="H137" i="22"/>
  <c r="E137" i="22"/>
  <c r="C136" i="22"/>
  <c r="D144" i="22" s="1"/>
  <c r="G128" i="22"/>
  <c r="J128" i="22" s="1"/>
  <c r="J127" i="22"/>
  <c r="H127" i="22"/>
  <c r="E127" i="22"/>
  <c r="G126" i="22"/>
  <c r="J126" i="22" s="1"/>
  <c r="D126" i="22"/>
  <c r="J125" i="22"/>
  <c r="H125" i="22"/>
  <c r="E125" i="22"/>
  <c r="J124" i="22"/>
  <c r="H124" i="22"/>
  <c r="E124" i="22"/>
  <c r="J123" i="22"/>
  <c r="H123" i="22"/>
  <c r="E123" i="22"/>
  <c r="J122" i="22"/>
  <c r="H122" i="22"/>
  <c r="E122" i="22"/>
  <c r="J121" i="22"/>
  <c r="H121" i="22"/>
  <c r="E121" i="22"/>
  <c r="J120" i="22"/>
  <c r="G120" i="22"/>
  <c r="E120" i="22" s="1"/>
  <c r="G119" i="22"/>
  <c r="J119" i="22" s="1"/>
  <c r="G118" i="22"/>
  <c r="J117" i="22"/>
  <c r="G117" i="22"/>
  <c r="E117" i="22" s="1"/>
  <c r="J116" i="22"/>
  <c r="G116" i="22"/>
  <c r="H116" i="22" s="1"/>
  <c r="E116" i="22"/>
  <c r="J115" i="22"/>
  <c r="H115" i="22"/>
  <c r="E115" i="22"/>
  <c r="J114" i="22"/>
  <c r="J113" i="22"/>
  <c r="H113" i="22"/>
  <c r="E113" i="22"/>
  <c r="J112" i="22"/>
  <c r="J111" i="22"/>
  <c r="H111" i="22"/>
  <c r="E111" i="22"/>
  <c r="H110" i="22"/>
  <c r="G110" i="22"/>
  <c r="J110" i="22" s="1"/>
  <c r="E110" i="22"/>
  <c r="G109" i="22"/>
  <c r="J108" i="22"/>
  <c r="J107" i="22"/>
  <c r="H107" i="22"/>
  <c r="E107" i="22"/>
  <c r="C106" i="22"/>
  <c r="D125" i="22" s="1"/>
  <c r="G95" i="22"/>
  <c r="H95" i="22" s="1"/>
  <c r="D95" i="22"/>
  <c r="I95" i="22" s="1"/>
  <c r="J94" i="22"/>
  <c r="H94" i="22"/>
  <c r="I94" i="22" s="1"/>
  <c r="E94" i="22"/>
  <c r="D94" i="22"/>
  <c r="J93" i="22"/>
  <c r="G91" i="22"/>
  <c r="J91" i="22" s="1"/>
  <c r="G89" i="22"/>
  <c r="J89" i="22" s="1"/>
  <c r="J88" i="22"/>
  <c r="J87" i="22"/>
  <c r="G87" i="22"/>
  <c r="C86" i="22"/>
  <c r="H85" i="22"/>
  <c r="J85" i="22"/>
  <c r="G84" i="22"/>
  <c r="H84" i="22" s="1"/>
  <c r="J83" i="22"/>
  <c r="H83" i="22"/>
  <c r="G83" i="22"/>
  <c r="E83" i="22"/>
  <c r="H82" i="22"/>
  <c r="J82" i="22"/>
  <c r="D82" i="22"/>
  <c r="J81" i="22"/>
  <c r="C80" i="22"/>
  <c r="D84" i="22" s="1"/>
  <c r="J78" i="22"/>
  <c r="H78" i="22"/>
  <c r="E78" i="22"/>
  <c r="D78" i="22"/>
  <c r="F78" i="22" s="1"/>
  <c r="C77" i="22"/>
  <c r="H76" i="22"/>
  <c r="J76" i="22"/>
  <c r="D76" i="22"/>
  <c r="J75" i="22"/>
  <c r="J74" i="22"/>
  <c r="H74" i="22"/>
  <c r="E74" i="22"/>
  <c r="C73" i="22"/>
  <c r="D74" i="22" s="1"/>
  <c r="J71" i="22"/>
  <c r="H71" i="22"/>
  <c r="E71" i="22"/>
  <c r="J70" i="22"/>
  <c r="H70" i="22"/>
  <c r="E70" i="22"/>
  <c r="D70" i="22"/>
  <c r="F70" i="22" s="1"/>
  <c r="C69" i="22"/>
  <c r="D71" i="22" s="1"/>
  <c r="J68" i="22"/>
  <c r="J67" i="22"/>
  <c r="J66" i="22"/>
  <c r="C65" i="22"/>
  <c r="J64" i="22"/>
  <c r="J62" i="22"/>
  <c r="J61" i="22"/>
  <c r="J60" i="22"/>
  <c r="J59" i="22"/>
  <c r="H59" i="22"/>
  <c r="E59" i="22"/>
  <c r="C58" i="22"/>
  <c r="H58" i="22" s="1"/>
  <c r="J57" i="22"/>
  <c r="H57" i="22"/>
  <c r="E57" i="22"/>
  <c r="J56" i="22"/>
  <c r="H56" i="22"/>
  <c r="E56" i="22"/>
  <c r="C55" i="22"/>
  <c r="D57" i="22" s="1"/>
  <c r="J54" i="22"/>
  <c r="H54" i="22"/>
  <c r="E54" i="22"/>
  <c r="D54" i="22"/>
  <c r="J51" i="22"/>
  <c r="J50" i="22"/>
  <c r="H50" i="22"/>
  <c r="E50" i="22"/>
  <c r="J49" i="22"/>
  <c r="H49" i="22"/>
  <c r="E49" i="22"/>
  <c r="G48" i="22"/>
  <c r="J48" i="22" s="1"/>
  <c r="J47" i="22"/>
  <c r="J46" i="22"/>
  <c r="C45" i="22"/>
  <c r="D50" i="22" s="1"/>
  <c r="H44" i="22"/>
  <c r="G44" i="22"/>
  <c r="J44" i="22" s="1"/>
  <c r="E44" i="22"/>
  <c r="H43" i="22"/>
  <c r="G43" i="22"/>
  <c r="J43" i="22" s="1"/>
  <c r="D43" i="22"/>
  <c r="G42" i="22"/>
  <c r="J42" i="22" s="1"/>
  <c r="H41" i="22"/>
  <c r="E41" i="22"/>
  <c r="C40" i="22"/>
  <c r="D41" i="22" s="1"/>
  <c r="J39" i="22"/>
  <c r="H39" i="22"/>
  <c r="E39" i="22"/>
  <c r="J38" i="22"/>
  <c r="H38" i="22"/>
  <c r="E38" i="22"/>
  <c r="H37" i="22"/>
  <c r="I37" i="22" s="1"/>
  <c r="J37" i="22"/>
  <c r="E37" i="22"/>
  <c r="D37" i="22"/>
  <c r="H36" i="22"/>
  <c r="J36" i="22"/>
  <c r="D36" i="22"/>
  <c r="J35" i="22"/>
  <c r="J34" i="22"/>
  <c r="H34" i="22"/>
  <c r="E34" i="22"/>
  <c r="H33" i="22"/>
  <c r="I33" i="22" s="1"/>
  <c r="J33" i="22"/>
  <c r="E33" i="22"/>
  <c r="D33" i="22"/>
  <c r="F33" i="22" s="1"/>
  <c r="H32" i="22"/>
  <c r="J32" i="22"/>
  <c r="J31" i="22"/>
  <c r="J30" i="22"/>
  <c r="E30" i="22"/>
  <c r="C29" i="22"/>
  <c r="D38" i="22" s="1"/>
  <c r="J27" i="22"/>
  <c r="J26" i="22"/>
  <c r="H26" i="22"/>
  <c r="E26" i="22"/>
  <c r="J25" i="22"/>
  <c r="H25" i="22"/>
  <c r="E25" i="22"/>
  <c r="J24" i="22"/>
  <c r="H24" i="22"/>
  <c r="E24" i="22"/>
  <c r="J23" i="22"/>
  <c r="J22" i="22"/>
  <c r="C21" i="22"/>
  <c r="D26" i="22" s="1"/>
  <c r="J20" i="22"/>
  <c r="J19" i="22"/>
  <c r="J18" i="22"/>
  <c r="J17" i="22"/>
  <c r="J15" i="22"/>
  <c r="J14" i="22"/>
  <c r="J13" i="22"/>
  <c r="H13" i="22"/>
  <c r="E13" i="22"/>
  <c r="J12" i="22"/>
  <c r="C11" i="22"/>
  <c r="D13" i="22" s="1"/>
  <c r="I13" i="22" s="1"/>
  <c r="C9" i="22"/>
  <c r="I54" i="22" l="1"/>
  <c r="I250" i="22"/>
  <c r="F250" i="22"/>
  <c r="D342" i="22"/>
  <c r="F340" i="22"/>
  <c r="I387" i="22"/>
  <c r="F387" i="22"/>
  <c r="D49" i="22"/>
  <c r="F49" i="22" s="1"/>
  <c r="D184" i="22"/>
  <c r="F54" i="22"/>
  <c r="D56" i="22"/>
  <c r="F56" i="22" s="1"/>
  <c r="D59" i="22"/>
  <c r="E84" i="22"/>
  <c r="F84" i="22" s="1"/>
  <c r="E126" i="22"/>
  <c r="F126" i="22" s="1"/>
  <c r="J139" i="22"/>
  <c r="H143" i="22"/>
  <c r="J144" i="22"/>
  <c r="D169" i="22"/>
  <c r="F169" i="22" s="1"/>
  <c r="E184" i="22"/>
  <c r="D187" i="22"/>
  <c r="E281" i="22"/>
  <c r="D304" i="22"/>
  <c r="H315" i="22"/>
  <c r="E408" i="22"/>
  <c r="J409" i="22"/>
  <c r="J41" i="22"/>
  <c r="J95" i="22"/>
  <c r="D143" i="22"/>
  <c r="J143" i="22"/>
  <c r="D182" i="22"/>
  <c r="D192" i="22"/>
  <c r="H233" i="22"/>
  <c r="D249" i="22"/>
  <c r="I249" i="22" s="1"/>
  <c r="F303" i="22"/>
  <c r="D386" i="22"/>
  <c r="I386" i="22" s="1"/>
  <c r="D25" i="22"/>
  <c r="I25" i="22" s="1"/>
  <c r="D32" i="22"/>
  <c r="D44" i="22"/>
  <c r="D83" i="22"/>
  <c r="J84" i="22"/>
  <c r="E95" i="22"/>
  <c r="F95" i="22" s="1"/>
  <c r="C105" i="22"/>
  <c r="D138" i="22"/>
  <c r="E144" i="22"/>
  <c r="F144" i="22" s="1"/>
  <c r="D180" i="22"/>
  <c r="D196" i="22" s="1"/>
  <c r="D181" i="22"/>
  <c r="F181" i="22" s="1"/>
  <c r="D185" i="22"/>
  <c r="J187" i="22"/>
  <c r="E275" i="22"/>
  <c r="E278" i="22"/>
  <c r="E315" i="22"/>
  <c r="J320" i="22"/>
  <c r="I341" i="22"/>
  <c r="D218" i="22"/>
  <c r="F218" i="22" s="1"/>
  <c r="F216" i="22"/>
  <c r="I59" i="22"/>
  <c r="F37" i="22"/>
  <c r="I84" i="22"/>
  <c r="I26" i="22"/>
  <c r="F26" i="22"/>
  <c r="I57" i="22"/>
  <c r="F57" i="22"/>
  <c r="I50" i="22"/>
  <c r="F50" i="22"/>
  <c r="I38" i="22"/>
  <c r="F38" i="22"/>
  <c r="I41" i="22"/>
  <c r="F41" i="22"/>
  <c r="I71" i="22"/>
  <c r="F71" i="22"/>
  <c r="I74" i="22"/>
  <c r="F74" i="22"/>
  <c r="I56" i="22"/>
  <c r="I70" i="22"/>
  <c r="I78" i="22"/>
  <c r="J142" i="22"/>
  <c r="E142" i="22"/>
  <c r="H142" i="22"/>
  <c r="F304" i="22"/>
  <c r="I304" i="22"/>
  <c r="F13" i="22"/>
  <c r="G96" i="22"/>
  <c r="D31" i="22"/>
  <c r="H31" i="22"/>
  <c r="E32" i="22"/>
  <c r="F32" i="22" s="1"/>
  <c r="I32" i="22"/>
  <c r="D35" i="22"/>
  <c r="H35" i="22"/>
  <c r="E36" i="22"/>
  <c r="F36" i="22" s="1"/>
  <c r="I36" i="22"/>
  <c r="D42" i="22"/>
  <c r="H42" i="22"/>
  <c r="E43" i="22"/>
  <c r="F43" i="22" s="1"/>
  <c r="I43" i="22"/>
  <c r="D48" i="22"/>
  <c r="H48" i="22"/>
  <c r="F59" i="22"/>
  <c r="D75" i="22"/>
  <c r="H75" i="22"/>
  <c r="E76" i="22"/>
  <c r="F76" i="22" s="1"/>
  <c r="I76" i="22"/>
  <c r="E82" i="22"/>
  <c r="F82" i="22" s="1"/>
  <c r="I82" i="22"/>
  <c r="D85" i="22"/>
  <c r="D124" i="22"/>
  <c r="D122" i="22"/>
  <c r="D116" i="22"/>
  <c r="D111" i="22"/>
  <c r="C104" i="22"/>
  <c r="D120" i="22"/>
  <c r="D117" i="22"/>
  <c r="D113" i="22"/>
  <c r="D107" i="22"/>
  <c r="D123" i="22"/>
  <c r="D121" i="22"/>
  <c r="D118" i="22"/>
  <c r="J109" i="22"/>
  <c r="E109" i="22"/>
  <c r="D127" i="22"/>
  <c r="F138" i="22"/>
  <c r="I138" i="22"/>
  <c r="F143" i="22"/>
  <c r="I143" i="22"/>
  <c r="F249" i="22"/>
  <c r="D251" i="22"/>
  <c r="D272" i="22"/>
  <c r="D281" i="22"/>
  <c r="D278" i="22"/>
  <c r="D275" i="22"/>
  <c r="D283" i="22"/>
  <c r="D280" i="22"/>
  <c r="D277" i="22"/>
  <c r="D274" i="22"/>
  <c r="D279" i="22"/>
  <c r="D294" i="22"/>
  <c r="D293" i="22"/>
  <c r="I49" i="22"/>
  <c r="I144" i="22"/>
  <c r="F185" i="22"/>
  <c r="I185" i="22"/>
  <c r="F233" i="22"/>
  <c r="I233" i="22"/>
  <c r="D24" i="22"/>
  <c r="F25" i="22"/>
  <c r="D30" i="22"/>
  <c r="H30" i="22"/>
  <c r="E31" i="22"/>
  <c r="D34" i="22"/>
  <c r="E35" i="22"/>
  <c r="E42" i="22"/>
  <c r="E48" i="22"/>
  <c r="E75" i="22"/>
  <c r="E85" i="22"/>
  <c r="F94" i="22"/>
  <c r="F125" i="22"/>
  <c r="I125" i="22"/>
  <c r="H109" i="22"/>
  <c r="D115" i="22"/>
  <c r="J118" i="22"/>
  <c r="E118" i="22"/>
  <c r="H118" i="22"/>
  <c r="I170" i="22"/>
  <c r="F170" i="22"/>
  <c r="D238" i="22"/>
  <c r="D231" i="22"/>
  <c r="D229" i="22"/>
  <c r="D236" i="22"/>
  <c r="D230" i="22"/>
  <c r="H231" i="22"/>
  <c r="J231" i="22"/>
  <c r="E231" i="22"/>
  <c r="D235" i="22"/>
  <c r="E274" i="22"/>
  <c r="J274" i="22"/>
  <c r="H274" i="22"/>
  <c r="E277" i="22"/>
  <c r="J277" i="22"/>
  <c r="H277" i="22"/>
  <c r="E280" i="22"/>
  <c r="J280" i="22"/>
  <c r="H280" i="22"/>
  <c r="D320" i="22"/>
  <c r="D314" i="22"/>
  <c r="D321" i="22"/>
  <c r="D315" i="22"/>
  <c r="J412" i="22"/>
  <c r="E412" i="22"/>
  <c r="H412" i="22"/>
  <c r="F182" i="22"/>
  <c r="I182" i="22"/>
  <c r="F187" i="22"/>
  <c r="E236" i="22"/>
  <c r="J236" i="22"/>
  <c r="H236" i="22"/>
  <c r="F261" i="22"/>
  <c r="I261" i="22"/>
  <c r="I322" i="22"/>
  <c r="J368" i="22"/>
  <c r="E368" i="22"/>
  <c r="H368" i="22"/>
  <c r="D142" i="22"/>
  <c r="I169" i="22"/>
  <c r="I180" i="22"/>
  <c r="I204" i="22"/>
  <c r="I218" i="22"/>
  <c r="I397" i="22"/>
  <c r="F397" i="22"/>
  <c r="D408" i="22"/>
  <c r="D409" i="22"/>
  <c r="D414" i="22"/>
  <c r="D412" i="22"/>
  <c r="D407" i="22"/>
  <c r="H117" i="22"/>
  <c r="H120" i="22"/>
  <c r="D137" i="22"/>
  <c r="H139" i="22"/>
  <c r="I139" i="22" s="1"/>
  <c r="I158" i="22"/>
  <c r="H181" i="22"/>
  <c r="H184" i="22"/>
  <c r="I184" i="22" s="1"/>
  <c r="D260" i="22"/>
  <c r="D258" i="22"/>
  <c r="H275" i="22"/>
  <c r="H278" i="22"/>
  <c r="H281" i="22"/>
  <c r="D363" i="22"/>
  <c r="D366" i="22"/>
  <c r="D364" i="22"/>
  <c r="D370" i="22"/>
  <c r="D368" i="22"/>
  <c r="D362" i="22"/>
  <c r="J370" i="22"/>
  <c r="E370" i="22"/>
  <c r="H370" i="22"/>
  <c r="F386" i="22"/>
  <c r="D388" i="22"/>
  <c r="J414" i="22"/>
  <c r="E414" i="22"/>
  <c r="H414" i="22"/>
  <c r="D159" i="22"/>
  <c r="D168" i="22"/>
  <c r="F180" i="22"/>
  <c r="I181" i="22"/>
  <c r="J181" i="22"/>
  <c r="F184" i="22"/>
  <c r="E186" i="22"/>
  <c r="F186" i="22" s="1"/>
  <c r="J186" i="22"/>
  <c r="H187" i="22"/>
  <c r="I187" i="22" s="1"/>
  <c r="F204" i="22"/>
  <c r="D206" i="22"/>
  <c r="I216" i="22"/>
  <c r="D219" i="22"/>
  <c r="D221" i="22" s="1"/>
  <c r="D259" i="22"/>
  <c r="D302" i="22"/>
  <c r="D352" i="22"/>
  <c r="D350" i="22"/>
  <c r="D351" i="22"/>
  <c r="D349" i="22"/>
  <c r="D415" i="22"/>
  <c r="I439" i="22"/>
  <c r="F439" i="22"/>
  <c r="J363" i="22"/>
  <c r="E367" i="22"/>
  <c r="D396" i="22"/>
  <c r="J408" i="22"/>
  <c r="I340" i="22"/>
  <c r="I428" i="22"/>
  <c r="D438" i="22"/>
  <c r="D395" i="22"/>
  <c r="D436" i="22"/>
  <c r="G218" i="21"/>
  <c r="F109" i="22" l="1"/>
  <c r="F83" i="22"/>
  <c r="I83" i="22"/>
  <c r="F192" i="22"/>
  <c r="I192" i="22"/>
  <c r="D114" i="22"/>
  <c r="D110" i="22"/>
  <c r="D109" i="22"/>
  <c r="F44" i="22"/>
  <c r="I44" i="22"/>
  <c r="I109" i="22"/>
  <c r="D399" i="22"/>
  <c r="I395" i="22"/>
  <c r="F395" i="22"/>
  <c r="F351" i="22"/>
  <c r="I351" i="22"/>
  <c r="I206" i="22"/>
  <c r="F206" i="22"/>
  <c r="I366" i="22"/>
  <c r="F366" i="22"/>
  <c r="F408" i="22"/>
  <c r="I408" i="22"/>
  <c r="F315" i="22"/>
  <c r="I315" i="22"/>
  <c r="I236" i="22"/>
  <c r="F236" i="22"/>
  <c r="I280" i="22"/>
  <c r="F280" i="22"/>
  <c r="F281" i="22"/>
  <c r="I281" i="22"/>
  <c r="F118" i="22"/>
  <c r="I118" i="22"/>
  <c r="I111" i="22"/>
  <c r="F111" i="22"/>
  <c r="D441" i="22"/>
  <c r="I436" i="22"/>
  <c r="F436" i="22"/>
  <c r="F396" i="22"/>
  <c r="I396" i="22"/>
  <c r="I350" i="22"/>
  <c r="F350" i="22"/>
  <c r="F368" i="22"/>
  <c r="I368" i="22"/>
  <c r="F363" i="22"/>
  <c r="I363" i="22"/>
  <c r="I137" i="22"/>
  <c r="F137" i="22"/>
  <c r="D150" i="22"/>
  <c r="F412" i="22"/>
  <c r="I412" i="22"/>
  <c r="I321" i="22"/>
  <c r="F321" i="22"/>
  <c r="I229" i="22"/>
  <c r="F229" i="22"/>
  <c r="D241" i="22"/>
  <c r="F115" i="22"/>
  <c r="I115" i="22"/>
  <c r="F279" i="22"/>
  <c r="I279" i="22"/>
  <c r="I283" i="22"/>
  <c r="F283" i="22"/>
  <c r="D285" i="22"/>
  <c r="I272" i="22"/>
  <c r="F272" i="22"/>
  <c r="F127" i="22"/>
  <c r="I127" i="22"/>
  <c r="F121" i="22"/>
  <c r="I121" i="22"/>
  <c r="I117" i="22"/>
  <c r="F117" i="22"/>
  <c r="F116" i="22"/>
  <c r="I116" i="22"/>
  <c r="F48" i="22"/>
  <c r="I48" i="22"/>
  <c r="F42" i="22"/>
  <c r="I42" i="22"/>
  <c r="F35" i="22"/>
  <c r="I35" i="22"/>
  <c r="F31" i="22"/>
  <c r="I31" i="22"/>
  <c r="I352" i="22"/>
  <c r="F352" i="22"/>
  <c r="F414" i="22"/>
  <c r="I414" i="22"/>
  <c r="D332" i="22"/>
  <c r="I314" i="22"/>
  <c r="F314" i="22"/>
  <c r="F231" i="22"/>
  <c r="I231" i="22"/>
  <c r="F415" i="22"/>
  <c r="I415" i="22"/>
  <c r="I219" i="22"/>
  <c r="F219" i="22"/>
  <c r="D172" i="22"/>
  <c r="I168" i="22"/>
  <c r="F168" i="22"/>
  <c r="F370" i="22"/>
  <c r="I370" i="22"/>
  <c r="I258" i="22"/>
  <c r="D263" i="22"/>
  <c r="F258" i="22"/>
  <c r="F235" i="22"/>
  <c r="I235" i="22"/>
  <c r="I30" i="22"/>
  <c r="F30" i="22"/>
  <c r="I274" i="22"/>
  <c r="F274" i="22"/>
  <c r="F275" i="22"/>
  <c r="I275" i="22"/>
  <c r="F123" i="22"/>
  <c r="I123" i="22"/>
  <c r="I120" i="22"/>
  <c r="F120" i="22"/>
  <c r="I122" i="22"/>
  <c r="F122" i="22"/>
  <c r="F75" i="22"/>
  <c r="I75" i="22"/>
  <c r="F438" i="22"/>
  <c r="I438" i="22"/>
  <c r="D354" i="22"/>
  <c r="F349" i="22"/>
  <c r="I349" i="22"/>
  <c r="F302" i="22"/>
  <c r="D306" i="22"/>
  <c r="I302" i="22"/>
  <c r="F159" i="22"/>
  <c r="I159" i="22"/>
  <c r="D160" i="22"/>
  <c r="I364" i="22"/>
  <c r="F364" i="22"/>
  <c r="I260" i="22"/>
  <c r="F260" i="22"/>
  <c r="I409" i="22"/>
  <c r="F409" i="22"/>
  <c r="F320" i="22"/>
  <c r="I320" i="22"/>
  <c r="F230" i="22"/>
  <c r="I230" i="22"/>
  <c r="I238" i="22"/>
  <c r="F238" i="22"/>
  <c r="I34" i="22"/>
  <c r="F34" i="22"/>
  <c r="D295" i="22"/>
  <c r="F293" i="22"/>
  <c r="I293" i="22"/>
  <c r="I277" i="22"/>
  <c r="F277" i="22"/>
  <c r="F278" i="22"/>
  <c r="I278" i="22"/>
  <c r="I107" i="22"/>
  <c r="F107" i="22"/>
  <c r="I124" i="22"/>
  <c r="F124" i="22"/>
  <c r="F259" i="22"/>
  <c r="I259" i="22"/>
  <c r="F362" i="22"/>
  <c r="D378" i="22"/>
  <c r="I362" i="22"/>
  <c r="D208" i="22"/>
  <c r="F407" i="22"/>
  <c r="D419" i="22"/>
  <c r="I407" i="22"/>
  <c r="F142" i="22"/>
  <c r="I142" i="22"/>
  <c r="F24" i="22"/>
  <c r="I24" i="22"/>
  <c r="I294" i="22"/>
  <c r="F294" i="22"/>
  <c r="I113" i="22"/>
  <c r="F113" i="22"/>
  <c r="F85" i="22"/>
  <c r="I85" i="22"/>
  <c r="G126" i="21"/>
  <c r="F114" i="22" l="1"/>
  <c r="I114" i="22"/>
  <c r="F110" i="22"/>
  <c r="I110" i="22"/>
  <c r="G279" i="21"/>
  <c r="G275" i="21"/>
  <c r="G273" i="21"/>
  <c r="G120" i="21"/>
  <c r="G110" i="21"/>
  <c r="G83" i="21"/>
  <c r="G82" i="21"/>
  <c r="G365" i="21" l="1"/>
  <c r="G364" i="21"/>
  <c r="G109" i="21" l="1"/>
  <c r="G95" i="21"/>
  <c r="G91" i="21"/>
  <c r="G89" i="21"/>
  <c r="G61" i="21"/>
  <c r="G57" i="21"/>
  <c r="G42" i="21"/>
  <c r="G148" i="21" l="1"/>
  <c r="G147" i="21"/>
  <c r="G146" i="21"/>
  <c r="G139" i="21"/>
  <c r="G41" i="21"/>
  <c r="G191" i="21" l="1"/>
  <c r="G190" i="21"/>
  <c r="G189" i="21"/>
  <c r="G188" i="21"/>
  <c r="G371" i="21"/>
  <c r="G119" i="21"/>
  <c r="G84" i="21"/>
  <c r="G363" i="21" l="1"/>
  <c r="G44" i="21"/>
  <c r="G43" i="21"/>
  <c r="G417" i="21" l="1"/>
  <c r="G415" i="21"/>
  <c r="G414" i="21"/>
  <c r="G412" i="21"/>
  <c r="G410" i="21"/>
  <c r="G409" i="21"/>
  <c r="G408" i="21"/>
  <c r="G407" i="21"/>
  <c r="G406" i="21"/>
  <c r="G87" i="21"/>
  <c r="G85" i="21"/>
  <c r="G368" i="21" l="1"/>
  <c r="G194" i="21" l="1"/>
  <c r="G184" i="21"/>
  <c r="G234" i="21"/>
  <c r="G231" i="21"/>
  <c r="G118" i="21"/>
  <c r="G71" i="21"/>
  <c r="G48" i="21"/>
  <c r="G187" i="21" l="1"/>
  <c r="G375" i="21"/>
  <c r="G374" i="21"/>
  <c r="G373" i="21"/>
  <c r="G39" i="21" l="1"/>
  <c r="G38" i="21"/>
  <c r="G324" i="21" l="1"/>
  <c r="G323" i="21"/>
  <c r="G322" i="21"/>
  <c r="G321" i="21"/>
  <c r="G145" i="21"/>
  <c r="G366" i="21"/>
  <c r="G361" i="21"/>
  <c r="G376" i="21" s="1"/>
  <c r="G76" i="21"/>
  <c r="G75" i="21"/>
  <c r="G74" i="21"/>
  <c r="G141" i="21" l="1"/>
  <c r="G138" i="21"/>
  <c r="G282" i="21"/>
  <c r="G278" i="21"/>
  <c r="G274" i="21"/>
  <c r="G272" i="21"/>
  <c r="G239" i="21" l="1"/>
  <c r="G237" i="21"/>
  <c r="G235" i="21"/>
  <c r="G230" i="21"/>
  <c r="G229" i="21"/>
  <c r="G330" i="21" l="1"/>
  <c r="G318" i="21"/>
  <c r="G317" i="21"/>
  <c r="G316" i="21"/>
  <c r="G315" i="21"/>
  <c r="G313" i="21"/>
  <c r="C29" i="21" l="1"/>
  <c r="E39" i="21"/>
  <c r="H39" i="21"/>
  <c r="J39" i="21"/>
  <c r="G37" i="21"/>
  <c r="G36" i="21"/>
  <c r="G35" i="21"/>
  <c r="G34" i="21"/>
  <c r="G33" i="21"/>
  <c r="G32" i="21"/>
  <c r="G31" i="21"/>
  <c r="G30" i="21"/>
  <c r="C439" i="21"/>
  <c r="J438" i="21"/>
  <c r="J437" i="21"/>
  <c r="H437" i="21"/>
  <c r="E437" i="21"/>
  <c r="J436" i="21"/>
  <c r="H436" i="21"/>
  <c r="E436" i="21"/>
  <c r="J435" i="21"/>
  <c r="J434" i="21"/>
  <c r="H434" i="21"/>
  <c r="E434" i="21"/>
  <c r="C433" i="21"/>
  <c r="D437" i="21" s="1"/>
  <c r="C427" i="21"/>
  <c r="J426" i="21"/>
  <c r="H426" i="21"/>
  <c r="E426" i="21"/>
  <c r="J425" i="21"/>
  <c r="D425" i="21"/>
  <c r="D427" i="21" s="1"/>
  <c r="C424" i="21"/>
  <c r="D426" i="21" s="1"/>
  <c r="F426" i="21" s="1"/>
  <c r="C417" i="21"/>
  <c r="J416" i="21"/>
  <c r="J415" i="21"/>
  <c r="J414" i="21"/>
  <c r="D414" i="21"/>
  <c r="J413" i="21"/>
  <c r="H413" i="21"/>
  <c r="E413" i="21"/>
  <c r="J412" i="21"/>
  <c r="H412" i="21"/>
  <c r="E412" i="21"/>
  <c r="J411" i="21"/>
  <c r="J410" i="21"/>
  <c r="H410" i="21"/>
  <c r="E410" i="21"/>
  <c r="J409" i="21"/>
  <c r="J408" i="21"/>
  <c r="J407" i="21"/>
  <c r="H407" i="21"/>
  <c r="E407" i="21"/>
  <c r="J406" i="21"/>
  <c r="H406" i="21"/>
  <c r="E406" i="21"/>
  <c r="J405" i="21"/>
  <c r="H405" i="21"/>
  <c r="E405" i="21"/>
  <c r="C404" i="21"/>
  <c r="D412" i="21" s="1"/>
  <c r="C397" i="21"/>
  <c r="J396" i="21"/>
  <c r="J395" i="21"/>
  <c r="H395" i="21"/>
  <c r="E395" i="21"/>
  <c r="J394" i="21"/>
  <c r="H394" i="21"/>
  <c r="E394" i="21"/>
  <c r="J393" i="21"/>
  <c r="H393" i="21"/>
  <c r="E393" i="21"/>
  <c r="C392" i="21"/>
  <c r="D395" i="21" s="1"/>
  <c r="C386" i="21"/>
  <c r="J385" i="21"/>
  <c r="H385" i="21"/>
  <c r="E385" i="21"/>
  <c r="D385" i="21"/>
  <c r="J384" i="21"/>
  <c r="H384" i="21"/>
  <c r="F384" i="21"/>
  <c r="E384" i="21"/>
  <c r="D384" i="21"/>
  <c r="I384" i="21" s="1"/>
  <c r="C383" i="21"/>
  <c r="C376" i="21"/>
  <c r="J375" i="21"/>
  <c r="J374" i="21"/>
  <c r="D374" i="21"/>
  <c r="J373" i="21"/>
  <c r="J372" i="21"/>
  <c r="J371" i="21"/>
  <c r="J370" i="21"/>
  <c r="J369" i="21"/>
  <c r="J368" i="21"/>
  <c r="H368" i="21"/>
  <c r="E368" i="21"/>
  <c r="J367" i="21"/>
  <c r="J366" i="21"/>
  <c r="H366" i="21"/>
  <c r="E366" i="21"/>
  <c r="D366" i="21"/>
  <c r="I366" i="21" s="1"/>
  <c r="J365" i="21"/>
  <c r="H365" i="21"/>
  <c r="E365" i="21"/>
  <c r="J364" i="21"/>
  <c r="H364" i="21"/>
  <c r="E364" i="21"/>
  <c r="J363" i="21"/>
  <c r="J362" i="21"/>
  <c r="H362" i="21"/>
  <c r="E362" i="21"/>
  <c r="D362" i="21"/>
  <c r="I362" i="21" s="1"/>
  <c r="J361" i="21"/>
  <c r="H361" i="21"/>
  <c r="E361" i="21"/>
  <c r="D361" i="21"/>
  <c r="J360" i="21"/>
  <c r="H360" i="21"/>
  <c r="F360" i="21"/>
  <c r="E360" i="21"/>
  <c r="D360" i="21"/>
  <c r="I360" i="21" s="1"/>
  <c r="C359" i="21"/>
  <c r="D368" i="21" s="1"/>
  <c r="C352" i="21"/>
  <c r="J351" i="21"/>
  <c r="J350" i="21"/>
  <c r="H350" i="21"/>
  <c r="E350" i="21"/>
  <c r="J349" i="21"/>
  <c r="H349" i="21"/>
  <c r="E349" i="21"/>
  <c r="J348" i="21"/>
  <c r="H348" i="21"/>
  <c r="E348" i="21"/>
  <c r="J347" i="21"/>
  <c r="H347" i="21"/>
  <c r="E347" i="21"/>
  <c r="C346" i="21"/>
  <c r="D350" i="21" s="1"/>
  <c r="F350" i="21" s="1"/>
  <c r="C340" i="21"/>
  <c r="J339" i="21"/>
  <c r="H339" i="21"/>
  <c r="E339" i="21"/>
  <c r="J338" i="21"/>
  <c r="H338" i="21"/>
  <c r="E338" i="21"/>
  <c r="C337" i="21"/>
  <c r="D339" i="21" s="1"/>
  <c r="C330" i="21"/>
  <c r="J329" i="21"/>
  <c r="J328" i="21"/>
  <c r="D328" i="21"/>
  <c r="J327" i="21"/>
  <c r="D327" i="21"/>
  <c r="J326" i="21"/>
  <c r="D326" i="21"/>
  <c r="J325" i="21"/>
  <c r="D325" i="21"/>
  <c r="J324" i="21"/>
  <c r="J323" i="21"/>
  <c r="J322" i="21"/>
  <c r="J321" i="21"/>
  <c r="J320" i="21"/>
  <c r="H320" i="21"/>
  <c r="E320" i="21"/>
  <c r="J319" i="21"/>
  <c r="H319" i="21"/>
  <c r="E319" i="21"/>
  <c r="J318" i="21"/>
  <c r="H318" i="21"/>
  <c r="E318" i="21"/>
  <c r="J317" i="21"/>
  <c r="J316" i="21"/>
  <c r="J315" i="21"/>
  <c r="J314" i="21"/>
  <c r="J313" i="21"/>
  <c r="H313" i="21"/>
  <c r="E313" i="21"/>
  <c r="J312" i="21"/>
  <c r="H312" i="21"/>
  <c r="E312" i="21"/>
  <c r="C311" i="21"/>
  <c r="D320" i="21" s="1"/>
  <c r="C304" i="21"/>
  <c r="J303" i="21"/>
  <c r="J302" i="21"/>
  <c r="H302" i="21"/>
  <c r="E302" i="21"/>
  <c r="J301" i="21"/>
  <c r="H301" i="21"/>
  <c r="E301" i="21"/>
  <c r="J300" i="21"/>
  <c r="H300" i="21"/>
  <c r="E300" i="21"/>
  <c r="C299" i="21"/>
  <c r="D301" i="21" s="1"/>
  <c r="C293" i="21"/>
  <c r="J292" i="21"/>
  <c r="H292" i="21"/>
  <c r="E292" i="21"/>
  <c r="D292" i="21"/>
  <c r="I292" i="21" s="1"/>
  <c r="J291" i="21"/>
  <c r="H291" i="21"/>
  <c r="E291" i="21"/>
  <c r="D291" i="21"/>
  <c r="F291" i="21" s="1"/>
  <c r="C290" i="21"/>
  <c r="G283" i="21"/>
  <c r="C283" i="21"/>
  <c r="J282" i="21"/>
  <c r="J281" i="21"/>
  <c r="H281" i="21"/>
  <c r="E281" i="21"/>
  <c r="J280" i="21"/>
  <c r="D280" i="21"/>
  <c r="J279" i="21"/>
  <c r="H279" i="21"/>
  <c r="E279" i="21"/>
  <c r="J278" i="21"/>
  <c r="H278" i="21"/>
  <c r="E278" i="21"/>
  <c r="J277" i="21"/>
  <c r="H277" i="21"/>
  <c r="E277" i="21"/>
  <c r="H276" i="21"/>
  <c r="G276" i="21"/>
  <c r="E276" i="21" s="1"/>
  <c r="J275" i="21"/>
  <c r="H275" i="21"/>
  <c r="E275" i="21"/>
  <c r="J274" i="21"/>
  <c r="J273" i="21"/>
  <c r="H273" i="21"/>
  <c r="E273" i="21"/>
  <c r="J272" i="21"/>
  <c r="H272" i="21"/>
  <c r="E272" i="21"/>
  <c r="J271" i="21"/>
  <c r="J270" i="21"/>
  <c r="H270" i="21"/>
  <c r="E270" i="21"/>
  <c r="C269" i="21"/>
  <c r="D281" i="21" s="1"/>
  <c r="C261" i="21"/>
  <c r="J260" i="21"/>
  <c r="J259" i="21"/>
  <c r="H259" i="21"/>
  <c r="E259" i="21"/>
  <c r="J258" i="21"/>
  <c r="H258" i="21"/>
  <c r="E258" i="21"/>
  <c r="J257" i="21"/>
  <c r="H257" i="21"/>
  <c r="E257" i="21"/>
  <c r="D257" i="21"/>
  <c r="I257" i="21" s="1"/>
  <c r="J256" i="21"/>
  <c r="H256" i="21"/>
  <c r="E256" i="21"/>
  <c r="D256" i="21"/>
  <c r="I256" i="21" s="1"/>
  <c r="C255" i="21"/>
  <c r="D259" i="21" s="1"/>
  <c r="C249" i="21"/>
  <c r="J248" i="21"/>
  <c r="H248" i="21"/>
  <c r="E248" i="21"/>
  <c r="J247" i="21"/>
  <c r="H247" i="21"/>
  <c r="E247" i="21"/>
  <c r="C246" i="21"/>
  <c r="C239" i="21"/>
  <c r="J238" i="21"/>
  <c r="J237" i="21"/>
  <c r="J236" i="21"/>
  <c r="H236" i="21"/>
  <c r="E236" i="21"/>
  <c r="J235" i="21"/>
  <c r="J234" i="21"/>
  <c r="H234" i="21"/>
  <c r="E234" i="21"/>
  <c r="J233" i="21"/>
  <c r="H233" i="21"/>
  <c r="E233" i="21"/>
  <c r="J232" i="21"/>
  <c r="J231" i="21"/>
  <c r="H231" i="21"/>
  <c r="E231" i="21"/>
  <c r="J230" i="21"/>
  <c r="J229" i="21"/>
  <c r="H229" i="21"/>
  <c r="E229" i="21"/>
  <c r="J228" i="21"/>
  <c r="H228" i="21"/>
  <c r="E228" i="21"/>
  <c r="J227" i="21"/>
  <c r="H227" i="21"/>
  <c r="E227" i="21"/>
  <c r="C226" i="21"/>
  <c r="C219" i="21"/>
  <c r="J218" i="21"/>
  <c r="J217" i="21"/>
  <c r="H217" i="21"/>
  <c r="E217" i="21"/>
  <c r="J216" i="21"/>
  <c r="H216" i="21"/>
  <c r="E216" i="21"/>
  <c r="J215" i="21"/>
  <c r="J214" i="21"/>
  <c r="H214" i="21"/>
  <c r="E214" i="21"/>
  <c r="D214" i="21"/>
  <c r="C213" i="21"/>
  <c r="D216" i="21" s="1"/>
  <c r="C207" i="21"/>
  <c r="J206" i="21"/>
  <c r="H206" i="21"/>
  <c r="E206" i="21"/>
  <c r="J205" i="21"/>
  <c r="J204" i="21"/>
  <c r="H204" i="21"/>
  <c r="E204" i="21"/>
  <c r="D204" i="21"/>
  <c r="I204" i="21" s="1"/>
  <c r="C203" i="21"/>
  <c r="D206" i="21" s="1"/>
  <c r="C196" i="21"/>
  <c r="J195" i="21"/>
  <c r="J194" i="21"/>
  <c r="J193" i="21"/>
  <c r="J192" i="21"/>
  <c r="H192" i="21"/>
  <c r="E192" i="21"/>
  <c r="J191" i="21"/>
  <c r="J190" i="21"/>
  <c r="J189" i="21"/>
  <c r="J188" i="21"/>
  <c r="J187" i="21"/>
  <c r="H187" i="21"/>
  <c r="E187" i="21"/>
  <c r="J186" i="21"/>
  <c r="G186" i="21"/>
  <c r="H186" i="21" s="1"/>
  <c r="E186" i="21"/>
  <c r="G185" i="21"/>
  <c r="J184" i="21"/>
  <c r="H184" i="21"/>
  <c r="E184" i="21"/>
  <c r="J183" i="21"/>
  <c r="G183" i="21"/>
  <c r="J182" i="21"/>
  <c r="H182" i="21"/>
  <c r="E182" i="21"/>
  <c r="H181" i="21"/>
  <c r="G181" i="21"/>
  <c r="J181" i="21" s="1"/>
  <c r="E181" i="21"/>
  <c r="J180" i="21"/>
  <c r="H180" i="21"/>
  <c r="E180" i="21"/>
  <c r="D180" i="21"/>
  <c r="F180" i="21" s="1"/>
  <c r="C179" i="21"/>
  <c r="D192" i="21" s="1"/>
  <c r="C172" i="21"/>
  <c r="J171" i="21"/>
  <c r="J170" i="21"/>
  <c r="H170" i="21"/>
  <c r="E170" i="21"/>
  <c r="J169" i="21"/>
  <c r="H169" i="21"/>
  <c r="E169" i="21"/>
  <c r="D169" i="21"/>
  <c r="I169" i="21" s="1"/>
  <c r="J168" i="21"/>
  <c r="H168" i="21"/>
  <c r="E168" i="21"/>
  <c r="D168" i="21"/>
  <c r="F168" i="21" s="1"/>
  <c r="C167" i="21"/>
  <c r="D170" i="21" s="1"/>
  <c r="F170" i="21" s="1"/>
  <c r="C160" i="21"/>
  <c r="J159" i="21"/>
  <c r="H159" i="21"/>
  <c r="E159" i="21"/>
  <c r="J158" i="21"/>
  <c r="H158" i="21"/>
  <c r="E158" i="21"/>
  <c r="C157" i="21"/>
  <c r="C150" i="21"/>
  <c r="J149" i="21"/>
  <c r="J148" i="21"/>
  <c r="J147" i="21"/>
  <c r="J146" i="21"/>
  <c r="J145" i="21"/>
  <c r="G144" i="21"/>
  <c r="E144" i="21" s="1"/>
  <c r="G143" i="21"/>
  <c r="E143" i="21" s="1"/>
  <c r="G142" i="21"/>
  <c r="E142" i="21" s="1"/>
  <c r="J141" i="21"/>
  <c r="G140" i="21"/>
  <c r="J139" i="21"/>
  <c r="H139" i="21"/>
  <c r="I139" i="21" s="1"/>
  <c r="E139" i="21"/>
  <c r="F139" i="21" s="1"/>
  <c r="J138" i="21"/>
  <c r="H138" i="21"/>
  <c r="E138" i="21"/>
  <c r="J137" i="21"/>
  <c r="H137" i="21"/>
  <c r="E137" i="21"/>
  <c r="C136" i="21"/>
  <c r="D143" i="21" s="1"/>
  <c r="J128" i="21"/>
  <c r="G128" i="21"/>
  <c r="J127" i="21"/>
  <c r="H127" i="21"/>
  <c r="E127" i="21"/>
  <c r="J126" i="21"/>
  <c r="E126" i="21"/>
  <c r="F126" i="21" s="1"/>
  <c r="D126" i="21"/>
  <c r="J125" i="21"/>
  <c r="H125" i="21"/>
  <c r="E125" i="21"/>
  <c r="D125" i="21"/>
  <c r="F125" i="21" s="1"/>
  <c r="J124" i="21"/>
  <c r="H124" i="21"/>
  <c r="E124" i="21"/>
  <c r="J123" i="21"/>
  <c r="H123" i="21"/>
  <c r="E123" i="21"/>
  <c r="J122" i="21"/>
  <c r="H122" i="21"/>
  <c r="E122" i="21"/>
  <c r="J121" i="21"/>
  <c r="H121" i="21"/>
  <c r="E121" i="21"/>
  <c r="J119" i="21"/>
  <c r="J118" i="21"/>
  <c r="H118" i="21"/>
  <c r="E118" i="21"/>
  <c r="G117" i="21"/>
  <c r="E117" i="21" s="1"/>
  <c r="H116" i="21"/>
  <c r="G116" i="21"/>
  <c r="J116" i="21" s="1"/>
  <c r="E116" i="21"/>
  <c r="J114" i="21"/>
  <c r="J113" i="21"/>
  <c r="H113" i="21"/>
  <c r="E113" i="21"/>
  <c r="J112" i="21"/>
  <c r="J111" i="21"/>
  <c r="H111" i="21"/>
  <c r="E111" i="21"/>
  <c r="J109" i="21"/>
  <c r="E109" i="21"/>
  <c r="J108" i="21"/>
  <c r="J107" i="21"/>
  <c r="H107" i="21"/>
  <c r="E107" i="21"/>
  <c r="C106" i="21"/>
  <c r="C105" i="21" s="1"/>
  <c r="J95" i="21"/>
  <c r="H95" i="21"/>
  <c r="E95" i="21"/>
  <c r="D95" i="21"/>
  <c r="J94" i="21"/>
  <c r="H94" i="21"/>
  <c r="E94" i="21"/>
  <c r="D94" i="21"/>
  <c r="I94" i="21" s="1"/>
  <c r="J93" i="21"/>
  <c r="J91" i="21"/>
  <c r="J89" i="21"/>
  <c r="J88" i="21"/>
  <c r="J87" i="21"/>
  <c r="C86" i="21"/>
  <c r="J85" i="21"/>
  <c r="H85" i="21"/>
  <c r="E85" i="21"/>
  <c r="D85" i="21"/>
  <c r="H84" i="21"/>
  <c r="J84" i="21"/>
  <c r="E84" i="21"/>
  <c r="D84" i="21"/>
  <c r="J83" i="21"/>
  <c r="H83" i="21"/>
  <c r="E83" i="21"/>
  <c r="J82" i="21"/>
  <c r="H82" i="21"/>
  <c r="E82" i="21"/>
  <c r="J81" i="21"/>
  <c r="C80" i="21"/>
  <c r="D83" i="21" s="1"/>
  <c r="J78" i="21"/>
  <c r="H78" i="21"/>
  <c r="E78" i="21"/>
  <c r="C77" i="21"/>
  <c r="D78" i="21" s="1"/>
  <c r="H76" i="21"/>
  <c r="J76" i="21"/>
  <c r="E76" i="21"/>
  <c r="D76" i="21"/>
  <c r="H75" i="21"/>
  <c r="C73" i="21"/>
  <c r="D74" i="21" s="1"/>
  <c r="J71" i="21"/>
  <c r="H71" i="21"/>
  <c r="E71" i="21"/>
  <c r="J70" i="21"/>
  <c r="H70" i="21"/>
  <c r="E70" i="21"/>
  <c r="C69" i="21"/>
  <c r="D71" i="21" s="1"/>
  <c r="J68" i="21"/>
  <c r="J67" i="21"/>
  <c r="J66" i="21"/>
  <c r="C65" i="21"/>
  <c r="J64" i="21"/>
  <c r="J62" i="21"/>
  <c r="J61" i="21"/>
  <c r="J60" i="21"/>
  <c r="J59" i="21"/>
  <c r="H59" i="21"/>
  <c r="E59" i="21"/>
  <c r="H58" i="21"/>
  <c r="C58" i="21"/>
  <c r="D59" i="21" s="1"/>
  <c r="F59" i="21" s="1"/>
  <c r="J57" i="21"/>
  <c r="H57" i="21"/>
  <c r="E57" i="21"/>
  <c r="J56" i="21"/>
  <c r="H56" i="21"/>
  <c r="E56" i="21"/>
  <c r="C55" i="21"/>
  <c r="D57" i="21" s="1"/>
  <c r="J54" i="21"/>
  <c r="I54" i="21"/>
  <c r="H54" i="21"/>
  <c r="E54" i="21"/>
  <c r="D54" i="21"/>
  <c r="J51" i="21"/>
  <c r="J50" i="21"/>
  <c r="H50" i="21"/>
  <c r="E50" i="21"/>
  <c r="J49" i="21"/>
  <c r="H49" i="21"/>
  <c r="E49" i="21"/>
  <c r="J48" i="21"/>
  <c r="H48" i="21"/>
  <c r="E48" i="21"/>
  <c r="J47" i="21"/>
  <c r="J46" i="21"/>
  <c r="C45" i="21"/>
  <c r="D50" i="21" s="1"/>
  <c r="F50" i="21" s="1"/>
  <c r="J44" i="21"/>
  <c r="H44" i="21"/>
  <c r="E44" i="21"/>
  <c r="J43" i="21"/>
  <c r="H43" i="21"/>
  <c r="E43" i="21"/>
  <c r="J42" i="21"/>
  <c r="H42" i="21"/>
  <c r="E42" i="21"/>
  <c r="H41" i="21"/>
  <c r="C40" i="21"/>
  <c r="D43" i="21" s="1"/>
  <c r="J38" i="21"/>
  <c r="H38" i="21"/>
  <c r="E38" i="21"/>
  <c r="J37" i="21"/>
  <c r="H37" i="21"/>
  <c r="E37" i="21"/>
  <c r="H36" i="21"/>
  <c r="J36" i="21"/>
  <c r="E36" i="21"/>
  <c r="H35" i="21"/>
  <c r="J33" i="21"/>
  <c r="H33" i="21"/>
  <c r="E33" i="21"/>
  <c r="H32" i="21"/>
  <c r="J32" i="21"/>
  <c r="E32" i="21"/>
  <c r="H31" i="21"/>
  <c r="J30" i="21"/>
  <c r="D32" i="21"/>
  <c r="J27" i="21"/>
  <c r="J26" i="21"/>
  <c r="H26" i="21"/>
  <c r="E26" i="21"/>
  <c r="J25" i="21"/>
  <c r="H25" i="21"/>
  <c r="E25" i="21"/>
  <c r="D25" i="21"/>
  <c r="J24" i="21"/>
  <c r="H24" i="21"/>
  <c r="E24" i="21"/>
  <c r="J23" i="21"/>
  <c r="J22" i="21"/>
  <c r="C21" i="21"/>
  <c r="D26" i="21" s="1"/>
  <c r="I26" i="21" s="1"/>
  <c r="J20" i="21"/>
  <c r="J19" i="21"/>
  <c r="J18" i="21"/>
  <c r="J17" i="21"/>
  <c r="J15" i="21"/>
  <c r="J14" i="21"/>
  <c r="J13" i="21"/>
  <c r="H13" i="21"/>
  <c r="E13" i="21"/>
  <c r="J12" i="21"/>
  <c r="C11" i="21"/>
  <c r="D13" i="21" s="1"/>
  <c r="D121" i="21" l="1"/>
  <c r="I121" i="21" s="1"/>
  <c r="D116" i="21"/>
  <c r="F116" i="21" s="1"/>
  <c r="D123" i="21"/>
  <c r="F123" i="21" s="1"/>
  <c r="D111" i="21"/>
  <c r="C104" i="21"/>
  <c r="I259" i="21"/>
  <c r="F259" i="21"/>
  <c r="D48" i="21"/>
  <c r="D49" i="21"/>
  <c r="D56" i="21"/>
  <c r="I56" i="21" s="1"/>
  <c r="F94" i="21"/>
  <c r="H117" i="21"/>
  <c r="H143" i="21"/>
  <c r="D181" i="21"/>
  <c r="I181" i="21" s="1"/>
  <c r="D258" i="21"/>
  <c r="I258" i="21" s="1"/>
  <c r="J276" i="21"/>
  <c r="D347" i="21"/>
  <c r="D352" i="21" s="1"/>
  <c r="F362" i="21"/>
  <c r="F366" i="21"/>
  <c r="D348" i="21"/>
  <c r="F348" i="21" s="1"/>
  <c r="D349" i="21"/>
  <c r="J117" i="21"/>
  <c r="J143" i="21"/>
  <c r="F169" i="21"/>
  <c r="F257" i="21"/>
  <c r="F292" i="21"/>
  <c r="I13" i="21"/>
  <c r="I43" i="21"/>
  <c r="I48" i="21"/>
  <c r="F54" i="21"/>
  <c r="I71" i="21"/>
  <c r="D82" i="21"/>
  <c r="I82" i="21" s="1"/>
  <c r="F85" i="21"/>
  <c r="I125" i="21"/>
  <c r="D186" i="21"/>
  <c r="F385" i="21"/>
  <c r="D270" i="21"/>
  <c r="F270" i="21" s="1"/>
  <c r="D275" i="21"/>
  <c r="D276" i="21"/>
  <c r="I83" i="21"/>
  <c r="F57" i="21"/>
  <c r="F95" i="21"/>
  <c r="I85" i="21"/>
  <c r="F361" i="21"/>
  <c r="F76" i="21"/>
  <c r="F48" i="21"/>
  <c r="F32" i="21"/>
  <c r="F121" i="21"/>
  <c r="D42" i="21"/>
  <c r="C9" i="21"/>
  <c r="F13" i="21"/>
  <c r="F25" i="21"/>
  <c r="G96" i="21"/>
  <c r="E30" i="21"/>
  <c r="H30" i="21"/>
  <c r="J35" i="21"/>
  <c r="E35" i="21"/>
  <c r="I57" i="21"/>
  <c r="F71" i="21"/>
  <c r="J75" i="21"/>
  <c r="E75" i="21"/>
  <c r="F78" i="21"/>
  <c r="F84" i="21"/>
  <c r="I84" i="21"/>
  <c r="I95" i="21"/>
  <c r="J115" i="21"/>
  <c r="E115" i="21"/>
  <c r="H115" i="21"/>
  <c r="I123" i="21"/>
  <c r="H185" i="21"/>
  <c r="J185" i="21"/>
  <c r="E185" i="21"/>
  <c r="G196" i="21"/>
  <c r="I216" i="21"/>
  <c r="F216" i="21"/>
  <c r="I32" i="21"/>
  <c r="E34" i="21"/>
  <c r="H34" i="21"/>
  <c r="E74" i="21"/>
  <c r="F74" i="21" s="1"/>
  <c r="H74" i="21"/>
  <c r="I74" i="21" s="1"/>
  <c r="F83" i="21"/>
  <c r="J110" i="21"/>
  <c r="H110" i="21"/>
  <c r="E110" i="21"/>
  <c r="I116" i="21"/>
  <c r="I143" i="21"/>
  <c r="F143" i="21"/>
  <c r="D37" i="21"/>
  <c r="D33" i="21"/>
  <c r="D38" i="21"/>
  <c r="D34" i="21"/>
  <c r="D30" i="21"/>
  <c r="D31" i="21"/>
  <c r="J34" i="21"/>
  <c r="D36" i="21"/>
  <c r="D41" i="21"/>
  <c r="D44" i="21"/>
  <c r="D70" i="21"/>
  <c r="J74" i="21"/>
  <c r="I76" i="21"/>
  <c r="D207" i="21"/>
  <c r="F204" i="21"/>
  <c r="D234" i="21"/>
  <c r="D229" i="21"/>
  <c r="D227" i="21"/>
  <c r="D233" i="21"/>
  <c r="D228" i="21"/>
  <c r="D231" i="21"/>
  <c r="D236" i="21"/>
  <c r="F26" i="21"/>
  <c r="I25" i="21"/>
  <c r="J31" i="21"/>
  <c r="E31" i="21"/>
  <c r="D35" i="21"/>
  <c r="J41" i="21"/>
  <c r="E41" i="21"/>
  <c r="F43" i="21"/>
  <c r="I50" i="21"/>
  <c r="I59" i="21"/>
  <c r="D75" i="21"/>
  <c r="I78" i="21"/>
  <c r="F82" i="21"/>
  <c r="D117" i="21"/>
  <c r="D113" i="21"/>
  <c r="D107" i="21"/>
  <c r="D114" i="21"/>
  <c r="D127" i="21"/>
  <c r="D124" i="21"/>
  <c r="D122" i="21"/>
  <c r="D118" i="21"/>
  <c r="D109" i="21"/>
  <c r="D120" i="21"/>
  <c r="D115" i="21"/>
  <c r="D110" i="21"/>
  <c r="J120" i="21"/>
  <c r="H120" i="21"/>
  <c r="E120" i="21"/>
  <c r="I168" i="21"/>
  <c r="I170" i="21"/>
  <c r="D24" i="21"/>
  <c r="H109" i="21"/>
  <c r="G129" i="21"/>
  <c r="J142" i="21"/>
  <c r="H142" i="21"/>
  <c r="H144" i="21"/>
  <c r="J144" i="21"/>
  <c r="I192" i="21"/>
  <c r="F192" i="21"/>
  <c r="D248" i="21"/>
  <c r="D247" i="21"/>
  <c r="F256" i="21"/>
  <c r="F258" i="21"/>
  <c r="D261" i="21"/>
  <c r="I301" i="21"/>
  <c r="F301" i="21"/>
  <c r="I320" i="21"/>
  <c r="F320" i="21"/>
  <c r="D172" i="21"/>
  <c r="I214" i="21"/>
  <c r="I368" i="21"/>
  <c r="F368" i="21"/>
  <c r="D144" i="21"/>
  <c r="D138" i="21"/>
  <c r="D142" i="21"/>
  <c r="D137" i="21"/>
  <c r="J140" i="21"/>
  <c r="G150" i="21"/>
  <c r="D158" i="21"/>
  <c r="D159" i="21"/>
  <c r="I180" i="21"/>
  <c r="F181" i="21"/>
  <c r="I206" i="21"/>
  <c r="F206" i="21"/>
  <c r="F214" i="21"/>
  <c r="I281" i="21"/>
  <c r="F281" i="21"/>
  <c r="F276" i="21"/>
  <c r="I276" i="21"/>
  <c r="I270" i="21"/>
  <c r="I339" i="21"/>
  <c r="F339" i="21"/>
  <c r="I395" i="21"/>
  <c r="F395" i="21"/>
  <c r="I412" i="21"/>
  <c r="F412" i="21"/>
  <c r="I437" i="21"/>
  <c r="F437" i="21"/>
  <c r="D182" i="21"/>
  <c r="D184" i="21"/>
  <c r="D187" i="21"/>
  <c r="D217" i="21"/>
  <c r="D219" i="21" s="1"/>
  <c r="D273" i="21"/>
  <c r="D277" i="21"/>
  <c r="D300" i="21"/>
  <c r="D302" i="21"/>
  <c r="D313" i="21"/>
  <c r="D319" i="21"/>
  <c r="D338" i="21"/>
  <c r="D386" i="21"/>
  <c r="D394" i="21"/>
  <c r="D405" i="21"/>
  <c r="D407" i="21"/>
  <c r="D410" i="21"/>
  <c r="I291" i="21"/>
  <c r="I348" i="21"/>
  <c r="I350" i="21"/>
  <c r="I361" i="21"/>
  <c r="I385" i="21"/>
  <c r="D413" i="21"/>
  <c r="I426" i="21"/>
  <c r="D436" i="21"/>
  <c r="D185" i="21"/>
  <c r="D272" i="21"/>
  <c r="D278" i="21"/>
  <c r="D279" i="21"/>
  <c r="D293" i="21"/>
  <c r="D312" i="21"/>
  <c r="D318" i="21"/>
  <c r="D364" i="21"/>
  <c r="D393" i="21"/>
  <c r="D406" i="21"/>
  <c r="D434" i="21"/>
  <c r="G83" i="20"/>
  <c r="G61" i="20"/>
  <c r="D196" i="21" l="1"/>
  <c r="F111" i="21"/>
  <c r="I111" i="21"/>
  <c r="F56" i="21"/>
  <c r="I349" i="21"/>
  <c r="F349" i="21"/>
  <c r="I347" i="21"/>
  <c r="F347" i="21"/>
  <c r="I186" i="21"/>
  <c r="F186" i="21"/>
  <c r="I49" i="21"/>
  <c r="F49" i="21"/>
  <c r="I275" i="21"/>
  <c r="F275" i="21"/>
  <c r="D283" i="21"/>
  <c r="I279" i="21"/>
  <c r="F279" i="21"/>
  <c r="F436" i="21"/>
  <c r="I436" i="21"/>
  <c r="F405" i="21"/>
  <c r="D417" i="21"/>
  <c r="I405" i="21"/>
  <c r="I158" i="21"/>
  <c r="F158" i="21"/>
  <c r="D160" i="21"/>
  <c r="F142" i="21"/>
  <c r="I142" i="21"/>
  <c r="I24" i="21"/>
  <c r="F24" i="21"/>
  <c r="F115" i="21"/>
  <c r="I115" i="21"/>
  <c r="I122" i="21"/>
  <c r="F122" i="21"/>
  <c r="F35" i="21"/>
  <c r="I35" i="21"/>
  <c r="F233" i="21"/>
  <c r="I233" i="21"/>
  <c r="F70" i="21"/>
  <c r="I70" i="21"/>
  <c r="I38" i="21"/>
  <c r="F38" i="21"/>
  <c r="D439" i="21"/>
  <c r="I434" i="21"/>
  <c r="F434" i="21"/>
  <c r="I318" i="21"/>
  <c r="F318" i="21"/>
  <c r="I278" i="21"/>
  <c r="F278" i="21"/>
  <c r="F394" i="21"/>
  <c r="I394" i="21"/>
  <c r="F313" i="21"/>
  <c r="I313" i="21"/>
  <c r="F277" i="21"/>
  <c r="I277" i="21"/>
  <c r="F184" i="21"/>
  <c r="I184" i="21"/>
  <c r="I138" i="21"/>
  <c r="F138" i="21"/>
  <c r="F120" i="21"/>
  <c r="I120" i="21"/>
  <c r="I124" i="21"/>
  <c r="F124" i="21"/>
  <c r="I113" i="21"/>
  <c r="F113" i="21"/>
  <c r="F75" i="21"/>
  <c r="I75" i="21"/>
  <c r="F236" i="21"/>
  <c r="I236" i="21"/>
  <c r="D239" i="21"/>
  <c r="I227" i="21"/>
  <c r="F227" i="21"/>
  <c r="F44" i="21"/>
  <c r="I44" i="21"/>
  <c r="F31" i="21"/>
  <c r="I31" i="21"/>
  <c r="F33" i="21"/>
  <c r="I33" i="21"/>
  <c r="I406" i="21"/>
  <c r="F406" i="21"/>
  <c r="I272" i="21"/>
  <c r="F272" i="21"/>
  <c r="F273" i="21"/>
  <c r="I273" i="21"/>
  <c r="F247" i="21"/>
  <c r="I247" i="21"/>
  <c r="D249" i="21"/>
  <c r="I127" i="21"/>
  <c r="F127" i="21"/>
  <c r="F41" i="21"/>
  <c r="I41" i="21"/>
  <c r="D330" i="21"/>
  <c r="I312" i="21"/>
  <c r="F312" i="21"/>
  <c r="F413" i="21"/>
  <c r="I413" i="21"/>
  <c r="F410" i="21"/>
  <c r="I410" i="21"/>
  <c r="F302" i="21"/>
  <c r="I302" i="21"/>
  <c r="F182" i="21"/>
  <c r="I182" i="21"/>
  <c r="F144" i="21"/>
  <c r="I144" i="21"/>
  <c r="I109" i="21"/>
  <c r="F109" i="21"/>
  <c r="F117" i="21"/>
  <c r="I117" i="21"/>
  <c r="I231" i="21"/>
  <c r="F231" i="21"/>
  <c r="I229" i="21"/>
  <c r="F229" i="21"/>
  <c r="I30" i="21"/>
  <c r="F30" i="21"/>
  <c r="I37" i="21"/>
  <c r="F37" i="21"/>
  <c r="F42" i="21"/>
  <c r="I42" i="21"/>
  <c r="D397" i="21"/>
  <c r="I393" i="21"/>
  <c r="F393" i="21"/>
  <c r="F185" i="21"/>
  <c r="I185" i="21"/>
  <c r="F407" i="21"/>
  <c r="I407" i="21"/>
  <c r="F338" i="21"/>
  <c r="D340" i="21"/>
  <c r="I338" i="21"/>
  <c r="F300" i="21"/>
  <c r="D304" i="21"/>
  <c r="I300" i="21"/>
  <c r="F217" i="21"/>
  <c r="I217" i="21"/>
  <c r="F159" i="21"/>
  <c r="I159" i="21"/>
  <c r="F137" i="21"/>
  <c r="I137" i="21"/>
  <c r="D150" i="21"/>
  <c r="I248" i="21"/>
  <c r="F248" i="21"/>
  <c r="F110" i="21"/>
  <c r="I110" i="21"/>
  <c r="I118" i="21"/>
  <c r="F118" i="21"/>
  <c r="I114" i="21"/>
  <c r="F114" i="21"/>
  <c r="F228" i="21"/>
  <c r="I228" i="21"/>
  <c r="I234" i="21"/>
  <c r="F234" i="21"/>
  <c r="F36" i="21"/>
  <c r="I36" i="21"/>
  <c r="I34" i="21"/>
  <c r="F34" i="21"/>
  <c r="I364" i="21"/>
  <c r="F364" i="21"/>
  <c r="D376" i="21"/>
  <c r="F319" i="21"/>
  <c r="I319" i="21"/>
  <c r="F187" i="21"/>
  <c r="I187" i="21"/>
  <c r="I107" i="21"/>
  <c r="F107" i="21"/>
  <c r="G40" i="20"/>
  <c r="G185" i="20"/>
  <c r="G184" i="20"/>
  <c r="G182" i="20"/>
  <c r="G180" i="20"/>
  <c r="G143" i="20"/>
  <c r="G142" i="20"/>
  <c r="G141" i="20"/>
  <c r="G139" i="20"/>
  <c r="G149" i="20" s="1"/>
  <c r="G127" i="20"/>
  <c r="G119" i="20"/>
  <c r="G115" i="20"/>
  <c r="G114" i="20"/>
  <c r="G109" i="20"/>
  <c r="G108" i="20"/>
  <c r="G275" i="20" l="1"/>
  <c r="G282" i="20" s="1"/>
  <c r="G116" i="20"/>
  <c r="G128" i="20" s="1"/>
  <c r="G75" i="20" l="1"/>
  <c r="G74" i="20"/>
  <c r="G73" i="20"/>
  <c r="G37" i="20" l="1"/>
  <c r="G36" i="20"/>
  <c r="G35" i="20"/>
  <c r="G34" i="20"/>
  <c r="G33" i="20"/>
  <c r="G32" i="20"/>
  <c r="G31" i="20"/>
  <c r="G30" i="20"/>
  <c r="G95" i="20" s="1"/>
  <c r="G37" i="19"/>
  <c r="G36" i="19"/>
  <c r="G35" i="19"/>
  <c r="G34" i="19"/>
  <c r="G33" i="19"/>
  <c r="G32" i="19"/>
  <c r="G31" i="19"/>
  <c r="G30" i="19"/>
  <c r="C57" i="20" l="1"/>
  <c r="J437" i="19" l="1"/>
  <c r="J436" i="19"/>
  <c r="J435" i="19"/>
  <c r="J434" i="19"/>
  <c r="J433" i="19"/>
  <c r="J425" i="19"/>
  <c r="J424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395" i="19"/>
  <c r="J394" i="19"/>
  <c r="J393" i="19"/>
  <c r="J392" i="19"/>
  <c r="J384" i="19"/>
  <c r="J383" i="19"/>
  <c r="J374" i="19"/>
  <c r="J373" i="19"/>
  <c r="J372" i="19"/>
  <c r="J371" i="19"/>
  <c r="J370" i="19"/>
  <c r="J369" i="19"/>
  <c r="J368" i="19"/>
  <c r="J367" i="19"/>
  <c r="J366" i="19"/>
  <c r="J365" i="19"/>
  <c r="J364" i="19"/>
  <c r="J363" i="19"/>
  <c r="J362" i="19"/>
  <c r="J361" i="19"/>
  <c r="J360" i="19"/>
  <c r="J359" i="19"/>
  <c r="J350" i="19"/>
  <c r="J349" i="19"/>
  <c r="J348" i="19"/>
  <c r="J347" i="19"/>
  <c r="J346" i="19"/>
  <c r="J338" i="19"/>
  <c r="J337" i="19"/>
  <c r="J328" i="19"/>
  <c r="J327" i="19"/>
  <c r="J326" i="19"/>
  <c r="J325" i="19"/>
  <c r="J324" i="19"/>
  <c r="J323" i="19"/>
  <c r="J322" i="19"/>
  <c r="J321" i="19"/>
  <c r="J320" i="19"/>
  <c r="J319" i="19"/>
  <c r="J318" i="19"/>
  <c r="J317" i="19"/>
  <c r="J316" i="19"/>
  <c r="J315" i="19"/>
  <c r="J314" i="19"/>
  <c r="J313" i="19"/>
  <c r="J312" i="19"/>
  <c r="J311" i="19"/>
  <c r="J302" i="19"/>
  <c r="J301" i="19"/>
  <c r="J300" i="19"/>
  <c r="J299" i="19"/>
  <c r="J291" i="19"/>
  <c r="J290" i="19"/>
  <c r="J281" i="19"/>
  <c r="J280" i="19"/>
  <c r="J279" i="19"/>
  <c r="J278" i="19"/>
  <c r="J277" i="19"/>
  <c r="J276" i="19"/>
  <c r="J275" i="19"/>
  <c r="J274" i="19"/>
  <c r="J273" i="19"/>
  <c r="J272" i="19"/>
  <c r="J271" i="19"/>
  <c r="J270" i="19"/>
  <c r="J269" i="19"/>
  <c r="J259" i="19"/>
  <c r="J258" i="19"/>
  <c r="J257" i="19"/>
  <c r="J256" i="19"/>
  <c r="J255" i="19"/>
  <c r="J247" i="19"/>
  <c r="J246" i="19"/>
  <c r="J237" i="19"/>
  <c r="J236" i="19"/>
  <c r="J235" i="19"/>
  <c r="J234" i="19"/>
  <c r="J233" i="19"/>
  <c r="J232" i="19"/>
  <c r="J231" i="19"/>
  <c r="J230" i="19"/>
  <c r="J229" i="19"/>
  <c r="J228" i="19"/>
  <c r="J227" i="19"/>
  <c r="J226" i="19"/>
  <c r="J217" i="19"/>
  <c r="J216" i="19"/>
  <c r="J215" i="19"/>
  <c r="J214" i="19"/>
  <c r="J213" i="19"/>
  <c r="J205" i="19"/>
  <c r="J204" i="19"/>
  <c r="J203" i="19"/>
  <c r="J194" i="19"/>
  <c r="J193" i="19"/>
  <c r="J192" i="19"/>
  <c r="J191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0" i="19"/>
  <c r="J169" i="19"/>
  <c r="J168" i="19"/>
  <c r="J167" i="19"/>
  <c r="J158" i="19"/>
  <c r="J157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36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94" i="19"/>
  <c r="J93" i="19"/>
  <c r="J92" i="19"/>
  <c r="J90" i="19"/>
  <c r="J88" i="19"/>
  <c r="J87" i="19"/>
  <c r="J86" i="19"/>
  <c r="J84" i="19"/>
  <c r="J83" i="19"/>
  <c r="J82" i="19"/>
  <c r="J81" i="19"/>
  <c r="J80" i="19"/>
  <c r="J77" i="19"/>
  <c r="J70" i="19"/>
  <c r="J69" i="19"/>
  <c r="J67" i="19"/>
  <c r="J66" i="19"/>
  <c r="J65" i="19"/>
  <c r="J63" i="19"/>
  <c r="J62" i="19"/>
  <c r="J61" i="19"/>
  <c r="J60" i="19"/>
  <c r="J59" i="19"/>
  <c r="J58" i="19"/>
  <c r="J56" i="19"/>
  <c r="J55" i="19"/>
  <c r="J53" i="19"/>
  <c r="J50" i="19"/>
  <c r="J49" i="19"/>
  <c r="J48" i="19"/>
  <c r="J47" i="19"/>
  <c r="J46" i="19"/>
  <c r="J45" i="19"/>
  <c r="J43" i="19"/>
  <c r="J42" i="19"/>
  <c r="J41" i="19"/>
  <c r="J40" i="19"/>
  <c r="J38" i="19"/>
  <c r="J37" i="19"/>
  <c r="J36" i="19"/>
  <c r="J35" i="19"/>
  <c r="J34" i="19"/>
  <c r="J33" i="19"/>
  <c r="J32" i="19"/>
  <c r="J31" i="19"/>
  <c r="J30" i="19"/>
  <c r="J27" i="19"/>
  <c r="J26" i="19"/>
  <c r="J25" i="19"/>
  <c r="J24" i="19"/>
  <c r="J23" i="19"/>
  <c r="J22" i="19"/>
  <c r="J20" i="19"/>
  <c r="J19" i="19"/>
  <c r="J18" i="19"/>
  <c r="J17" i="19"/>
  <c r="J15" i="19"/>
  <c r="J14" i="19"/>
  <c r="J13" i="19"/>
  <c r="J12" i="19"/>
  <c r="J437" i="20"/>
  <c r="J436" i="20"/>
  <c r="J435" i="20"/>
  <c r="J434" i="20"/>
  <c r="J433" i="20"/>
  <c r="J425" i="20"/>
  <c r="J424" i="20"/>
  <c r="J415" i="20"/>
  <c r="J414" i="20"/>
  <c r="J413" i="20"/>
  <c r="J412" i="20"/>
  <c r="J411" i="20"/>
  <c r="J410" i="20"/>
  <c r="J409" i="20"/>
  <c r="J408" i="20"/>
  <c r="J407" i="20"/>
  <c r="J406" i="20"/>
  <c r="J405" i="20"/>
  <c r="J404" i="20"/>
  <c r="J395" i="20"/>
  <c r="J394" i="20"/>
  <c r="J393" i="20"/>
  <c r="J392" i="20"/>
  <c r="J384" i="20"/>
  <c r="J383" i="20"/>
  <c r="J374" i="20"/>
  <c r="J373" i="20"/>
  <c r="J372" i="20"/>
  <c r="J371" i="20"/>
  <c r="J370" i="20"/>
  <c r="J369" i="20"/>
  <c r="J368" i="20"/>
  <c r="J367" i="20"/>
  <c r="J366" i="20"/>
  <c r="J365" i="20"/>
  <c r="J364" i="20"/>
  <c r="J363" i="20"/>
  <c r="J362" i="20"/>
  <c r="J361" i="20"/>
  <c r="J360" i="20"/>
  <c r="J359" i="20"/>
  <c r="J350" i="20"/>
  <c r="J349" i="20"/>
  <c r="J348" i="20"/>
  <c r="J347" i="20"/>
  <c r="J346" i="20"/>
  <c r="J338" i="20"/>
  <c r="J337" i="20"/>
  <c r="J328" i="20"/>
  <c r="J327" i="20"/>
  <c r="J326" i="20"/>
  <c r="J325" i="20"/>
  <c r="J324" i="20"/>
  <c r="J323" i="20"/>
  <c r="J322" i="20"/>
  <c r="J321" i="20"/>
  <c r="J320" i="20"/>
  <c r="J319" i="20"/>
  <c r="J318" i="20"/>
  <c r="J317" i="20"/>
  <c r="J316" i="20"/>
  <c r="J315" i="20"/>
  <c r="J314" i="20"/>
  <c r="J313" i="20"/>
  <c r="J312" i="20"/>
  <c r="J311" i="20"/>
  <c r="J302" i="20"/>
  <c r="J301" i="20"/>
  <c r="J300" i="20"/>
  <c r="J299" i="20"/>
  <c r="J291" i="20"/>
  <c r="J290" i="20"/>
  <c r="J281" i="20"/>
  <c r="J280" i="20"/>
  <c r="J279" i="20"/>
  <c r="J278" i="20"/>
  <c r="J277" i="20"/>
  <c r="J276" i="20"/>
  <c r="J275" i="20"/>
  <c r="J274" i="20"/>
  <c r="J273" i="20"/>
  <c r="J272" i="20"/>
  <c r="J271" i="20"/>
  <c r="J270" i="20"/>
  <c r="J269" i="20"/>
  <c r="J259" i="20"/>
  <c r="J258" i="20"/>
  <c r="J257" i="20"/>
  <c r="J256" i="20"/>
  <c r="J255" i="20"/>
  <c r="J247" i="20"/>
  <c r="J246" i="20"/>
  <c r="J237" i="20"/>
  <c r="J236" i="20"/>
  <c r="J235" i="20"/>
  <c r="J234" i="20"/>
  <c r="J233" i="20"/>
  <c r="J232" i="20"/>
  <c r="J231" i="20"/>
  <c r="J230" i="20"/>
  <c r="J229" i="20"/>
  <c r="J228" i="20"/>
  <c r="J227" i="20"/>
  <c r="J226" i="20"/>
  <c r="J217" i="20"/>
  <c r="J216" i="20"/>
  <c r="J215" i="20"/>
  <c r="J214" i="20"/>
  <c r="J213" i="20"/>
  <c r="J205" i="20"/>
  <c r="J204" i="20"/>
  <c r="J203" i="20"/>
  <c r="J194" i="20"/>
  <c r="J193" i="20"/>
  <c r="J192" i="20"/>
  <c r="J191" i="20"/>
  <c r="J190" i="20"/>
  <c r="J189" i="20"/>
  <c r="J188" i="20"/>
  <c r="J187" i="20"/>
  <c r="J186" i="20"/>
  <c r="J185" i="20"/>
  <c r="J184" i="20"/>
  <c r="J183" i="20"/>
  <c r="J182" i="20"/>
  <c r="J181" i="20"/>
  <c r="J180" i="20"/>
  <c r="J179" i="20"/>
  <c r="J170" i="20"/>
  <c r="J169" i="20"/>
  <c r="J168" i="20"/>
  <c r="J167" i="20"/>
  <c r="J158" i="20"/>
  <c r="J157" i="20"/>
  <c r="J148" i="20"/>
  <c r="J147" i="20"/>
  <c r="J146" i="20"/>
  <c r="J145" i="20"/>
  <c r="J144" i="20"/>
  <c r="J143" i="20"/>
  <c r="J142" i="20"/>
  <c r="J141" i="20"/>
  <c r="J140" i="20"/>
  <c r="J139" i="20"/>
  <c r="J138" i="20"/>
  <c r="J137" i="20"/>
  <c r="J136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J111" i="20"/>
  <c r="J110" i="20"/>
  <c r="J109" i="20"/>
  <c r="J108" i="20"/>
  <c r="J107" i="20"/>
  <c r="J106" i="20"/>
  <c r="J94" i="20"/>
  <c r="J93" i="20"/>
  <c r="J92" i="20"/>
  <c r="J90" i="20"/>
  <c r="J88" i="20"/>
  <c r="J87" i="20"/>
  <c r="J86" i="20"/>
  <c r="J84" i="20"/>
  <c r="J83" i="20"/>
  <c r="J82" i="20"/>
  <c r="J81" i="20"/>
  <c r="J80" i="20"/>
  <c r="J77" i="20"/>
  <c r="J75" i="20"/>
  <c r="J74" i="20"/>
  <c r="J73" i="20"/>
  <c r="J70" i="20"/>
  <c r="J69" i="20"/>
  <c r="J67" i="20"/>
  <c r="J66" i="20"/>
  <c r="J65" i="20"/>
  <c r="J63" i="20"/>
  <c r="J61" i="20"/>
  <c r="J60" i="20"/>
  <c r="J59" i="20"/>
  <c r="J58" i="20"/>
  <c r="J56" i="20"/>
  <c r="J55" i="20"/>
  <c r="J53" i="20"/>
  <c r="J50" i="20"/>
  <c r="J49" i="20"/>
  <c r="J48" i="20"/>
  <c r="J47" i="20"/>
  <c r="J46" i="20"/>
  <c r="J45" i="20"/>
  <c r="J43" i="20"/>
  <c r="J42" i="20"/>
  <c r="J41" i="20"/>
  <c r="J40" i="20"/>
  <c r="J38" i="20"/>
  <c r="J37" i="20"/>
  <c r="J36" i="20"/>
  <c r="J35" i="20"/>
  <c r="J34" i="20"/>
  <c r="J33" i="20"/>
  <c r="J32" i="20"/>
  <c r="J31" i="20"/>
  <c r="J30" i="20"/>
  <c r="J27" i="20"/>
  <c r="J26" i="20"/>
  <c r="J25" i="20"/>
  <c r="J24" i="20"/>
  <c r="J23" i="20"/>
  <c r="J22" i="20"/>
  <c r="J20" i="20"/>
  <c r="J19" i="20"/>
  <c r="J18" i="20"/>
  <c r="J17" i="20"/>
  <c r="J15" i="20"/>
  <c r="J14" i="20"/>
  <c r="J13" i="20"/>
  <c r="J12" i="20"/>
  <c r="E31" i="20"/>
  <c r="E30" i="20"/>
  <c r="C438" i="20"/>
  <c r="H436" i="20"/>
  <c r="E436" i="20"/>
  <c r="D436" i="20"/>
  <c r="F436" i="20" s="1"/>
  <c r="H435" i="20"/>
  <c r="E435" i="20"/>
  <c r="H433" i="20"/>
  <c r="E433" i="20"/>
  <c r="D433" i="20"/>
  <c r="C432" i="20"/>
  <c r="D435" i="20" s="1"/>
  <c r="C426" i="20"/>
  <c r="H425" i="20"/>
  <c r="E425" i="20"/>
  <c r="D424" i="20"/>
  <c r="D426" i="20" s="1"/>
  <c r="C423" i="20"/>
  <c r="D425" i="20" s="1"/>
  <c r="G416" i="20"/>
  <c r="C416" i="20"/>
  <c r="D413" i="20"/>
  <c r="H412" i="20"/>
  <c r="E412" i="20"/>
  <c r="H411" i="20"/>
  <c r="E411" i="20"/>
  <c r="H409" i="20"/>
  <c r="E409" i="20"/>
  <c r="H406" i="20"/>
  <c r="E406" i="20"/>
  <c r="H405" i="20"/>
  <c r="E405" i="20"/>
  <c r="H404" i="20"/>
  <c r="E404" i="20"/>
  <c r="C403" i="20"/>
  <c r="C396" i="20"/>
  <c r="H394" i="20"/>
  <c r="E394" i="20"/>
  <c r="H393" i="20"/>
  <c r="E393" i="20"/>
  <c r="H392" i="20"/>
  <c r="E392" i="20"/>
  <c r="D392" i="20"/>
  <c r="F392" i="20" s="1"/>
  <c r="C391" i="20"/>
  <c r="D394" i="20" s="1"/>
  <c r="I394" i="20" s="1"/>
  <c r="C385" i="20"/>
  <c r="H384" i="20"/>
  <c r="E384" i="20"/>
  <c r="H383" i="20"/>
  <c r="E383" i="20"/>
  <c r="C382" i="20"/>
  <c r="D384" i="20" s="1"/>
  <c r="C375" i="20"/>
  <c r="D373" i="20"/>
  <c r="H367" i="20"/>
  <c r="E367" i="20"/>
  <c r="H365" i="20"/>
  <c r="E365" i="20"/>
  <c r="H364" i="20"/>
  <c r="E364" i="20"/>
  <c r="H363" i="20"/>
  <c r="E363" i="20"/>
  <c r="H361" i="20"/>
  <c r="E361" i="20"/>
  <c r="H360" i="20"/>
  <c r="E360" i="20"/>
  <c r="H359" i="20"/>
  <c r="E359" i="20"/>
  <c r="C358" i="20"/>
  <c r="D367" i="20" s="1"/>
  <c r="C351" i="20"/>
  <c r="H349" i="20"/>
  <c r="E349" i="20"/>
  <c r="H348" i="20"/>
  <c r="E348" i="20"/>
  <c r="H347" i="20"/>
  <c r="E347" i="20"/>
  <c r="H346" i="20"/>
  <c r="E346" i="20"/>
  <c r="C345" i="20"/>
  <c r="D349" i="20" s="1"/>
  <c r="C339" i="20"/>
  <c r="H338" i="20"/>
  <c r="E338" i="20"/>
  <c r="H337" i="20"/>
  <c r="E337" i="20"/>
  <c r="C336" i="20"/>
  <c r="D338" i="20" s="1"/>
  <c r="F338" i="20" s="1"/>
  <c r="C329" i="20"/>
  <c r="D327" i="20"/>
  <c r="D326" i="20"/>
  <c r="D325" i="20"/>
  <c r="D324" i="20"/>
  <c r="H319" i="20"/>
  <c r="E319" i="20"/>
  <c r="H318" i="20"/>
  <c r="E318" i="20"/>
  <c r="H317" i="20"/>
  <c r="E317" i="20"/>
  <c r="H312" i="20"/>
  <c r="E312" i="20"/>
  <c r="H311" i="20"/>
  <c r="E311" i="20"/>
  <c r="C310" i="20"/>
  <c r="D318" i="20" s="1"/>
  <c r="I318" i="20" s="1"/>
  <c r="C303" i="20"/>
  <c r="H301" i="20"/>
  <c r="E301" i="20"/>
  <c r="H300" i="20"/>
  <c r="E300" i="20"/>
  <c r="H299" i="20"/>
  <c r="E299" i="20"/>
  <c r="C298" i="20"/>
  <c r="D300" i="20" s="1"/>
  <c r="I300" i="20" s="1"/>
  <c r="C292" i="20"/>
  <c r="H291" i="20"/>
  <c r="E291" i="20"/>
  <c r="H290" i="20"/>
  <c r="E290" i="20"/>
  <c r="C289" i="20"/>
  <c r="D291" i="20" s="1"/>
  <c r="C282" i="20"/>
  <c r="H280" i="20"/>
  <c r="E280" i="20"/>
  <c r="D279" i="20"/>
  <c r="H278" i="20"/>
  <c r="E278" i="20"/>
  <c r="H277" i="20"/>
  <c r="E277" i="20"/>
  <c r="H276" i="20"/>
  <c r="E276" i="20"/>
  <c r="H275" i="20"/>
  <c r="E275" i="20"/>
  <c r="H274" i="20"/>
  <c r="E274" i="20"/>
  <c r="H272" i="20"/>
  <c r="E272" i="20"/>
  <c r="H271" i="20"/>
  <c r="E271" i="20"/>
  <c r="H269" i="20"/>
  <c r="E269" i="20"/>
  <c r="C268" i="20"/>
  <c r="D280" i="20" s="1"/>
  <c r="C260" i="20"/>
  <c r="H258" i="20"/>
  <c r="E258" i="20"/>
  <c r="H257" i="20"/>
  <c r="E257" i="20"/>
  <c r="D257" i="20"/>
  <c r="F257" i="20" s="1"/>
  <c r="H256" i="20"/>
  <c r="E256" i="20"/>
  <c r="H255" i="20"/>
  <c r="E255" i="20"/>
  <c r="D255" i="20"/>
  <c r="I255" i="20" s="1"/>
  <c r="C254" i="20"/>
  <c r="D258" i="20" s="1"/>
  <c r="C248" i="20"/>
  <c r="H247" i="20"/>
  <c r="E247" i="20"/>
  <c r="H246" i="20"/>
  <c r="E246" i="20"/>
  <c r="C245" i="20"/>
  <c r="D246" i="20" s="1"/>
  <c r="C238" i="20"/>
  <c r="H235" i="20"/>
  <c r="E235" i="20"/>
  <c r="H233" i="20"/>
  <c r="E233" i="20"/>
  <c r="H232" i="20"/>
  <c r="E232" i="20"/>
  <c r="H230" i="20"/>
  <c r="E230" i="20"/>
  <c r="H228" i="20"/>
  <c r="E228" i="20"/>
  <c r="D228" i="20"/>
  <c r="F228" i="20" s="1"/>
  <c r="H227" i="20"/>
  <c r="E227" i="20"/>
  <c r="H226" i="20"/>
  <c r="E226" i="20"/>
  <c r="C225" i="20"/>
  <c r="D227" i="20" s="1"/>
  <c r="I227" i="20" s="1"/>
  <c r="C218" i="20"/>
  <c r="H216" i="20"/>
  <c r="E216" i="20"/>
  <c r="H215" i="20"/>
  <c r="E215" i="20"/>
  <c r="H213" i="20"/>
  <c r="E213" i="20"/>
  <c r="C212" i="20"/>
  <c r="D216" i="20" s="1"/>
  <c r="I216" i="20" s="1"/>
  <c r="C206" i="20"/>
  <c r="H205" i="20"/>
  <c r="E205" i="20"/>
  <c r="H203" i="20"/>
  <c r="E203" i="20"/>
  <c r="F203" i="20" s="1"/>
  <c r="C202" i="20"/>
  <c r="D203" i="20" s="1"/>
  <c r="G195" i="20"/>
  <c r="C195" i="20"/>
  <c r="H191" i="20"/>
  <c r="E191" i="20"/>
  <c r="H186" i="20"/>
  <c r="E186" i="20"/>
  <c r="H185" i="20"/>
  <c r="E185" i="20"/>
  <c r="H184" i="20"/>
  <c r="E184" i="20"/>
  <c r="H183" i="20"/>
  <c r="E183" i="20"/>
  <c r="H181" i="20"/>
  <c r="E181" i="20"/>
  <c r="H180" i="20"/>
  <c r="E180" i="20"/>
  <c r="H179" i="20"/>
  <c r="E179" i="20"/>
  <c r="C178" i="20"/>
  <c r="D186" i="20" s="1"/>
  <c r="C171" i="20"/>
  <c r="H169" i="20"/>
  <c r="E169" i="20"/>
  <c r="H168" i="20"/>
  <c r="E168" i="20"/>
  <c r="H167" i="20"/>
  <c r="E167" i="20"/>
  <c r="D167" i="20"/>
  <c r="C166" i="20"/>
  <c r="D169" i="20" s="1"/>
  <c r="I169" i="20" s="1"/>
  <c r="C159" i="20"/>
  <c r="H158" i="20"/>
  <c r="E158" i="20"/>
  <c r="H157" i="20"/>
  <c r="E157" i="20"/>
  <c r="C156" i="20"/>
  <c r="D158" i="20" s="1"/>
  <c r="C149" i="20"/>
  <c r="H143" i="20"/>
  <c r="E143" i="20"/>
  <c r="H142" i="20"/>
  <c r="E142" i="20"/>
  <c r="H141" i="20"/>
  <c r="E141" i="20"/>
  <c r="F141" i="20" s="1"/>
  <c r="I138" i="20"/>
  <c r="H138" i="20"/>
  <c r="E138" i="20"/>
  <c r="F138" i="20" s="1"/>
  <c r="H137" i="20"/>
  <c r="E137" i="20"/>
  <c r="H136" i="20"/>
  <c r="E136" i="20"/>
  <c r="C135" i="20"/>
  <c r="D141" i="20" s="1"/>
  <c r="I141" i="20" s="1"/>
  <c r="H126" i="20"/>
  <c r="E126" i="20"/>
  <c r="E125" i="20"/>
  <c r="D125" i="20"/>
  <c r="F125" i="20" s="1"/>
  <c r="H124" i="20"/>
  <c r="E124" i="20"/>
  <c r="D124" i="20"/>
  <c r="F124" i="20" s="1"/>
  <c r="H123" i="20"/>
  <c r="E123" i="20"/>
  <c r="H122" i="20"/>
  <c r="E122" i="20"/>
  <c r="H121" i="20"/>
  <c r="E121" i="20"/>
  <c r="H120" i="20"/>
  <c r="E120" i="20"/>
  <c r="H119" i="20"/>
  <c r="E119" i="20"/>
  <c r="H117" i="20"/>
  <c r="E117" i="20"/>
  <c r="H116" i="20"/>
  <c r="E116" i="20"/>
  <c r="H115" i="20"/>
  <c r="E115" i="20"/>
  <c r="H114" i="20"/>
  <c r="E114" i="20"/>
  <c r="H112" i="20"/>
  <c r="E112" i="20"/>
  <c r="H110" i="20"/>
  <c r="E110" i="20"/>
  <c r="H109" i="20"/>
  <c r="E109" i="20"/>
  <c r="D109" i="20"/>
  <c r="F109" i="20" s="1"/>
  <c r="H108" i="20"/>
  <c r="E108" i="20"/>
  <c r="H106" i="20"/>
  <c r="E106" i="20"/>
  <c r="C105" i="20"/>
  <c r="C104" i="20"/>
  <c r="D119" i="20" s="1"/>
  <c r="F119" i="20" s="1"/>
  <c r="C103" i="20"/>
  <c r="H94" i="20"/>
  <c r="E94" i="20"/>
  <c r="D94" i="20"/>
  <c r="H93" i="20"/>
  <c r="F93" i="20"/>
  <c r="E93" i="20"/>
  <c r="D93" i="20"/>
  <c r="C85" i="20"/>
  <c r="H84" i="20"/>
  <c r="E84" i="20"/>
  <c r="H83" i="20"/>
  <c r="E83" i="20"/>
  <c r="H82" i="20"/>
  <c r="E82" i="20"/>
  <c r="H81" i="20"/>
  <c r="E81" i="20"/>
  <c r="C79" i="20"/>
  <c r="D83" i="20" s="1"/>
  <c r="I83" i="20" s="1"/>
  <c r="H77" i="20"/>
  <c r="E77" i="20"/>
  <c r="C76" i="20"/>
  <c r="D77" i="20" s="1"/>
  <c r="F77" i="20" s="1"/>
  <c r="H75" i="20"/>
  <c r="E75" i="20"/>
  <c r="H74" i="20"/>
  <c r="E74" i="20"/>
  <c r="H73" i="20"/>
  <c r="E73" i="20"/>
  <c r="C72" i="20"/>
  <c r="D73" i="20" s="1"/>
  <c r="H70" i="20"/>
  <c r="E70" i="20"/>
  <c r="H69" i="20"/>
  <c r="E69" i="20"/>
  <c r="C68" i="20"/>
  <c r="D70" i="20" s="1"/>
  <c r="C64" i="20"/>
  <c r="H58" i="20"/>
  <c r="E58" i="20"/>
  <c r="D58" i="20"/>
  <c r="I58" i="20" s="1"/>
  <c r="H57" i="20"/>
  <c r="H56" i="20"/>
  <c r="E56" i="20"/>
  <c r="H55" i="20"/>
  <c r="E55" i="20"/>
  <c r="C54" i="20"/>
  <c r="D55" i="20" s="1"/>
  <c r="H53" i="20"/>
  <c r="E53" i="20"/>
  <c r="D53" i="20"/>
  <c r="H49" i="20"/>
  <c r="E49" i="20"/>
  <c r="H48" i="20"/>
  <c r="E48" i="20"/>
  <c r="H47" i="20"/>
  <c r="E47" i="20"/>
  <c r="C44" i="20"/>
  <c r="H43" i="20"/>
  <c r="E43" i="20"/>
  <c r="H42" i="20"/>
  <c r="E42" i="20"/>
  <c r="H41" i="20"/>
  <c r="E41" i="20"/>
  <c r="H40" i="20"/>
  <c r="E40" i="20"/>
  <c r="C39" i="20"/>
  <c r="D43" i="20" s="1"/>
  <c r="H38" i="20"/>
  <c r="E38" i="20"/>
  <c r="D38" i="20"/>
  <c r="H37" i="20"/>
  <c r="E37" i="20"/>
  <c r="H36" i="20"/>
  <c r="E36" i="20"/>
  <c r="D36" i="20"/>
  <c r="F36" i="20" s="1"/>
  <c r="H35" i="20"/>
  <c r="E35" i="20"/>
  <c r="H34" i="20"/>
  <c r="E34" i="20"/>
  <c r="H33" i="20"/>
  <c r="E33" i="20"/>
  <c r="H32" i="20"/>
  <c r="E32" i="20"/>
  <c r="D32" i="20"/>
  <c r="H30" i="20"/>
  <c r="D30" i="20"/>
  <c r="C29" i="20"/>
  <c r="D35" i="20" s="1"/>
  <c r="H26" i="20"/>
  <c r="E26" i="20"/>
  <c r="H25" i="20"/>
  <c r="E25" i="20"/>
  <c r="H24" i="20"/>
  <c r="E24" i="20"/>
  <c r="C21" i="20"/>
  <c r="D25" i="20" s="1"/>
  <c r="H13" i="20"/>
  <c r="E13" i="20"/>
  <c r="C11" i="20"/>
  <c r="C9" i="20" s="1"/>
  <c r="D337" i="20" l="1"/>
  <c r="D348" i="20"/>
  <c r="D361" i="20"/>
  <c r="D365" i="20"/>
  <c r="D312" i="20"/>
  <c r="F312" i="20" s="1"/>
  <c r="F30" i="20"/>
  <c r="D13" i="20"/>
  <c r="F13" i="20" s="1"/>
  <c r="D24" i="20"/>
  <c r="I38" i="20"/>
  <c r="I73" i="20"/>
  <c r="D81" i="20"/>
  <c r="F81" i="20" s="1"/>
  <c r="D185" i="20"/>
  <c r="F255" i="20"/>
  <c r="D277" i="20"/>
  <c r="F277" i="20" s="1"/>
  <c r="D311" i="20"/>
  <c r="I311" i="20" s="1"/>
  <c r="D40" i="20"/>
  <c r="D74" i="20"/>
  <c r="F74" i="20" s="1"/>
  <c r="D75" i="20"/>
  <c r="D84" i="20"/>
  <c r="I84" i="20" s="1"/>
  <c r="I93" i="20"/>
  <c r="D108" i="20"/>
  <c r="F108" i="20" s="1"/>
  <c r="D112" i="20"/>
  <c r="F112" i="20" s="1"/>
  <c r="D116" i="20"/>
  <c r="I116" i="20" s="1"/>
  <c r="D137" i="20"/>
  <c r="F137" i="20" s="1"/>
  <c r="D179" i="20"/>
  <c r="F179" i="20" s="1"/>
  <c r="D180" i="20"/>
  <c r="D184" i="20"/>
  <c r="I184" i="20" s="1"/>
  <c r="F185" i="20"/>
  <c r="D191" i="20"/>
  <c r="I191" i="20" s="1"/>
  <c r="F246" i="20"/>
  <c r="F311" i="20"/>
  <c r="D26" i="20"/>
  <c r="D34" i="20"/>
  <c r="F38" i="20"/>
  <c r="D42" i="20"/>
  <c r="F75" i="20"/>
  <c r="F94" i="20"/>
  <c r="D115" i="20"/>
  <c r="F115" i="20" s="1"/>
  <c r="D136" i="20"/>
  <c r="D142" i="20"/>
  <c r="F142" i="20" s="1"/>
  <c r="D168" i="20"/>
  <c r="F168" i="20" s="1"/>
  <c r="D183" i="20"/>
  <c r="F183" i="20" s="1"/>
  <c r="F191" i="20"/>
  <c r="I203" i="20"/>
  <c r="D213" i="20"/>
  <c r="D215" i="20"/>
  <c r="I215" i="20" s="1"/>
  <c r="D230" i="20"/>
  <c r="F230" i="20" s="1"/>
  <c r="I258" i="20"/>
  <c r="D256" i="20"/>
  <c r="F256" i="20" s="1"/>
  <c r="D317" i="20"/>
  <c r="F317" i="20" s="1"/>
  <c r="D393" i="20"/>
  <c r="F34" i="20"/>
  <c r="I40" i="20"/>
  <c r="I75" i="20"/>
  <c r="D82" i="20"/>
  <c r="F82" i="20" s="1"/>
  <c r="F83" i="20"/>
  <c r="D171" i="20"/>
  <c r="D319" i="20"/>
  <c r="F319" i="20" s="1"/>
  <c r="F40" i="20"/>
  <c r="I185" i="20"/>
  <c r="F180" i="20"/>
  <c r="F73" i="20"/>
  <c r="F58" i="20"/>
  <c r="I34" i="20"/>
  <c r="F32" i="20"/>
  <c r="H31" i="20"/>
  <c r="I30" i="20"/>
  <c r="I158" i="20"/>
  <c r="F158" i="20"/>
  <c r="I32" i="20"/>
  <c r="I36" i="20"/>
  <c r="D49" i="20"/>
  <c r="D48" i="20"/>
  <c r="D47" i="20"/>
  <c r="F53" i="20"/>
  <c r="I53" i="20"/>
  <c r="F70" i="20"/>
  <c r="I70" i="20"/>
  <c r="I25" i="20"/>
  <c r="F25" i="20"/>
  <c r="I55" i="20"/>
  <c r="F55" i="20"/>
  <c r="F280" i="20"/>
  <c r="I280" i="20"/>
  <c r="I13" i="20"/>
  <c r="I35" i="20"/>
  <c r="F35" i="20"/>
  <c r="D56" i="20"/>
  <c r="I291" i="20"/>
  <c r="F291" i="20"/>
  <c r="I43" i="20"/>
  <c r="F43" i="20"/>
  <c r="I109" i="20"/>
  <c r="I112" i="20"/>
  <c r="I137" i="20"/>
  <c r="I142" i="20"/>
  <c r="I180" i="20"/>
  <c r="I183" i="20"/>
  <c r="I317" i="20"/>
  <c r="I319" i="20"/>
  <c r="D33" i="20"/>
  <c r="D37" i="20"/>
  <c r="D41" i="20"/>
  <c r="D69" i="20"/>
  <c r="I74" i="20"/>
  <c r="D122" i="20"/>
  <c r="D117" i="20"/>
  <c r="D110" i="20"/>
  <c r="D113" i="20"/>
  <c r="D120" i="20"/>
  <c r="D121" i="20"/>
  <c r="D123" i="20"/>
  <c r="I124" i="20"/>
  <c r="D126" i="20"/>
  <c r="D143" i="20"/>
  <c r="I167" i="20"/>
  <c r="I168" i="20"/>
  <c r="I186" i="20"/>
  <c r="F216" i="20"/>
  <c r="D218" i="20"/>
  <c r="F227" i="20"/>
  <c r="D260" i="20"/>
  <c r="F300" i="20"/>
  <c r="D329" i="20"/>
  <c r="I338" i="20"/>
  <c r="I349" i="20"/>
  <c r="F349" i="20"/>
  <c r="D411" i="20"/>
  <c r="D404" i="20"/>
  <c r="D406" i="20"/>
  <c r="D412" i="20"/>
  <c r="D405" i="20"/>
  <c r="D409" i="20"/>
  <c r="I425" i="20"/>
  <c r="F425" i="20"/>
  <c r="I119" i="20"/>
  <c r="D149" i="20"/>
  <c r="F136" i="20"/>
  <c r="I257" i="20"/>
  <c r="F84" i="20"/>
  <c r="I179" i="20"/>
  <c r="D205" i="20"/>
  <c r="D232" i="20"/>
  <c r="F258" i="20"/>
  <c r="D278" i="20"/>
  <c r="D275" i="20"/>
  <c r="D269" i="20"/>
  <c r="D271" i="20"/>
  <c r="F318" i="20"/>
  <c r="F384" i="20"/>
  <c r="I384" i="20"/>
  <c r="F435" i="20"/>
  <c r="I435" i="20"/>
  <c r="F169" i="20"/>
  <c r="D31" i="20"/>
  <c r="I77" i="20"/>
  <c r="I81" i="20"/>
  <c r="I94" i="20"/>
  <c r="D106" i="20"/>
  <c r="I108" i="20"/>
  <c r="D114" i="20"/>
  <c r="I115" i="20"/>
  <c r="I136" i="20"/>
  <c r="D157" i="20"/>
  <c r="F167" i="20"/>
  <c r="F186" i="20"/>
  <c r="F215" i="20"/>
  <c r="D226" i="20"/>
  <c r="I228" i="20"/>
  <c r="D233" i="20"/>
  <c r="D235" i="20"/>
  <c r="I246" i="20"/>
  <c r="D247" i="20"/>
  <c r="I256" i="20"/>
  <c r="D272" i="20"/>
  <c r="D274" i="20"/>
  <c r="D276" i="20"/>
  <c r="I277" i="20"/>
  <c r="D290" i="20"/>
  <c r="D299" i="20"/>
  <c r="D301" i="20"/>
  <c r="I312" i="20"/>
  <c r="F337" i="20"/>
  <c r="I367" i="20"/>
  <c r="F367" i="20"/>
  <c r="D438" i="20"/>
  <c r="D181" i="20"/>
  <c r="D195" i="20" s="1"/>
  <c r="D346" i="20"/>
  <c r="D359" i="20"/>
  <c r="D383" i="20"/>
  <c r="I337" i="20"/>
  <c r="D339" i="20"/>
  <c r="D347" i="20"/>
  <c r="D360" i="20"/>
  <c r="I392" i="20"/>
  <c r="F394" i="20"/>
  <c r="D396" i="20"/>
  <c r="F433" i="20"/>
  <c r="I436" i="20"/>
  <c r="D363" i="20"/>
  <c r="I433" i="20"/>
  <c r="C11" i="19"/>
  <c r="C171" i="19"/>
  <c r="C159" i="19"/>
  <c r="G75" i="19"/>
  <c r="J75" i="19" s="1"/>
  <c r="G74" i="19"/>
  <c r="J74" i="19" s="1"/>
  <c r="G73" i="19"/>
  <c r="J73" i="19" s="1"/>
  <c r="C416" i="19"/>
  <c r="C403" i="19"/>
  <c r="C432" i="19"/>
  <c r="C438" i="19"/>
  <c r="C426" i="19"/>
  <c r="C391" i="19"/>
  <c r="C396" i="19"/>
  <c r="C375" i="19"/>
  <c r="C385" i="19"/>
  <c r="C358" i="19"/>
  <c r="C345" i="19"/>
  <c r="C351" i="19"/>
  <c r="C339" i="19"/>
  <c r="C310" i="19"/>
  <c r="C329" i="19"/>
  <c r="C298" i="19"/>
  <c r="C303" i="19"/>
  <c r="F393" i="20" l="1"/>
  <c r="I393" i="20"/>
  <c r="I42" i="20"/>
  <c r="F42" i="20"/>
  <c r="F365" i="20"/>
  <c r="I365" i="20"/>
  <c r="F184" i="20"/>
  <c r="F116" i="20"/>
  <c r="F361" i="20"/>
  <c r="I361" i="20"/>
  <c r="I230" i="20"/>
  <c r="I213" i="20"/>
  <c r="F213" i="20"/>
  <c r="F348" i="20"/>
  <c r="I348" i="20"/>
  <c r="I82" i="20"/>
  <c r="F26" i="20"/>
  <c r="I26" i="20"/>
  <c r="I24" i="20"/>
  <c r="F24" i="20"/>
  <c r="D351" i="20"/>
  <c r="I346" i="20"/>
  <c r="F346" i="20"/>
  <c r="I274" i="20"/>
  <c r="F274" i="20"/>
  <c r="I181" i="20"/>
  <c r="F181" i="20"/>
  <c r="F290" i="20"/>
  <c r="I290" i="20"/>
  <c r="D292" i="20"/>
  <c r="F272" i="20"/>
  <c r="I272" i="20"/>
  <c r="I235" i="20"/>
  <c r="F235" i="20"/>
  <c r="I106" i="20"/>
  <c r="F106" i="20"/>
  <c r="I278" i="20"/>
  <c r="F278" i="20"/>
  <c r="I412" i="20"/>
  <c r="F412" i="20"/>
  <c r="F123" i="20"/>
  <c r="I123" i="20"/>
  <c r="I110" i="20"/>
  <c r="F110" i="20"/>
  <c r="F69" i="20"/>
  <c r="I69" i="20"/>
  <c r="F47" i="20"/>
  <c r="I47" i="20"/>
  <c r="F233" i="20"/>
  <c r="I233" i="20"/>
  <c r="I31" i="20"/>
  <c r="F31" i="20"/>
  <c r="I271" i="20"/>
  <c r="F271" i="20"/>
  <c r="F406" i="20"/>
  <c r="I406" i="20"/>
  <c r="F143" i="20"/>
  <c r="I143" i="20"/>
  <c r="F121" i="20"/>
  <c r="I121" i="20"/>
  <c r="I117" i="20"/>
  <c r="F117" i="20"/>
  <c r="F41" i="20"/>
  <c r="I41" i="20"/>
  <c r="D385" i="20"/>
  <c r="I383" i="20"/>
  <c r="F383" i="20"/>
  <c r="F347" i="20"/>
  <c r="I347" i="20"/>
  <c r="I359" i="20"/>
  <c r="D375" i="20"/>
  <c r="F359" i="20"/>
  <c r="I301" i="20"/>
  <c r="F301" i="20"/>
  <c r="I276" i="20"/>
  <c r="F276" i="20"/>
  <c r="I247" i="20"/>
  <c r="D248" i="20"/>
  <c r="F247" i="20"/>
  <c r="I114" i="20"/>
  <c r="F114" i="20"/>
  <c r="D282" i="20"/>
  <c r="I269" i="20"/>
  <c r="F269" i="20"/>
  <c r="I232" i="20"/>
  <c r="F232" i="20"/>
  <c r="F409" i="20"/>
  <c r="I409" i="20"/>
  <c r="D416" i="20"/>
  <c r="I404" i="20"/>
  <c r="F404" i="20"/>
  <c r="F126" i="20"/>
  <c r="I126" i="20"/>
  <c r="F120" i="20"/>
  <c r="I120" i="20"/>
  <c r="I122" i="20"/>
  <c r="F122" i="20"/>
  <c r="F37" i="20"/>
  <c r="I37" i="20"/>
  <c r="F56" i="20"/>
  <c r="I56" i="20"/>
  <c r="I48" i="20"/>
  <c r="F48" i="20"/>
  <c r="F360" i="20"/>
  <c r="I360" i="20"/>
  <c r="I363" i="20"/>
  <c r="F363" i="20"/>
  <c r="I299" i="20"/>
  <c r="D303" i="20"/>
  <c r="F299" i="20"/>
  <c r="I226" i="20"/>
  <c r="D238" i="20"/>
  <c r="F226" i="20"/>
  <c r="F157" i="20"/>
  <c r="D159" i="20"/>
  <c r="I157" i="20"/>
  <c r="I275" i="20"/>
  <c r="F275" i="20"/>
  <c r="D206" i="20"/>
  <c r="I205" i="20"/>
  <c r="F205" i="20"/>
  <c r="I405" i="20"/>
  <c r="F405" i="20"/>
  <c r="I411" i="20"/>
  <c r="F411" i="20"/>
  <c r="I113" i="20"/>
  <c r="F113" i="20"/>
  <c r="F33" i="20"/>
  <c r="I33" i="20"/>
  <c r="I49" i="20"/>
  <c r="F49" i="20"/>
  <c r="C292" i="19"/>
  <c r="C282" i="19"/>
  <c r="C254" i="19"/>
  <c r="C260" i="19"/>
  <c r="C248" i="19"/>
  <c r="C238" i="19"/>
  <c r="C212" i="19"/>
  <c r="C218" i="19"/>
  <c r="C206" i="19"/>
  <c r="C195" i="19"/>
  <c r="C149" i="19"/>
  <c r="C135" i="19"/>
  <c r="C166" i="19"/>
  <c r="C105" i="19"/>
  <c r="C104" i="19" s="1"/>
  <c r="C103" i="19" s="1"/>
  <c r="C85" i="19" l="1"/>
  <c r="C21" i="19"/>
  <c r="C79" i="19"/>
  <c r="C64" i="19"/>
  <c r="J64" i="19" s="1"/>
  <c r="C44" i="19"/>
  <c r="H436" i="19" l="1"/>
  <c r="E435" i="19"/>
  <c r="D436" i="19"/>
  <c r="E425" i="19"/>
  <c r="D424" i="19"/>
  <c r="C423" i="19"/>
  <c r="D413" i="19"/>
  <c r="E412" i="19"/>
  <c r="E411" i="19"/>
  <c r="E409" i="19"/>
  <c r="E406" i="19"/>
  <c r="E405" i="19"/>
  <c r="H404" i="19"/>
  <c r="D412" i="19"/>
  <c r="E394" i="19"/>
  <c r="E393" i="19"/>
  <c r="E392" i="19"/>
  <c r="D393" i="19"/>
  <c r="H384" i="19"/>
  <c r="C382" i="19"/>
  <c r="D383" i="19" s="1"/>
  <c r="D373" i="19"/>
  <c r="H367" i="19"/>
  <c r="H365" i="19"/>
  <c r="E364" i="19"/>
  <c r="E363" i="19"/>
  <c r="E361" i="19"/>
  <c r="H360" i="19"/>
  <c r="E360" i="19"/>
  <c r="E359" i="19"/>
  <c r="D367" i="19"/>
  <c r="H349" i="19"/>
  <c r="E348" i="19"/>
  <c r="E347" i="19"/>
  <c r="E346" i="19"/>
  <c r="D349" i="19"/>
  <c r="H338" i="19"/>
  <c r="E337" i="19"/>
  <c r="C336" i="19"/>
  <c r="D338" i="19" s="1"/>
  <c r="D327" i="19"/>
  <c r="D326" i="19"/>
  <c r="D325" i="19"/>
  <c r="D324" i="19"/>
  <c r="E319" i="19"/>
  <c r="H318" i="19"/>
  <c r="E317" i="19"/>
  <c r="H312" i="19"/>
  <c r="H311" i="19"/>
  <c r="D312" i="19"/>
  <c r="H301" i="19"/>
  <c r="H299" i="19"/>
  <c r="D301" i="19"/>
  <c r="E291" i="19"/>
  <c r="C289" i="19"/>
  <c r="D290" i="19" s="1"/>
  <c r="H280" i="19"/>
  <c r="E280" i="19"/>
  <c r="D279" i="19"/>
  <c r="H277" i="19"/>
  <c r="H276" i="19"/>
  <c r="E276" i="19"/>
  <c r="E275" i="19"/>
  <c r="E274" i="19"/>
  <c r="E272" i="19"/>
  <c r="E271" i="19"/>
  <c r="E269" i="19"/>
  <c r="C268" i="19"/>
  <c r="D271" i="19" s="1"/>
  <c r="H258" i="19"/>
  <c r="E257" i="19"/>
  <c r="E256" i="19"/>
  <c r="D258" i="19"/>
  <c r="H247" i="19"/>
  <c r="E246" i="19"/>
  <c r="C245" i="19"/>
  <c r="D247" i="19" s="1"/>
  <c r="H233" i="19"/>
  <c r="H232" i="19"/>
  <c r="H230" i="19"/>
  <c r="H228" i="19"/>
  <c r="H227" i="19"/>
  <c r="H226" i="19"/>
  <c r="C225" i="19"/>
  <c r="E216" i="19"/>
  <c r="E215" i="19"/>
  <c r="D215" i="19"/>
  <c r="H203" i="19"/>
  <c r="C202" i="19"/>
  <c r="D203" i="19" s="1"/>
  <c r="H191" i="19"/>
  <c r="H185" i="19"/>
  <c r="H183" i="19"/>
  <c r="H180" i="19"/>
  <c r="E179" i="19"/>
  <c r="C178" i="19"/>
  <c r="D191" i="19" s="1"/>
  <c r="E169" i="19"/>
  <c r="E168" i="19"/>
  <c r="E158" i="19"/>
  <c r="C156" i="19"/>
  <c r="D158" i="19" s="1"/>
  <c r="E143" i="19"/>
  <c r="E142" i="19"/>
  <c r="E141" i="19"/>
  <c r="E138" i="19"/>
  <c r="F138" i="19" s="1"/>
  <c r="E136" i="19"/>
  <c r="E126" i="19"/>
  <c r="E125" i="19"/>
  <c r="D125" i="19"/>
  <c r="H124" i="19"/>
  <c r="H123" i="19"/>
  <c r="E123" i="19"/>
  <c r="H122" i="19"/>
  <c r="E122" i="19"/>
  <c r="H121" i="19"/>
  <c r="E121" i="19"/>
  <c r="H120" i="19"/>
  <c r="H117" i="19"/>
  <c r="E116" i="19"/>
  <c r="H115" i="19"/>
  <c r="E115" i="19"/>
  <c r="E112" i="19"/>
  <c r="E110" i="19"/>
  <c r="E109" i="19"/>
  <c r="E108" i="19"/>
  <c r="H106" i="19"/>
  <c r="D124" i="19"/>
  <c r="D109" i="19"/>
  <c r="H94" i="19"/>
  <c r="E94" i="19"/>
  <c r="D94" i="19"/>
  <c r="H93" i="19"/>
  <c r="E93" i="19"/>
  <c r="D93" i="19"/>
  <c r="E84" i="19"/>
  <c r="E83" i="19"/>
  <c r="E82" i="19"/>
  <c r="H81" i="19"/>
  <c r="E81" i="19"/>
  <c r="D81" i="19"/>
  <c r="H77" i="19"/>
  <c r="C76" i="19"/>
  <c r="H75" i="19"/>
  <c r="H73" i="19"/>
  <c r="E73" i="19"/>
  <c r="C72" i="19"/>
  <c r="D75" i="19" s="1"/>
  <c r="H70" i="19"/>
  <c r="E70" i="19"/>
  <c r="H69" i="19"/>
  <c r="E69" i="19"/>
  <c r="C68" i="19"/>
  <c r="D70" i="19" s="1"/>
  <c r="E58" i="19"/>
  <c r="D58" i="19"/>
  <c r="H57" i="19"/>
  <c r="H55" i="19"/>
  <c r="E55" i="19"/>
  <c r="C54" i="19"/>
  <c r="D56" i="19" s="1"/>
  <c r="E53" i="19"/>
  <c r="D53" i="19"/>
  <c r="H49" i="19"/>
  <c r="E49" i="19"/>
  <c r="H48" i="19"/>
  <c r="E48" i="19"/>
  <c r="H47" i="19"/>
  <c r="E47" i="19"/>
  <c r="D49" i="19"/>
  <c r="H43" i="19"/>
  <c r="E43" i="19"/>
  <c r="H42" i="19"/>
  <c r="E42" i="19"/>
  <c r="H41" i="19"/>
  <c r="E41" i="19"/>
  <c r="H40" i="19"/>
  <c r="E40" i="19"/>
  <c r="C39" i="19"/>
  <c r="H38" i="19"/>
  <c r="E38" i="19"/>
  <c r="H37" i="19"/>
  <c r="E37" i="19"/>
  <c r="H36" i="19"/>
  <c r="E36" i="19"/>
  <c r="H35" i="19"/>
  <c r="E35" i="19"/>
  <c r="H34" i="19"/>
  <c r="E34" i="19"/>
  <c r="H33" i="19"/>
  <c r="E33" i="19"/>
  <c r="H32" i="19"/>
  <c r="E32" i="19"/>
  <c r="H31" i="19"/>
  <c r="E31" i="19"/>
  <c r="H30" i="19"/>
  <c r="C29" i="19"/>
  <c r="D37" i="19" s="1"/>
  <c r="H26" i="19"/>
  <c r="H25" i="19"/>
  <c r="E25" i="19"/>
  <c r="H24" i="19"/>
  <c r="E24" i="19"/>
  <c r="D25" i="19"/>
  <c r="H13" i="19"/>
  <c r="E13" i="19"/>
  <c r="D13" i="19"/>
  <c r="C10" i="19" l="1"/>
  <c r="D433" i="19"/>
  <c r="F93" i="19"/>
  <c r="H256" i="19"/>
  <c r="I301" i="19"/>
  <c r="E301" i="19"/>
  <c r="F301" i="19" s="1"/>
  <c r="H83" i="19"/>
  <c r="D157" i="19"/>
  <c r="D159" i="19" s="1"/>
  <c r="H275" i="19"/>
  <c r="H143" i="19"/>
  <c r="D179" i="19"/>
  <c r="F179" i="19" s="1"/>
  <c r="F158" i="19"/>
  <c r="E26" i="19"/>
  <c r="E30" i="19"/>
  <c r="H271" i="19"/>
  <c r="I271" i="19" s="1"/>
  <c r="H346" i="19"/>
  <c r="H393" i="19"/>
  <c r="I393" i="19" s="1"/>
  <c r="E117" i="19"/>
  <c r="E120" i="19"/>
  <c r="H272" i="19"/>
  <c r="D77" i="19"/>
  <c r="I77" i="19" s="1"/>
  <c r="H157" i="19"/>
  <c r="H158" i="19"/>
  <c r="I158" i="19" s="1"/>
  <c r="H179" i="19"/>
  <c r="H291" i="19"/>
  <c r="H317" i="19"/>
  <c r="H364" i="19"/>
  <c r="D73" i="19"/>
  <c r="I73" i="19" s="1"/>
  <c r="E233" i="19"/>
  <c r="D346" i="19"/>
  <c r="F346" i="19" s="1"/>
  <c r="H412" i="19"/>
  <c r="I412" i="19" s="1"/>
  <c r="H435" i="19"/>
  <c r="E180" i="19"/>
  <c r="F70" i="19"/>
  <c r="H257" i="19"/>
  <c r="D435" i="19"/>
  <c r="I435" i="19" s="1"/>
  <c r="F49" i="19"/>
  <c r="E77" i="19"/>
  <c r="H84" i="19"/>
  <c r="E124" i="19"/>
  <c r="F124" i="19" s="1"/>
  <c r="H138" i="19"/>
  <c r="I138" i="19" s="1"/>
  <c r="H142" i="19"/>
  <c r="E185" i="19"/>
  <c r="H213" i="19"/>
  <c r="H216" i="19"/>
  <c r="E227" i="19"/>
  <c r="E258" i="19"/>
  <c r="F258" i="19" s="1"/>
  <c r="H274" i="19"/>
  <c r="D311" i="19"/>
  <c r="I311" i="19" s="1"/>
  <c r="E318" i="19"/>
  <c r="H347" i="19"/>
  <c r="E404" i="19"/>
  <c r="D143" i="19"/>
  <c r="F143" i="19" s="1"/>
  <c r="I258" i="19"/>
  <c r="D317" i="19"/>
  <c r="D384" i="19"/>
  <c r="I384" i="19" s="1"/>
  <c r="H82" i="19"/>
  <c r="D84" i="19"/>
  <c r="F84" i="19" s="1"/>
  <c r="H108" i="19"/>
  <c r="H112" i="19"/>
  <c r="H141" i="19"/>
  <c r="I203" i="19"/>
  <c r="D213" i="19"/>
  <c r="D216" i="19"/>
  <c r="F216" i="19" s="1"/>
  <c r="D291" i="19"/>
  <c r="F271" i="19"/>
  <c r="F53" i="19"/>
  <c r="H53" i="19"/>
  <c r="I53" i="19" s="1"/>
  <c r="H58" i="19"/>
  <c r="I58" i="19" s="1"/>
  <c r="I70" i="19"/>
  <c r="E106" i="19"/>
  <c r="H110" i="19"/>
  <c r="H116" i="19"/>
  <c r="D122" i="19"/>
  <c r="F122" i="19" s="1"/>
  <c r="F125" i="19"/>
  <c r="H126" i="19"/>
  <c r="H168" i="19"/>
  <c r="H169" i="19"/>
  <c r="E191" i="19"/>
  <c r="F191" i="19" s="1"/>
  <c r="G195" i="19"/>
  <c r="E213" i="19"/>
  <c r="E230" i="19"/>
  <c r="D246" i="19"/>
  <c r="D248" i="19" s="1"/>
  <c r="H255" i="19"/>
  <c r="D272" i="19"/>
  <c r="F272" i="19" s="1"/>
  <c r="D274" i="19"/>
  <c r="D275" i="19"/>
  <c r="F275" i="19" s="1"/>
  <c r="E299" i="19"/>
  <c r="E311" i="19"/>
  <c r="E312" i="19"/>
  <c r="F312" i="19" s="1"/>
  <c r="H319" i="19"/>
  <c r="E338" i="19"/>
  <c r="F338" i="19" s="1"/>
  <c r="D347" i="19"/>
  <c r="F347" i="19" s="1"/>
  <c r="D348" i="19"/>
  <c r="F348" i="19" s="1"/>
  <c r="E349" i="19"/>
  <c r="F349" i="19" s="1"/>
  <c r="H363" i="19"/>
  <c r="E365" i="19"/>
  <c r="E367" i="19"/>
  <c r="F367" i="19" s="1"/>
  <c r="E384" i="19"/>
  <c r="D404" i="19"/>
  <c r="I404" i="19" s="1"/>
  <c r="H406" i="19"/>
  <c r="H433" i="19"/>
  <c r="E436" i="19"/>
  <c r="F436" i="19" s="1"/>
  <c r="I49" i="19"/>
  <c r="D411" i="19"/>
  <c r="F411" i="19" s="1"/>
  <c r="D47" i="19"/>
  <c r="D48" i="19"/>
  <c r="I48" i="19" s="1"/>
  <c r="D55" i="19"/>
  <c r="F55" i="19" s="1"/>
  <c r="D82" i="19"/>
  <c r="F82" i="19" s="1"/>
  <c r="H109" i="19"/>
  <c r="I109" i="19" s="1"/>
  <c r="D112" i="19"/>
  <c r="F112" i="19" s="1"/>
  <c r="H136" i="19"/>
  <c r="D141" i="19"/>
  <c r="F141" i="19" s="1"/>
  <c r="I191" i="19"/>
  <c r="D256" i="19"/>
  <c r="D406" i="19"/>
  <c r="F406" i="19" s="1"/>
  <c r="D69" i="19"/>
  <c r="I69" i="19" s="1"/>
  <c r="E75" i="19"/>
  <c r="F75" i="19" s="1"/>
  <c r="F94" i="19"/>
  <c r="D136" i="19"/>
  <c r="F136" i="19" s="1"/>
  <c r="E183" i="19"/>
  <c r="E203" i="19"/>
  <c r="F203" i="19" s="1"/>
  <c r="H215" i="19"/>
  <c r="I215" i="19" s="1"/>
  <c r="H246" i="19"/>
  <c r="D255" i="19"/>
  <c r="D257" i="19"/>
  <c r="F257" i="19" s="1"/>
  <c r="E277" i="19"/>
  <c r="H290" i="19"/>
  <c r="I290" i="19" s="1"/>
  <c r="D318" i="19"/>
  <c r="I318" i="19" s="1"/>
  <c r="D319" i="19"/>
  <c r="H348" i="19"/>
  <c r="E433" i="19"/>
  <c r="D31" i="19"/>
  <c r="F31" i="19" s="1"/>
  <c r="D35" i="19"/>
  <c r="D38" i="19"/>
  <c r="I38" i="19" s="1"/>
  <c r="D33" i="19"/>
  <c r="D34" i="19"/>
  <c r="I34" i="19" s="1"/>
  <c r="D30" i="19"/>
  <c r="I13" i="19"/>
  <c r="F13" i="19"/>
  <c r="D24" i="19"/>
  <c r="F24" i="19" s="1"/>
  <c r="D26" i="19"/>
  <c r="F109" i="19"/>
  <c r="F25" i="19"/>
  <c r="I25" i="19"/>
  <c r="I37" i="19"/>
  <c r="F37" i="19"/>
  <c r="E114" i="19"/>
  <c r="H114" i="19"/>
  <c r="I367" i="19"/>
  <c r="G95" i="19"/>
  <c r="D32" i="19"/>
  <c r="D36" i="19"/>
  <c r="D41" i="19"/>
  <c r="D42" i="19"/>
  <c r="D43" i="19"/>
  <c r="I81" i="19"/>
  <c r="F81" i="19"/>
  <c r="D168" i="19"/>
  <c r="D169" i="19"/>
  <c r="D167" i="19"/>
  <c r="E205" i="19"/>
  <c r="H205" i="19"/>
  <c r="F215" i="19"/>
  <c r="D40" i="19"/>
  <c r="F58" i="19"/>
  <c r="I75" i="19"/>
  <c r="I93" i="19"/>
  <c r="E119" i="19"/>
  <c r="H119" i="19"/>
  <c r="E137" i="19"/>
  <c r="H137" i="19"/>
  <c r="E167" i="19"/>
  <c r="H167" i="19"/>
  <c r="E181" i="19"/>
  <c r="H181" i="19"/>
  <c r="E184" i="19"/>
  <c r="H184" i="19"/>
  <c r="E186" i="19"/>
  <c r="H186" i="19"/>
  <c r="H235" i="19"/>
  <c r="E235" i="19"/>
  <c r="E56" i="19"/>
  <c r="F56" i="19" s="1"/>
  <c r="H56" i="19"/>
  <c r="I56" i="19" s="1"/>
  <c r="E74" i="19"/>
  <c r="H74" i="19"/>
  <c r="D120" i="19"/>
  <c r="D115" i="19"/>
  <c r="D126" i="19"/>
  <c r="D121" i="19"/>
  <c r="D117" i="19"/>
  <c r="D113" i="19"/>
  <c r="D110" i="19"/>
  <c r="D108" i="19"/>
  <c r="D106" i="19"/>
  <c r="D123" i="19"/>
  <c r="D119" i="19"/>
  <c r="D114" i="19"/>
  <c r="D116" i="19"/>
  <c r="I124" i="19"/>
  <c r="G128" i="19"/>
  <c r="E278" i="19"/>
  <c r="H278" i="19"/>
  <c r="F393" i="19"/>
  <c r="F412" i="19"/>
  <c r="D74" i="19"/>
  <c r="I94" i="19"/>
  <c r="D137" i="19"/>
  <c r="E157" i="19"/>
  <c r="D181" i="19"/>
  <c r="D184" i="19"/>
  <c r="D186" i="19"/>
  <c r="D205" i="19"/>
  <c r="D206" i="19" s="1"/>
  <c r="E226" i="19"/>
  <c r="E228" i="19"/>
  <c r="E232" i="19"/>
  <c r="E247" i="19"/>
  <c r="F247" i="19" s="1"/>
  <c r="D280" i="19"/>
  <c r="D278" i="19"/>
  <c r="D277" i="19"/>
  <c r="D269" i="19"/>
  <c r="D276" i="19"/>
  <c r="I338" i="19"/>
  <c r="I349" i="19"/>
  <c r="I436" i="19"/>
  <c r="D83" i="19"/>
  <c r="D142" i="19"/>
  <c r="D233" i="19"/>
  <c r="D228" i="19"/>
  <c r="D235" i="19"/>
  <c r="D232" i="19"/>
  <c r="D230" i="19"/>
  <c r="D180" i="19"/>
  <c r="D183" i="19"/>
  <c r="D185" i="19"/>
  <c r="D226" i="19"/>
  <c r="D227" i="19"/>
  <c r="I247" i="19"/>
  <c r="H269" i="19"/>
  <c r="E300" i="19"/>
  <c r="H300" i="19"/>
  <c r="I312" i="19"/>
  <c r="E290" i="19"/>
  <c r="F290" i="19" s="1"/>
  <c r="D300" i="19"/>
  <c r="D359" i="19"/>
  <c r="H359" i="19"/>
  <c r="D361" i="19"/>
  <c r="H361" i="19"/>
  <c r="D365" i="19"/>
  <c r="G416" i="19"/>
  <c r="D392" i="19"/>
  <c r="H392" i="19"/>
  <c r="H411" i="19"/>
  <c r="D425" i="19"/>
  <c r="H425" i="19"/>
  <c r="E255" i="19"/>
  <c r="D299" i="19"/>
  <c r="D337" i="19"/>
  <c r="H337" i="19"/>
  <c r="D360" i="19"/>
  <c r="H383" i="19"/>
  <c r="I383" i="19" s="1"/>
  <c r="D394" i="19"/>
  <c r="H394" i="19"/>
  <c r="D405" i="19"/>
  <c r="H405" i="19"/>
  <c r="D409" i="19"/>
  <c r="H409" i="19"/>
  <c r="D363" i="19"/>
  <c r="E383" i="19"/>
  <c r="F383" i="19" s="1"/>
  <c r="J129" i="18"/>
  <c r="J119" i="18"/>
  <c r="G91" i="18"/>
  <c r="J155" i="18"/>
  <c r="J166" i="18"/>
  <c r="J183" i="18"/>
  <c r="J222" i="18"/>
  <c r="J310" i="18"/>
  <c r="J321" i="18"/>
  <c r="J333" i="18"/>
  <c r="J371" i="18"/>
  <c r="J398" i="18"/>
  <c r="J397" i="18"/>
  <c r="J410" i="18"/>
  <c r="J408" i="18"/>
  <c r="J369" i="18"/>
  <c r="J331" i="18"/>
  <c r="J320" i="18"/>
  <c r="J164" i="18"/>
  <c r="J154" i="18"/>
  <c r="F255" i="19" l="1"/>
  <c r="I274" i="19"/>
  <c r="F433" i="19"/>
  <c r="I433" i="19"/>
  <c r="F404" i="19"/>
  <c r="I291" i="19"/>
  <c r="F157" i="19"/>
  <c r="F69" i="19"/>
  <c r="I346" i="19"/>
  <c r="F246" i="19"/>
  <c r="I143" i="19"/>
  <c r="F213" i="19"/>
  <c r="I317" i="19"/>
  <c r="I411" i="19"/>
  <c r="D351" i="19"/>
  <c r="I141" i="19"/>
  <c r="I319" i="19"/>
  <c r="I82" i="19"/>
  <c r="D438" i="19"/>
  <c r="I257" i="19"/>
  <c r="I275" i="19"/>
  <c r="I157" i="19"/>
  <c r="I272" i="19"/>
  <c r="F435" i="19"/>
  <c r="I213" i="19"/>
  <c r="F384" i="19"/>
  <c r="I136" i="19"/>
  <c r="F311" i="19"/>
  <c r="I246" i="19"/>
  <c r="I179" i="19"/>
  <c r="I55" i="19"/>
  <c r="I24" i="19"/>
  <c r="F38" i="19"/>
  <c r="F73" i="19"/>
  <c r="I84" i="19"/>
  <c r="F274" i="19"/>
  <c r="I406" i="19"/>
  <c r="D385" i="19"/>
  <c r="I31" i="19"/>
  <c r="F77" i="19"/>
  <c r="I347" i="19"/>
  <c r="I122" i="19"/>
  <c r="D218" i="19"/>
  <c r="F318" i="19"/>
  <c r="F317" i="19"/>
  <c r="F291" i="19"/>
  <c r="I216" i="19"/>
  <c r="F48" i="19"/>
  <c r="D292" i="19"/>
  <c r="I112" i="19"/>
  <c r="D329" i="19"/>
  <c r="I256" i="19"/>
  <c r="F256" i="19"/>
  <c r="F319" i="19"/>
  <c r="D195" i="19"/>
  <c r="I255" i="19"/>
  <c r="D260" i="19"/>
  <c r="I348" i="19"/>
  <c r="I47" i="19"/>
  <c r="F47" i="19"/>
  <c r="F34" i="19"/>
  <c r="I30" i="19"/>
  <c r="F30" i="19"/>
  <c r="I35" i="19"/>
  <c r="F35" i="19"/>
  <c r="I33" i="19"/>
  <c r="F33" i="19"/>
  <c r="C9" i="19"/>
  <c r="I26" i="19"/>
  <c r="F26" i="19"/>
  <c r="I405" i="19"/>
  <c r="F405" i="19"/>
  <c r="I337" i="19"/>
  <c r="D339" i="19"/>
  <c r="F337" i="19"/>
  <c r="F425" i="19"/>
  <c r="I425" i="19"/>
  <c r="F365" i="19"/>
  <c r="I365" i="19"/>
  <c r="D375" i="19"/>
  <c r="F359" i="19"/>
  <c r="I359" i="19"/>
  <c r="F185" i="19"/>
  <c r="I185" i="19"/>
  <c r="F235" i="19"/>
  <c r="I235" i="19"/>
  <c r="I83" i="19"/>
  <c r="F83" i="19"/>
  <c r="D416" i="19"/>
  <c r="F277" i="19"/>
  <c r="I277" i="19"/>
  <c r="F186" i="19"/>
  <c r="I186" i="19"/>
  <c r="F137" i="19"/>
  <c r="I137" i="19"/>
  <c r="F74" i="19"/>
  <c r="I74" i="19"/>
  <c r="F123" i="19"/>
  <c r="I123" i="19"/>
  <c r="I110" i="19"/>
  <c r="F110" i="19"/>
  <c r="F168" i="19"/>
  <c r="I168" i="19"/>
  <c r="F32" i="19"/>
  <c r="I32" i="19"/>
  <c r="F183" i="19"/>
  <c r="I183" i="19"/>
  <c r="F228" i="19"/>
  <c r="I228" i="19"/>
  <c r="F276" i="19"/>
  <c r="I276" i="19"/>
  <c r="F278" i="19"/>
  <c r="I278" i="19"/>
  <c r="F184" i="19"/>
  <c r="I184" i="19"/>
  <c r="F116" i="19"/>
  <c r="I116" i="19"/>
  <c r="F113" i="19"/>
  <c r="I113" i="19"/>
  <c r="I115" i="19"/>
  <c r="F115" i="19"/>
  <c r="D149" i="19"/>
  <c r="F43" i="19"/>
  <c r="I43" i="19"/>
  <c r="D303" i="19"/>
  <c r="F299" i="19"/>
  <c r="I299" i="19"/>
  <c r="F363" i="19"/>
  <c r="I363" i="19"/>
  <c r="I409" i="19"/>
  <c r="F409" i="19"/>
  <c r="I360" i="19"/>
  <c r="F360" i="19"/>
  <c r="F392" i="19"/>
  <c r="I392" i="19"/>
  <c r="D396" i="19"/>
  <c r="F361" i="19"/>
  <c r="I361" i="19"/>
  <c r="D426" i="19"/>
  <c r="I227" i="19"/>
  <c r="F227" i="19"/>
  <c r="F180" i="19"/>
  <c r="I180" i="19"/>
  <c r="F230" i="19"/>
  <c r="I230" i="19"/>
  <c r="F233" i="19"/>
  <c r="I233" i="19"/>
  <c r="F280" i="19"/>
  <c r="I280" i="19"/>
  <c r="F181" i="19"/>
  <c r="I181" i="19"/>
  <c r="F114" i="19"/>
  <c r="I114" i="19"/>
  <c r="I106" i="19"/>
  <c r="F106" i="19"/>
  <c r="I117" i="19"/>
  <c r="F117" i="19"/>
  <c r="I126" i="19"/>
  <c r="F126" i="19"/>
  <c r="F120" i="19"/>
  <c r="I120" i="19"/>
  <c r="F40" i="19"/>
  <c r="I40" i="19"/>
  <c r="F167" i="19"/>
  <c r="I167" i="19"/>
  <c r="D171" i="19"/>
  <c r="F42" i="19"/>
  <c r="I42" i="19"/>
  <c r="F36" i="19"/>
  <c r="I36" i="19"/>
  <c r="I394" i="19"/>
  <c r="F394" i="19"/>
  <c r="F300" i="19"/>
  <c r="I300" i="19"/>
  <c r="I226" i="19"/>
  <c r="D238" i="19"/>
  <c r="F226" i="19"/>
  <c r="F232" i="19"/>
  <c r="I232" i="19"/>
  <c r="I142" i="19"/>
  <c r="F142" i="19"/>
  <c r="F269" i="19"/>
  <c r="D282" i="19"/>
  <c r="I269" i="19"/>
  <c r="F205" i="19"/>
  <c r="I205" i="19"/>
  <c r="F119" i="19"/>
  <c r="I119" i="19"/>
  <c r="I108" i="19"/>
  <c r="F108" i="19"/>
  <c r="I121" i="19"/>
  <c r="F121" i="19"/>
  <c r="I169" i="19"/>
  <c r="F169" i="19"/>
  <c r="I41" i="19"/>
  <c r="F41" i="19"/>
  <c r="G385" i="18" l="1"/>
  <c r="G384" i="18"/>
  <c r="G382" i="18"/>
  <c r="G381" i="18"/>
  <c r="G380" i="18"/>
  <c r="G379" i="18"/>
  <c r="G349" i="18"/>
  <c r="G347" i="18"/>
  <c r="G345" i="18"/>
  <c r="G342" i="18"/>
  <c r="G341" i="18"/>
  <c r="G308" i="18"/>
  <c r="J307" i="18"/>
  <c r="J306" i="18"/>
  <c r="J305" i="18"/>
  <c r="G309" i="18"/>
  <c r="G303" i="18"/>
  <c r="G302" i="18"/>
  <c r="G301" i="18"/>
  <c r="G300" i="18"/>
  <c r="G299" i="18"/>
  <c r="G295" i="18"/>
  <c r="G265" i="18"/>
  <c r="G262" i="18"/>
  <c r="G261" i="18"/>
  <c r="G260" i="18"/>
  <c r="G258" i="18"/>
  <c r="G257" i="18"/>
  <c r="G256" i="18"/>
  <c r="G255" i="18"/>
  <c r="G253" i="18"/>
  <c r="G218" i="18"/>
  <c r="G217" i="18"/>
  <c r="G216" i="18"/>
  <c r="J214" i="18"/>
  <c r="G214" i="18"/>
  <c r="G213" i="18"/>
  <c r="J212" i="18"/>
  <c r="G212" i="18"/>
  <c r="G211" i="18"/>
  <c r="J181" i="18"/>
  <c r="J174" i="18"/>
  <c r="G181" i="18"/>
  <c r="G180" i="18"/>
  <c r="G179" i="18"/>
  <c r="G178" i="18"/>
  <c r="G177" i="18"/>
  <c r="G176" i="18"/>
  <c r="G175" i="18"/>
  <c r="G174" i="18"/>
  <c r="G144" i="18"/>
  <c r="G143" i="18"/>
  <c r="G142" i="18"/>
  <c r="G141" i="18"/>
  <c r="G140" i="18"/>
  <c r="G139" i="18"/>
  <c r="G138" i="18"/>
  <c r="G137" i="18"/>
  <c r="G87" i="18" l="1"/>
  <c r="G85" i="18"/>
  <c r="G84" i="18"/>
  <c r="E84" i="18" s="1"/>
  <c r="G83" i="18"/>
  <c r="G77" i="18"/>
  <c r="G74" i="18"/>
  <c r="G73" i="18"/>
  <c r="E73" i="18" s="1"/>
  <c r="G66" i="18"/>
  <c r="E66" i="18" s="1"/>
  <c r="F66" i="18" s="1"/>
  <c r="G64" i="18"/>
  <c r="G43" i="18"/>
  <c r="G20" i="18"/>
  <c r="E20" i="18" s="1"/>
  <c r="F20" i="18" s="1"/>
  <c r="G17" i="18"/>
  <c r="G128" i="18"/>
  <c r="J127" i="18"/>
  <c r="G127" i="18"/>
  <c r="G125" i="18"/>
  <c r="E125" i="18" s="1"/>
  <c r="J124" i="18"/>
  <c r="G124" i="18"/>
  <c r="E124" i="18" s="1"/>
  <c r="J118" i="18"/>
  <c r="G118" i="18"/>
  <c r="H118" i="18" s="1"/>
  <c r="G117" i="18"/>
  <c r="E117" i="18" s="1"/>
  <c r="G116" i="18"/>
  <c r="G115" i="18"/>
  <c r="E115" i="18" s="1"/>
  <c r="G114" i="18"/>
  <c r="H114" i="18" s="1"/>
  <c r="G112" i="18"/>
  <c r="G110" i="18"/>
  <c r="G109" i="18"/>
  <c r="G108" i="18"/>
  <c r="G107" i="18"/>
  <c r="G105" i="18"/>
  <c r="G104" i="18"/>
  <c r="H104" i="18" s="1"/>
  <c r="H105" i="18"/>
  <c r="G103" i="18"/>
  <c r="J102" i="18"/>
  <c r="G102" i="18"/>
  <c r="G409" i="18"/>
  <c r="E409" i="18" s="1"/>
  <c r="H408" i="18"/>
  <c r="G408" i="18"/>
  <c r="E408" i="18"/>
  <c r="D408" i="18"/>
  <c r="I408" i="18" s="1"/>
  <c r="G407" i="18"/>
  <c r="G406" i="18"/>
  <c r="H405" i="18"/>
  <c r="G405" i="18"/>
  <c r="G410" i="18" s="1"/>
  <c r="E405" i="18"/>
  <c r="D405" i="18"/>
  <c r="I405" i="18" s="1"/>
  <c r="C404" i="18"/>
  <c r="D409" i="18" s="1"/>
  <c r="G398" i="18"/>
  <c r="H397" i="18"/>
  <c r="G397" i="18"/>
  <c r="E397" i="18"/>
  <c r="D396" i="18"/>
  <c r="H395" i="18"/>
  <c r="G395" i="18"/>
  <c r="E395" i="18"/>
  <c r="D395" i="18"/>
  <c r="D398" i="18" s="1"/>
  <c r="C394" i="18"/>
  <c r="D397" i="18" s="1"/>
  <c r="G386" i="18"/>
  <c r="D386" i="18"/>
  <c r="H385" i="18"/>
  <c r="D385" i="18"/>
  <c r="H384" i="18"/>
  <c r="E384" i="18"/>
  <c r="D384" i="18"/>
  <c r="G383" i="18"/>
  <c r="H382" i="18"/>
  <c r="D382" i="18"/>
  <c r="H381" i="18"/>
  <c r="E381" i="18"/>
  <c r="H380" i="18"/>
  <c r="D380" i="18"/>
  <c r="D387" i="18" s="1"/>
  <c r="H379" i="18"/>
  <c r="I379" i="18" s="1"/>
  <c r="E379" i="18"/>
  <c r="F379" i="18" s="1"/>
  <c r="D379" i="18"/>
  <c r="C378" i="18"/>
  <c r="D381" i="18" s="1"/>
  <c r="G370" i="18"/>
  <c r="E370" i="18" s="1"/>
  <c r="H369" i="18"/>
  <c r="G369" i="18"/>
  <c r="E369" i="18"/>
  <c r="D369" i="18"/>
  <c r="G368" i="18"/>
  <c r="G371" i="18" s="1"/>
  <c r="C367" i="18"/>
  <c r="D370" i="18" s="1"/>
  <c r="G360" i="18"/>
  <c r="D360" i="18"/>
  <c r="I359" i="18"/>
  <c r="H359" i="18"/>
  <c r="G359" i="18"/>
  <c r="G361" i="18" s="1"/>
  <c r="E359" i="18"/>
  <c r="F359" i="18" s="1"/>
  <c r="D359" i="18"/>
  <c r="D361" i="18" s="1"/>
  <c r="C358" i="18"/>
  <c r="G350" i="18"/>
  <c r="D350" i="18"/>
  <c r="H349" i="18"/>
  <c r="E349" i="18"/>
  <c r="D349" i="18"/>
  <c r="G348" i="18"/>
  <c r="D347" i="18"/>
  <c r="H346" i="18"/>
  <c r="G346" i="18"/>
  <c r="E346" i="18" s="1"/>
  <c r="H345" i="18"/>
  <c r="E345" i="18"/>
  <c r="D345" i="18"/>
  <c r="F345" i="18" s="1"/>
  <c r="H344" i="18"/>
  <c r="E344" i="18"/>
  <c r="H343" i="18"/>
  <c r="G343" i="18"/>
  <c r="D343" i="18"/>
  <c r="H342" i="18"/>
  <c r="E342" i="18"/>
  <c r="D342" i="18"/>
  <c r="H341" i="18"/>
  <c r="E341" i="18"/>
  <c r="C340" i="18"/>
  <c r="D344" i="18" s="1"/>
  <c r="I344" i="18" s="1"/>
  <c r="G332" i="18"/>
  <c r="H331" i="18"/>
  <c r="G331" i="18"/>
  <c r="E331" i="18"/>
  <c r="D331" i="18"/>
  <c r="G330" i="18"/>
  <c r="H329" i="18"/>
  <c r="G329" i="18"/>
  <c r="E329" i="18"/>
  <c r="D329" i="18"/>
  <c r="F329" i="18" s="1"/>
  <c r="G328" i="18"/>
  <c r="C327" i="18"/>
  <c r="G320" i="18"/>
  <c r="G319" i="18"/>
  <c r="H319" i="18" s="1"/>
  <c r="F319" i="18"/>
  <c r="E319" i="18"/>
  <c r="H318" i="18"/>
  <c r="G318" i="18"/>
  <c r="D318" i="18"/>
  <c r="C317" i="18"/>
  <c r="D319" i="18" s="1"/>
  <c r="I319" i="18" s="1"/>
  <c r="D308" i="18"/>
  <c r="D307" i="18"/>
  <c r="D306" i="18"/>
  <c r="D305" i="18"/>
  <c r="G304" i="18"/>
  <c r="D304" i="18"/>
  <c r="D303" i="18"/>
  <c r="H302" i="18"/>
  <c r="E302" i="18"/>
  <c r="D302" i="18"/>
  <c r="H301" i="18"/>
  <c r="E301" i="18"/>
  <c r="H299" i="18"/>
  <c r="E299" i="18"/>
  <c r="G298" i="18"/>
  <c r="D298" i="18"/>
  <c r="G297" i="18"/>
  <c r="G296" i="18"/>
  <c r="D296" i="18"/>
  <c r="H295" i="18"/>
  <c r="E295" i="18"/>
  <c r="D295" i="18"/>
  <c r="C294" i="18"/>
  <c r="D301" i="18" s="1"/>
  <c r="I301" i="18" s="1"/>
  <c r="D287" i="18"/>
  <c r="I286" i="18"/>
  <c r="H286" i="18"/>
  <c r="G286" i="18"/>
  <c r="F286" i="18"/>
  <c r="E286" i="18"/>
  <c r="D286" i="18"/>
  <c r="G285" i="18"/>
  <c r="D285" i="18"/>
  <c r="I284" i="18"/>
  <c r="H284" i="18"/>
  <c r="G284" i="18"/>
  <c r="F284" i="18"/>
  <c r="E284" i="18"/>
  <c r="D284" i="18"/>
  <c r="C283" i="18"/>
  <c r="D277" i="18"/>
  <c r="G276" i="18"/>
  <c r="H275" i="18"/>
  <c r="G275" i="18"/>
  <c r="G277" i="18" s="1"/>
  <c r="E275" i="18"/>
  <c r="D275" i="18"/>
  <c r="C274" i="18"/>
  <c r="D276" i="18" s="1"/>
  <c r="G266" i="18"/>
  <c r="H265" i="18"/>
  <c r="E265" i="18"/>
  <c r="H264" i="18"/>
  <c r="E264" i="18"/>
  <c r="G263" i="18"/>
  <c r="D263" i="18"/>
  <c r="H262" i="18"/>
  <c r="E262" i="18"/>
  <c r="H261" i="18"/>
  <c r="E261" i="18"/>
  <c r="H260" i="18"/>
  <c r="E260" i="18"/>
  <c r="D260" i="18"/>
  <c r="H259" i="18"/>
  <c r="E259" i="18"/>
  <c r="D258" i="18"/>
  <c r="H257" i="18"/>
  <c r="E257" i="18"/>
  <c r="H256" i="18"/>
  <c r="E256" i="18"/>
  <c r="D256" i="18"/>
  <c r="H255" i="18"/>
  <c r="E255" i="18"/>
  <c r="G254" i="18"/>
  <c r="H253" i="18"/>
  <c r="E253" i="18"/>
  <c r="D253" i="18"/>
  <c r="C252" i="18"/>
  <c r="D265" i="18" s="1"/>
  <c r="I265" i="18" s="1"/>
  <c r="H243" i="18"/>
  <c r="G243" i="18"/>
  <c r="E243" i="18"/>
  <c r="H242" i="18"/>
  <c r="G242" i="18"/>
  <c r="E242" i="18" s="1"/>
  <c r="H241" i="18"/>
  <c r="G241" i="18"/>
  <c r="E241" i="18"/>
  <c r="H240" i="18"/>
  <c r="G240" i="18"/>
  <c r="E240" i="18" s="1"/>
  <c r="C239" i="18"/>
  <c r="H232" i="18"/>
  <c r="G232" i="18"/>
  <c r="F232" i="18"/>
  <c r="E232" i="18"/>
  <c r="H231" i="18"/>
  <c r="F231" i="18"/>
  <c r="E231" i="18"/>
  <c r="D231" i="18"/>
  <c r="I230" i="18"/>
  <c r="H230" i="18"/>
  <c r="G230" i="18"/>
  <c r="G233" i="18" s="1"/>
  <c r="E230" i="18"/>
  <c r="D230" i="18"/>
  <c r="F230" i="18" s="1"/>
  <c r="C229" i="18"/>
  <c r="D232" i="18" s="1"/>
  <c r="I232" i="18" s="1"/>
  <c r="G221" i="18"/>
  <c r="G220" i="18"/>
  <c r="G219" i="18"/>
  <c r="I218" i="18"/>
  <c r="H218" i="18"/>
  <c r="E218" i="18"/>
  <c r="D218" i="18"/>
  <c r="H216" i="18"/>
  <c r="E216" i="18"/>
  <c r="D216" i="18"/>
  <c r="G215" i="18"/>
  <c r="H213" i="18"/>
  <c r="E213" i="18"/>
  <c r="D213" i="18"/>
  <c r="H212" i="18"/>
  <c r="E212" i="18"/>
  <c r="D212" i="18"/>
  <c r="H211" i="18"/>
  <c r="E211" i="18"/>
  <c r="F211" i="18" s="1"/>
  <c r="C210" i="18"/>
  <c r="D211" i="18" s="1"/>
  <c r="I211" i="18" s="1"/>
  <c r="G202" i="18"/>
  <c r="H201" i="18"/>
  <c r="G201" i="18"/>
  <c r="E201" i="18"/>
  <c r="G200" i="18"/>
  <c r="C199" i="18"/>
  <c r="H192" i="18"/>
  <c r="G192" i="18"/>
  <c r="E192" i="18" s="1"/>
  <c r="D192" i="18"/>
  <c r="G191" i="18"/>
  <c r="H191" i="18" s="1"/>
  <c r="F191" i="18"/>
  <c r="E191" i="18"/>
  <c r="C190" i="18"/>
  <c r="D191" i="18" s="1"/>
  <c r="G182" i="18"/>
  <c r="H181" i="18"/>
  <c r="E181" i="18"/>
  <c r="H180" i="18"/>
  <c r="I180" i="18" s="1"/>
  <c r="E180" i="18"/>
  <c r="H179" i="18"/>
  <c r="E179" i="18"/>
  <c r="H178" i="18"/>
  <c r="E178" i="18"/>
  <c r="H177" i="18"/>
  <c r="E177" i="18"/>
  <c r="H176" i="18"/>
  <c r="E176" i="18"/>
  <c r="H175" i="18"/>
  <c r="G183" i="18"/>
  <c r="D175" i="18"/>
  <c r="H174" i="18"/>
  <c r="E174" i="18"/>
  <c r="D174" i="18"/>
  <c r="C173" i="18"/>
  <c r="D180" i="18" s="1"/>
  <c r="F180" i="18" s="1"/>
  <c r="H165" i="18"/>
  <c r="G165" i="18"/>
  <c r="F165" i="18"/>
  <c r="E165" i="18"/>
  <c r="D165" i="18"/>
  <c r="I165" i="18" s="1"/>
  <c r="H164" i="18"/>
  <c r="G164" i="18"/>
  <c r="G166" i="18" s="1"/>
  <c r="D164" i="18"/>
  <c r="H163" i="18"/>
  <c r="G163" i="18"/>
  <c r="F163" i="18"/>
  <c r="E163" i="18"/>
  <c r="D163" i="18"/>
  <c r="I163" i="18" s="1"/>
  <c r="C162" i="18"/>
  <c r="G154" i="18"/>
  <c r="I153" i="18"/>
  <c r="G153" i="18"/>
  <c r="H153" i="18" s="1"/>
  <c r="E153" i="18"/>
  <c r="C152" i="18"/>
  <c r="D153" i="18" s="1"/>
  <c r="G145" i="18"/>
  <c r="H143" i="18"/>
  <c r="E143" i="18"/>
  <c r="H142" i="18"/>
  <c r="E142" i="18"/>
  <c r="H141" i="18"/>
  <c r="E141" i="18"/>
  <c r="H140" i="18"/>
  <c r="I140" i="18" s="1"/>
  <c r="E140" i="18"/>
  <c r="D140" i="18"/>
  <c r="H139" i="18"/>
  <c r="I139" i="18" s="1"/>
  <c r="E139" i="18"/>
  <c r="F139" i="18" s="1"/>
  <c r="H138" i="18"/>
  <c r="E138" i="18"/>
  <c r="H137" i="18"/>
  <c r="E137" i="18"/>
  <c r="F137" i="18" s="1"/>
  <c r="D137" i="18"/>
  <c r="C136" i="18"/>
  <c r="D143" i="18" s="1"/>
  <c r="H128" i="18"/>
  <c r="E128" i="18"/>
  <c r="E127" i="18"/>
  <c r="F127" i="18" s="1"/>
  <c r="D127" i="18"/>
  <c r="H126" i="18"/>
  <c r="G126" i="18"/>
  <c r="E126" i="18" s="1"/>
  <c r="D126" i="18"/>
  <c r="H125" i="18"/>
  <c r="H124" i="18"/>
  <c r="H122" i="18"/>
  <c r="E122" i="18"/>
  <c r="H121" i="18"/>
  <c r="E121" i="18"/>
  <c r="H120" i="18"/>
  <c r="E120" i="18"/>
  <c r="H119" i="18"/>
  <c r="E119" i="18"/>
  <c r="E118" i="18"/>
  <c r="D118" i="18"/>
  <c r="H115" i="18"/>
  <c r="E114" i="18"/>
  <c r="D114" i="18"/>
  <c r="H113" i="18"/>
  <c r="E113" i="18"/>
  <c r="H110" i="18"/>
  <c r="E110" i="18"/>
  <c r="D110" i="18"/>
  <c r="H108" i="18"/>
  <c r="E108" i="18"/>
  <c r="I106" i="18"/>
  <c r="D106" i="18"/>
  <c r="F106" i="18" s="1"/>
  <c r="E105" i="18"/>
  <c r="D105" i="18"/>
  <c r="E104" i="18"/>
  <c r="F104" i="18" s="1"/>
  <c r="D104" i="18"/>
  <c r="H103" i="18"/>
  <c r="E103" i="18"/>
  <c r="E102" i="18"/>
  <c r="C101" i="18"/>
  <c r="C100" i="18"/>
  <c r="C99" i="18"/>
  <c r="H90" i="18"/>
  <c r="E90" i="18"/>
  <c r="F90" i="18" s="1"/>
  <c r="D90" i="18"/>
  <c r="H89" i="18"/>
  <c r="E89" i="18"/>
  <c r="D89" i="18"/>
  <c r="H87" i="18"/>
  <c r="I87" i="18" s="1"/>
  <c r="E87" i="18"/>
  <c r="D87" i="18"/>
  <c r="H85" i="18"/>
  <c r="E85" i="18"/>
  <c r="F85" i="18" s="1"/>
  <c r="D85" i="18"/>
  <c r="H84" i="18"/>
  <c r="H83" i="18"/>
  <c r="I83" i="18" s="1"/>
  <c r="E83" i="18"/>
  <c r="H82" i="18"/>
  <c r="F82" i="18"/>
  <c r="E82" i="18"/>
  <c r="D82" i="18"/>
  <c r="I82" i="18" s="1"/>
  <c r="C81" i="18"/>
  <c r="D83" i="18" s="1"/>
  <c r="C80" i="18"/>
  <c r="H79" i="18"/>
  <c r="E79" i="18"/>
  <c r="C76" i="18"/>
  <c r="H74" i="18"/>
  <c r="E74" i="18"/>
  <c r="F74" i="18" s="1"/>
  <c r="D74" i="18"/>
  <c r="H73" i="18"/>
  <c r="D73" i="18"/>
  <c r="H72" i="18"/>
  <c r="E72" i="18"/>
  <c r="F72" i="18" s="1"/>
  <c r="D72" i="18"/>
  <c r="C71" i="18"/>
  <c r="C70" i="18"/>
  <c r="H69" i="18"/>
  <c r="E69" i="18"/>
  <c r="C67" i="18"/>
  <c r="H66" i="18"/>
  <c r="D66" i="18"/>
  <c r="I66" i="18" s="1"/>
  <c r="H65" i="18"/>
  <c r="H64" i="18"/>
  <c r="I64" i="18" s="1"/>
  <c r="E64" i="18"/>
  <c r="H63" i="18"/>
  <c r="F63" i="18"/>
  <c r="E63" i="18"/>
  <c r="D63" i="18"/>
  <c r="I63" i="18" s="1"/>
  <c r="C62" i="18"/>
  <c r="D64" i="18" s="1"/>
  <c r="I61" i="18"/>
  <c r="F61" i="18"/>
  <c r="H60" i="18"/>
  <c r="E60" i="18"/>
  <c r="H59" i="18"/>
  <c r="E59" i="18"/>
  <c r="D59" i="18"/>
  <c r="H58" i="18"/>
  <c r="E58" i="18"/>
  <c r="D58" i="18"/>
  <c r="H57" i="18"/>
  <c r="I57" i="18" s="1"/>
  <c r="E57" i="18"/>
  <c r="H56" i="18"/>
  <c r="I56" i="18" s="1"/>
  <c r="E56" i="18"/>
  <c r="D55" i="18"/>
  <c r="I55" i="18" s="1"/>
  <c r="H54" i="18"/>
  <c r="E54" i="18"/>
  <c r="G52" i="18"/>
  <c r="H52" i="18" s="1"/>
  <c r="E52" i="18"/>
  <c r="H51" i="18"/>
  <c r="E51" i="18"/>
  <c r="H50" i="18"/>
  <c r="I50" i="18" s="1"/>
  <c r="E50" i="18"/>
  <c r="F50" i="18" s="1"/>
  <c r="H49" i="18"/>
  <c r="I49" i="18" s="1"/>
  <c r="E49" i="18"/>
  <c r="F49" i="18" s="1"/>
  <c r="H48" i="18"/>
  <c r="G48" i="18"/>
  <c r="E48" i="18"/>
  <c r="D48" i="18"/>
  <c r="H47" i="18"/>
  <c r="E47" i="18"/>
  <c r="C44" i="18"/>
  <c r="D52" i="18" s="1"/>
  <c r="F52" i="18" s="1"/>
  <c r="H43" i="18"/>
  <c r="E43" i="18"/>
  <c r="D43" i="18"/>
  <c r="H40" i="18"/>
  <c r="E40" i="18"/>
  <c r="F40" i="18" s="1"/>
  <c r="D40" i="18"/>
  <c r="H39" i="18"/>
  <c r="E39" i="18"/>
  <c r="D39" i="18"/>
  <c r="F39" i="18" s="1"/>
  <c r="H38" i="18"/>
  <c r="E38" i="18"/>
  <c r="D38" i="18"/>
  <c r="C37" i="18"/>
  <c r="H36" i="18"/>
  <c r="E36" i="18"/>
  <c r="H35" i="18"/>
  <c r="E35" i="18"/>
  <c r="H34" i="18"/>
  <c r="E34" i="18"/>
  <c r="D34" i="18"/>
  <c r="H32" i="18"/>
  <c r="E32" i="18"/>
  <c r="C29" i="18"/>
  <c r="H28" i="18"/>
  <c r="E28" i="18"/>
  <c r="F28" i="18"/>
  <c r="D28" i="18"/>
  <c r="H27" i="18"/>
  <c r="E27" i="18"/>
  <c r="D27" i="18"/>
  <c r="H26" i="18"/>
  <c r="E26" i="18"/>
  <c r="D26" i="18"/>
  <c r="H25" i="18"/>
  <c r="E25" i="18"/>
  <c r="D25" i="18"/>
  <c r="H24" i="18"/>
  <c r="E24" i="18"/>
  <c r="F24" i="18" s="1"/>
  <c r="D24" i="18"/>
  <c r="H23" i="18"/>
  <c r="E23" i="18"/>
  <c r="F23" i="18" s="1"/>
  <c r="D23" i="18"/>
  <c r="I23" i="18" s="1"/>
  <c r="H22" i="18"/>
  <c r="E22" i="18"/>
  <c r="D22" i="18"/>
  <c r="I22" i="18" s="1"/>
  <c r="H21" i="18"/>
  <c r="F21" i="18"/>
  <c r="E21" i="18"/>
  <c r="D21" i="18"/>
  <c r="I21" i="18" s="1"/>
  <c r="H20" i="18"/>
  <c r="D20" i="18"/>
  <c r="C19" i="18"/>
  <c r="C18" i="18"/>
  <c r="H17" i="18"/>
  <c r="E17" i="18"/>
  <c r="H16" i="18"/>
  <c r="E16" i="18"/>
  <c r="D16" i="18"/>
  <c r="H15" i="18"/>
  <c r="E15" i="18"/>
  <c r="C14" i="18"/>
  <c r="H12" i="18"/>
  <c r="E12" i="18"/>
  <c r="C11" i="18"/>
  <c r="I384" i="18" l="1"/>
  <c r="I342" i="18"/>
  <c r="I302" i="18"/>
  <c r="F213" i="18"/>
  <c r="I212" i="18"/>
  <c r="F140" i="18"/>
  <c r="I137" i="18"/>
  <c r="I90" i="18"/>
  <c r="F89" i="18"/>
  <c r="F87" i="18"/>
  <c r="I85" i="18"/>
  <c r="I74" i="18"/>
  <c r="I72" i="18"/>
  <c r="I58" i="18"/>
  <c r="I40" i="18"/>
  <c r="F38" i="18"/>
  <c r="F34" i="18"/>
  <c r="I28" i="18"/>
  <c r="I27" i="18"/>
  <c r="I26" i="18"/>
  <c r="I25" i="18"/>
  <c r="F16" i="18"/>
  <c r="H117" i="18"/>
  <c r="F114" i="18"/>
  <c r="I104" i="18"/>
  <c r="I16" i="18"/>
  <c r="D69" i="18"/>
  <c r="D68" i="18"/>
  <c r="I164" i="18"/>
  <c r="D166" i="18"/>
  <c r="D17" i="18"/>
  <c r="D15" i="18"/>
  <c r="I20" i="18"/>
  <c r="F25" i="18"/>
  <c r="F26" i="18"/>
  <c r="D32" i="18"/>
  <c r="D36" i="18"/>
  <c r="D35" i="18"/>
  <c r="D33" i="18"/>
  <c r="D30" i="18"/>
  <c r="I34" i="18"/>
  <c r="E68" i="18"/>
  <c r="H68" i="18"/>
  <c r="F105" i="18"/>
  <c r="I105" i="18"/>
  <c r="I114" i="18"/>
  <c r="I143" i="18"/>
  <c r="F143" i="18"/>
  <c r="E202" i="18"/>
  <c r="H202" i="18"/>
  <c r="E217" i="18"/>
  <c r="H217" i="18"/>
  <c r="I369" i="18"/>
  <c r="F369" i="18"/>
  <c r="D79" i="18"/>
  <c r="D77" i="18"/>
  <c r="F216" i="18"/>
  <c r="I216" i="18"/>
  <c r="D12" i="18"/>
  <c r="C10" i="18"/>
  <c r="C9" i="18" s="1"/>
  <c r="F27" i="18"/>
  <c r="E30" i="18"/>
  <c r="H30" i="18"/>
  <c r="F48" i="18"/>
  <c r="I48" i="18"/>
  <c r="F73" i="18"/>
  <c r="I73" i="18"/>
  <c r="F22" i="18"/>
  <c r="I24" i="18"/>
  <c r="I38" i="18"/>
  <c r="F43" i="18"/>
  <c r="I43" i="18"/>
  <c r="I52" i="18"/>
  <c r="I59" i="18"/>
  <c r="F64" i="18"/>
  <c r="E77" i="18"/>
  <c r="H77" i="18"/>
  <c r="F83" i="18"/>
  <c r="E107" i="18"/>
  <c r="H107" i="18"/>
  <c r="H109" i="18"/>
  <c r="E109" i="18"/>
  <c r="H112" i="18"/>
  <c r="E112" i="18"/>
  <c r="F126" i="18"/>
  <c r="I126" i="18"/>
  <c r="I318" i="18"/>
  <c r="F409" i="18"/>
  <c r="I39" i="18"/>
  <c r="D54" i="18"/>
  <c r="D84" i="18"/>
  <c r="I89" i="18"/>
  <c r="D120" i="18"/>
  <c r="D113" i="18"/>
  <c r="D128" i="18"/>
  <c r="D125" i="18"/>
  <c r="D123" i="18"/>
  <c r="D119" i="18"/>
  <c r="D117" i="18"/>
  <c r="D124" i="18"/>
  <c r="D122" i="18"/>
  <c r="D115" i="18"/>
  <c r="D112" i="18"/>
  <c r="D103" i="18"/>
  <c r="D107" i="18"/>
  <c r="D109" i="18"/>
  <c r="D111" i="18"/>
  <c r="I213" i="18"/>
  <c r="F218" i="18"/>
  <c r="I231" i="18"/>
  <c r="E258" i="18"/>
  <c r="F258" i="18" s="1"/>
  <c r="H258" i="18"/>
  <c r="I258" i="18" s="1"/>
  <c r="D51" i="18"/>
  <c r="D60" i="18"/>
  <c r="G129" i="18"/>
  <c r="F110" i="18"/>
  <c r="I110" i="18"/>
  <c r="F118" i="18"/>
  <c r="I118" i="18"/>
  <c r="I175" i="18"/>
  <c r="I191" i="18"/>
  <c r="D193" i="18"/>
  <c r="F192" i="18"/>
  <c r="I192" i="18"/>
  <c r="D201" i="18"/>
  <c r="D202" i="18"/>
  <c r="D200" i="18"/>
  <c r="G222" i="18"/>
  <c r="E214" i="18"/>
  <c r="H214" i="18"/>
  <c r="D243" i="18"/>
  <c r="D241" i="18"/>
  <c r="D242" i="18"/>
  <c r="D240" i="18"/>
  <c r="F256" i="18"/>
  <c r="I256" i="18"/>
  <c r="E285" i="18"/>
  <c r="G287" i="18"/>
  <c r="H285" i="18"/>
  <c r="I285" i="18" s="1"/>
  <c r="G310" i="18"/>
  <c r="E320" i="18"/>
  <c r="H320" i="18"/>
  <c r="I329" i="18"/>
  <c r="C41" i="18"/>
  <c r="D47" i="18"/>
  <c r="D102" i="18"/>
  <c r="H102" i="18"/>
  <c r="D108" i="18"/>
  <c r="D121" i="18"/>
  <c r="F153" i="18"/>
  <c r="E154" i="18"/>
  <c r="H154" i="18"/>
  <c r="G203" i="18"/>
  <c r="E200" i="18"/>
  <c r="H200" i="18"/>
  <c r="F295" i="18"/>
  <c r="I295" i="18"/>
  <c r="E303" i="18"/>
  <c r="F303" i="18" s="1"/>
  <c r="H303" i="18"/>
  <c r="I303" i="18" s="1"/>
  <c r="I345" i="18"/>
  <c r="E347" i="18"/>
  <c r="F347" i="18" s="1"/>
  <c r="H347" i="18"/>
  <c r="I347" i="18" s="1"/>
  <c r="D141" i="18"/>
  <c r="D154" i="18"/>
  <c r="E164" i="18"/>
  <c r="F164" i="18" s="1"/>
  <c r="F174" i="18"/>
  <c r="E175" i="18"/>
  <c r="F175" i="18" s="1"/>
  <c r="D178" i="18"/>
  <c r="D181" i="18"/>
  <c r="G193" i="18"/>
  <c r="F212" i="18"/>
  <c r="D214" i="18"/>
  <c r="D217" i="18"/>
  <c r="F260" i="18"/>
  <c r="I260" i="18"/>
  <c r="F275" i="18"/>
  <c r="I275" i="18"/>
  <c r="F301" i="18"/>
  <c r="G321" i="18"/>
  <c r="E318" i="18"/>
  <c r="F318" i="18" s="1"/>
  <c r="D332" i="18"/>
  <c r="D330" i="18"/>
  <c r="D328" i="18"/>
  <c r="E332" i="18"/>
  <c r="H332" i="18"/>
  <c r="I360" i="18"/>
  <c r="F370" i="18"/>
  <c r="F381" i="18"/>
  <c r="I381" i="18"/>
  <c r="D142" i="18"/>
  <c r="G155" i="18"/>
  <c r="D176" i="18"/>
  <c r="D179" i="18"/>
  <c r="F253" i="18"/>
  <c r="I253" i="18"/>
  <c r="F265" i="18"/>
  <c r="G267" i="18"/>
  <c r="E330" i="18"/>
  <c r="H330" i="18"/>
  <c r="F342" i="18"/>
  <c r="I343" i="18"/>
  <c r="F344" i="18"/>
  <c r="H360" i="18"/>
  <c r="E360" i="18"/>
  <c r="F360" i="18" s="1"/>
  <c r="F397" i="18"/>
  <c r="I397" i="18"/>
  <c r="D138" i="18"/>
  <c r="I174" i="18"/>
  <c r="D177" i="18"/>
  <c r="D233" i="18"/>
  <c r="G244" i="18"/>
  <c r="E276" i="18"/>
  <c r="F276" i="18" s="1"/>
  <c r="H276" i="18"/>
  <c r="I276" i="18" s="1"/>
  <c r="F285" i="18"/>
  <c r="F302" i="18"/>
  <c r="D320" i="18"/>
  <c r="G333" i="18"/>
  <c r="E328" i="18"/>
  <c r="H328" i="18"/>
  <c r="F331" i="18"/>
  <c r="I331" i="18"/>
  <c r="G351" i="18"/>
  <c r="E343" i="18"/>
  <c r="F343" i="18" s="1"/>
  <c r="F349" i="18"/>
  <c r="I349" i="18"/>
  <c r="D261" i="18"/>
  <c r="D264" i="18"/>
  <c r="D299" i="18"/>
  <c r="D310" i="18" s="1"/>
  <c r="D368" i="18"/>
  <c r="H368" i="18"/>
  <c r="H370" i="18"/>
  <c r="I370" i="18" s="1"/>
  <c r="E380" i="18"/>
  <c r="F380" i="18" s="1"/>
  <c r="I380" i="18"/>
  <c r="E382" i="18"/>
  <c r="F382" i="18" s="1"/>
  <c r="I382" i="18"/>
  <c r="F384" i="18"/>
  <c r="E385" i="18"/>
  <c r="F385" i="18" s="1"/>
  <c r="I385" i="18"/>
  <c r="F395" i="18"/>
  <c r="F405" i="18"/>
  <c r="F408" i="18"/>
  <c r="H409" i="18"/>
  <c r="I409" i="18" s="1"/>
  <c r="D255" i="18"/>
  <c r="D257" i="18"/>
  <c r="D259" i="18"/>
  <c r="D262" i="18"/>
  <c r="D341" i="18"/>
  <c r="E368" i="18"/>
  <c r="G387" i="18"/>
  <c r="D410" i="18"/>
  <c r="I395" i="18"/>
  <c r="I262" i="18" l="1"/>
  <c r="F262" i="18"/>
  <c r="I264" i="18"/>
  <c r="F264" i="18"/>
  <c r="I176" i="18"/>
  <c r="F176" i="18"/>
  <c r="I330" i="18"/>
  <c r="F330" i="18"/>
  <c r="F141" i="18"/>
  <c r="I141" i="18"/>
  <c r="F121" i="18"/>
  <c r="I121" i="18"/>
  <c r="I47" i="18"/>
  <c r="F47" i="18"/>
  <c r="I240" i="18"/>
  <c r="D244" i="18"/>
  <c r="F240" i="18"/>
  <c r="F202" i="18"/>
  <c r="I202" i="18"/>
  <c r="F109" i="18"/>
  <c r="I109" i="18"/>
  <c r="F115" i="18"/>
  <c r="I115" i="18"/>
  <c r="I119" i="18"/>
  <c r="F119" i="18"/>
  <c r="I113" i="18"/>
  <c r="F113" i="18"/>
  <c r="F84" i="18"/>
  <c r="I84" i="18"/>
  <c r="I33" i="18"/>
  <c r="F33" i="18"/>
  <c r="I17" i="18"/>
  <c r="F17" i="18"/>
  <c r="F68" i="18"/>
  <c r="I68" i="18"/>
  <c r="I259" i="18"/>
  <c r="F259" i="18"/>
  <c r="I261" i="18"/>
  <c r="F261" i="18"/>
  <c r="F320" i="18"/>
  <c r="I320" i="18"/>
  <c r="F177" i="18"/>
  <c r="I177" i="18"/>
  <c r="I332" i="18"/>
  <c r="F332" i="18"/>
  <c r="F108" i="18"/>
  <c r="I108" i="18"/>
  <c r="F242" i="18"/>
  <c r="I242" i="18"/>
  <c r="F201" i="18"/>
  <c r="I201" i="18"/>
  <c r="I60" i="18"/>
  <c r="F60" i="18"/>
  <c r="F107" i="18"/>
  <c r="I107" i="18"/>
  <c r="F122" i="18"/>
  <c r="I122" i="18"/>
  <c r="F123" i="18"/>
  <c r="I123" i="18"/>
  <c r="I120" i="18"/>
  <c r="F120" i="18"/>
  <c r="F54" i="18"/>
  <c r="I54" i="18"/>
  <c r="F35" i="18"/>
  <c r="I35" i="18"/>
  <c r="I69" i="18"/>
  <c r="F69" i="18"/>
  <c r="I257" i="18"/>
  <c r="F257" i="18"/>
  <c r="D371" i="18"/>
  <c r="I368" i="18"/>
  <c r="F368" i="18"/>
  <c r="I142" i="18"/>
  <c r="F142" i="18"/>
  <c r="F217" i="18"/>
  <c r="I217" i="18"/>
  <c r="F181" i="18"/>
  <c r="I181" i="18"/>
  <c r="F241" i="18"/>
  <c r="I241" i="18"/>
  <c r="I51" i="18"/>
  <c r="F51" i="18"/>
  <c r="F103" i="18"/>
  <c r="I103" i="18"/>
  <c r="F124" i="18"/>
  <c r="I124" i="18"/>
  <c r="I125" i="18"/>
  <c r="F125" i="18"/>
  <c r="F77" i="18"/>
  <c r="I77" i="18"/>
  <c r="I36" i="18"/>
  <c r="F36" i="18"/>
  <c r="I341" i="18"/>
  <c r="D351" i="18"/>
  <c r="F341" i="18"/>
  <c r="I255" i="18"/>
  <c r="F255" i="18"/>
  <c r="I299" i="18"/>
  <c r="F299" i="18"/>
  <c r="I138" i="18"/>
  <c r="F138" i="18"/>
  <c r="D145" i="18"/>
  <c r="I179" i="18"/>
  <c r="F179" i="18"/>
  <c r="I328" i="18"/>
  <c r="D333" i="18"/>
  <c r="F328" i="18"/>
  <c r="F214" i="18"/>
  <c r="I214" i="18"/>
  <c r="F178" i="18"/>
  <c r="I178" i="18"/>
  <c r="F154" i="18"/>
  <c r="I154" i="18"/>
  <c r="D267" i="18"/>
  <c r="D183" i="18"/>
  <c r="D155" i="18"/>
  <c r="F102" i="18"/>
  <c r="I102" i="18"/>
  <c r="F243" i="18"/>
  <c r="I243" i="18"/>
  <c r="D203" i="18"/>
  <c r="F200" i="18"/>
  <c r="I200" i="18"/>
  <c r="D222" i="18"/>
  <c r="F111" i="18"/>
  <c r="I111" i="18"/>
  <c r="F112" i="18"/>
  <c r="I112" i="18"/>
  <c r="I117" i="18"/>
  <c r="F117" i="18"/>
  <c r="I128" i="18"/>
  <c r="F128" i="18"/>
  <c r="D321" i="18"/>
  <c r="I12" i="18"/>
  <c r="F12" i="18"/>
  <c r="I79" i="18"/>
  <c r="F79" i="18"/>
  <c r="F30" i="18"/>
  <c r="I30" i="18"/>
  <c r="F32" i="18"/>
  <c r="I32" i="18"/>
  <c r="F15" i="18"/>
  <c r="I15" i="18"/>
  <c r="J405" i="3" l="1"/>
  <c r="G404" i="3"/>
  <c r="G405" i="3" s="1"/>
  <c r="E404" i="3"/>
  <c r="C403" i="3"/>
  <c r="D404" i="3" s="1"/>
  <c r="G394" i="3"/>
  <c r="H394" i="3" s="1"/>
  <c r="I394" i="3" s="1"/>
  <c r="E394" i="3"/>
  <c r="G393" i="3"/>
  <c r="G395" i="3" s="1"/>
  <c r="E393" i="3"/>
  <c r="C392" i="3"/>
  <c r="D394" i="3" s="1"/>
  <c r="F394" i="3" s="1"/>
  <c r="J384" i="3"/>
  <c r="J383" i="3"/>
  <c r="H383" i="3"/>
  <c r="G383" i="3"/>
  <c r="G384" i="3" s="1"/>
  <c r="D383" i="3"/>
  <c r="C382" i="3"/>
  <c r="C381" i="3"/>
  <c r="G373" i="3"/>
  <c r="J372" i="3"/>
  <c r="H372" i="3"/>
  <c r="G372" i="3"/>
  <c r="F372" i="3"/>
  <c r="E372" i="3"/>
  <c r="C371" i="3"/>
  <c r="D373" i="3" s="1"/>
  <c r="C370" i="3"/>
  <c r="D372" i="3" s="1"/>
  <c r="I372" i="3" s="1"/>
  <c r="G362" i="3"/>
  <c r="J361" i="3"/>
  <c r="J362" i="3" s="1"/>
  <c r="H361" i="3"/>
  <c r="G361" i="3"/>
  <c r="M361" i="3" s="1"/>
  <c r="F361" i="3"/>
  <c r="E361" i="3"/>
  <c r="D361" i="3"/>
  <c r="I361" i="3" s="1"/>
  <c r="J360" i="3"/>
  <c r="H360" i="3"/>
  <c r="G360" i="3"/>
  <c r="E360" i="3" s="1"/>
  <c r="F360" i="3"/>
  <c r="C359" i="3"/>
  <c r="C358" i="3"/>
  <c r="D360" i="3" s="1"/>
  <c r="I360" i="3" s="1"/>
  <c r="J352" i="3"/>
  <c r="H351" i="3"/>
  <c r="G351" i="3"/>
  <c r="G352" i="3" s="1"/>
  <c r="E351" i="3"/>
  <c r="D351" i="3"/>
  <c r="F351" i="3" s="1"/>
  <c r="C350" i="3"/>
  <c r="C349" i="3" s="1"/>
  <c r="G343" i="3"/>
  <c r="H342" i="3"/>
  <c r="G342" i="3"/>
  <c r="J342" i="3" s="1"/>
  <c r="J343" i="3" s="1"/>
  <c r="E342" i="3"/>
  <c r="D342" i="3"/>
  <c r="F342" i="3" s="1"/>
  <c r="G341" i="3"/>
  <c r="D341" i="3"/>
  <c r="C340" i="3"/>
  <c r="C339" i="3" s="1"/>
  <c r="J333" i="3"/>
  <c r="G333" i="3"/>
  <c r="J332" i="3"/>
  <c r="H332" i="3"/>
  <c r="G332" i="3"/>
  <c r="E332" i="3" s="1"/>
  <c r="D332" i="3"/>
  <c r="C331" i="3"/>
  <c r="C330" i="3" s="1"/>
  <c r="G322" i="3"/>
  <c r="G321" i="3"/>
  <c r="C320" i="3"/>
  <c r="H311" i="3"/>
  <c r="E311" i="3"/>
  <c r="C311" i="3"/>
  <c r="J311" i="3" s="1"/>
  <c r="H310" i="3"/>
  <c r="G310" i="3"/>
  <c r="E310" i="3"/>
  <c r="D310" i="3"/>
  <c r="F310" i="3" s="1"/>
  <c r="C309" i="3"/>
  <c r="C308" i="3" s="1"/>
  <c r="J300" i="3"/>
  <c r="G300" i="3"/>
  <c r="J299" i="3"/>
  <c r="H299" i="3"/>
  <c r="E299" i="3"/>
  <c r="C298" i="3"/>
  <c r="J290" i="3"/>
  <c r="H290" i="3"/>
  <c r="E290" i="3"/>
  <c r="J289" i="3"/>
  <c r="H289" i="3"/>
  <c r="E289" i="3"/>
  <c r="J288" i="3"/>
  <c r="H288" i="3"/>
  <c r="E288" i="3"/>
  <c r="D288" i="3"/>
  <c r="F288" i="3" s="1"/>
  <c r="J287" i="3"/>
  <c r="H287" i="3"/>
  <c r="E287" i="3"/>
  <c r="J286" i="3"/>
  <c r="H286" i="3"/>
  <c r="E286" i="3"/>
  <c r="D286" i="3"/>
  <c r="J285" i="3"/>
  <c r="H285" i="3"/>
  <c r="E285" i="3"/>
  <c r="J284" i="3"/>
  <c r="H284" i="3"/>
  <c r="E284" i="3"/>
  <c r="H283" i="3"/>
  <c r="G283" i="3"/>
  <c r="J282" i="3"/>
  <c r="H282" i="3"/>
  <c r="E282" i="3"/>
  <c r="J281" i="3"/>
  <c r="H281" i="3"/>
  <c r="E281" i="3"/>
  <c r="J280" i="3"/>
  <c r="I280" i="3"/>
  <c r="H280" i="3"/>
  <c r="E280" i="3"/>
  <c r="D280" i="3"/>
  <c r="F280" i="3" s="1"/>
  <c r="G279" i="3"/>
  <c r="J278" i="3"/>
  <c r="H278" i="3"/>
  <c r="E278" i="3"/>
  <c r="J277" i="3"/>
  <c r="H277" i="3"/>
  <c r="E277" i="3"/>
  <c r="C276" i="3"/>
  <c r="J268" i="3"/>
  <c r="H267" i="3"/>
  <c r="G267" i="3"/>
  <c r="J267" i="3" s="1"/>
  <c r="E267" i="3"/>
  <c r="D267" i="3"/>
  <c r="F267" i="3" s="1"/>
  <c r="M266" i="3"/>
  <c r="G266" i="3"/>
  <c r="E266" i="3"/>
  <c r="C265" i="3"/>
  <c r="C264" i="3" s="1"/>
  <c r="D266" i="3" s="1"/>
  <c r="J257" i="3"/>
  <c r="H257" i="3"/>
  <c r="E257" i="3"/>
  <c r="D257" i="3"/>
  <c r="F257" i="3" s="1"/>
  <c r="C256" i="3"/>
  <c r="C255" i="3" s="1"/>
  <c r="C243" i="3"/>
  <c r="J242" i="3"/>
  <c r="H242" i="3"/>
  <c r="E242" i="3"/>
  <c r="J241" i="3"/>
  <c r="H241" i="3"/>
  <c r="E241" i="3"/>
  <c r="J240" i="3"/>
  <c r="H240" i="3"/>
  <c r="E240" i="3"/>
  <c r="H239" i="3"/>
  <c r="G239" i="3"/>
  <c r="J238" i="3"/>
  <c r="H238" i="3"/>
  <c r="E238" i="3"/>
  <c r="G237" i="3"/>
  <c r="J236" i="3"/>
  <c r="H236" i="3"/>
  <c r="E236" i="3"/>
  <c r="J235" i="3"/>
  <c r="H235" i="3"/>
  <c r="E235" i="3"/>
  <c r="J234" i="3"/>
  <c r="H234" i="3"/>
  <c r="E234" i="3"/>
  <c r="C233" i="3"/>
  <c r="C232" i="3" s="1"/>
  <c r="G225" i="3"/>
  <c r="J224" i="3"/>
  <c r="H224" i="3"/>
  <c r="E224" i="3"/>
  <c r="J223" i="3"/>
  <c r="D223" i="3"/>
  <c r="G222" i="3"/>
  <c r="J222" i="3" s="1"/>
  <c r="E222" i="3"/>
  <c r="J221" i="3"/>
  <c r="H221" i="3"/>
  <c r="E221" i="3"/>
  <c r="J220" i="3"/>
  <c r="H220" i="3"/>
  <c r="G220" i="3"/>
  <c r="E220" i="3"/>
  <c r="D220" i="3"/>
  <c r="J219" i="3"/>
  <c r="H219" i="3"/>
  <c r="E219" i="3"/>
  <c r="J218" i="3"/>
  <c r="H218" i="3"/>
  <c r="E218" i="3"/>
  <c r="J217" i="3"/>
  <c r="H217" i="3"/>
  <c r="E217" i="3"/>
  <c r="G216" i="3"/>
  <c r="J215" i="3"/>
  <c r="H215" i="3"/>
  <c r="E215" i="3"/>
  <c r="D215" i="3"/>
  <c r="C214" i="3"/>
  <c r="E207" i="3"/>
  <c r="F207" i="3" s="1"/>
  <c r="C207" i="3"/>
  <c r="J206" i="3"/>
  <c r="H206" i="3"/>
  <c r="E206" i="3"/>
  <c r="J205" i="3"/>
  <c r="H205" i="3"/>
  <c r="G205" i="3"/>
  <c r="E205" i="3"/>
  <c r="J204" i="3"/>
  <c r="L203" i="3"/>
  <c r="G203" i="3"/>
  <c r="J202" i="3"/>
  <c r="H202" i="3"/>
  <c r="G202" i="3"/>
  <c r="E202" i="3"/>
  <c r="G201" i="3"/>
  <c r="J200" i="3"/>
  <c r="G200" i="3"/>
  <c r="H200" i="3" s="1"/>
  <c r="E200" i="3"/>
  <c r="J199" i="3"/>
  <c r="H199" i="3"/>
  <c r="G199" i="3"/>
  <c r="E199" i="3"/>
  <c r="J198" i="3"/>
  <c r="H198" i="3"/>
  <c r="E198" i="3"/>
  <c r="C197" i="3"/>
  <c r="G189" i="3"/>
  <c r="C189" i="3"/>
  <c r="E188" i="3"/>
  <c r="D188" i="3"/>
  <c r="F188" i="3" s="1"/>
  <c r="J187" i="3"/>
  <c r="D187" i="3"/>
  <c r="E186" i="3"/>
  <c r="J185" i="3"/>
  <c r="H185" i="3"/>
  <c r="E185" i="3"/>
  <c r="J184" i="3"/>
  <c r="H183" i="3"/>
  <c r="G183" i="3"/>
  <c r="L184" i="3" s="1"/>
  <c r="E183" i="3"/>
  <c r="E182" i="3"/>
  <c r="J181" i="3"/>
  <c r="H181" i="3"/>
  <c r="E181" i="3"/>
  <c r="J180" i="3"/>
  <c r="H180" i="3"/>
  <c r="E180" i="3"/>
  <c r="J179" i="3"/>
  <c r="H179" i="3"/>
  <c r="E179" i="3"/>
  <c r="C178" i="3"/>
  <c r="D186" i="3" s="1"/>
  <c r="F186" i="3" s="1"/>
  <c r="C177" i="3"/>
  <c r="G168" i="3"/>
  <c r="C168" i="3"/>
  <c r="J167" i="3"/>
  <c r="H167" i="3"/>
  <c r="E167" i="3"/>
  <c r="J166" i="3"/>
  <c r="I166" i="3"/>
  <c r="H166" i="3"/>
  <c r="E166" i="3"/>
  <c r="D166" i="3"/>
  <c r="F166" i="3" s="1"/>
  <c r="J165" i="3"/>
  <c r="H165" i="3"/>
  <c r="E165" i="3"/>
  <c r="J164" i="3"/>
  <c r="J163" i="3"/>
  <c r="J162" i="3"/>
  <c r="G162" i="3"/>
  <c r="H162" i="3" s="1"/>
  <c r="E162" i="3"/>
  <c r="J161" i="3"/>
  <c r="H161" i="3"/>
  <c r="E161" i="3"/>
  <c r="D161" i="3"/>
  <c r="J160" i="3"/>
  <c r="H160" i="3"/>
  <c r="E160" i="3"/>
  <c r="J159" i="3"/>
  <c r="H159" i="3"/>
  <c r="I159" i="3" s="1"/>
  <c r="E159" i="3"/>
  <c r="D159" i="3"/>
  <c r="F159" i="3" s="1"/>
  <c r="J158" i="3"/>
  <c r="H158" i="3"/>
  <c r="E158" i="3"/>
  <c r="C157" i="3"/>
  <c r="D167" i="3" s="1"/>
  <c r="I167" i="3" s="1"/>
  <c r="C156" i="3"/>
  <c r="K149" i="3"/>
  <c r="J148" i="3"/>
  <c r="H148" i="3"/>
  <c r="E148" i="3"/>
  <c r="J147" i="3"/>
  <c r="H147" i="3"/>
  <c r="E147" i="3"/>
  <c r="D147" i="3"/>
  <c r="J146" i="3"/>
  <c r="G145" i="3"/>
  <c r="J144" i="3"/>
  <c r="H144" i="3"/>
  <c r="E144" i="3"/>
  <c r="D144" i="3"/>
  <c r="J143" i="3"/>
  <c r="H143" i="3"/>
  <c r="E143" i="3"/>
  <c r="J142" i="3"/>
  <c r="H142" i="3"/>
  <c r="E142" i="3"/>
  <c r="D142" i="3"/>
  <c r="H141" i="3"/>
  <c r="G141" i="3"/>
  <c r="J141" i="3" s="1"/>
  <c r="E141" i="3"/>
  <c r="D141" i="3"/>
  <c r="C140" i="3"/>
  <c r="J131" i="3"/>
  <c r="H131" i="3"/>
  <c r="F131" i="3"/>
  <c r="E131" i="3"/>
  <c r="D131" i="3"/>
  <c r="I131" i="3" s="1"/>
  <c r="J130" i="3"/>
  <c r="H130" i="3"/>
  <c r="E130" i="3"/>
  <c r="D130" i="3"/>
  <c r="F130" i="3" s="1"/>
  <c r="J129" i="3"/>
  <c r="H129" i="3"/>
  <c r="F129" i="3"/>
  <c r="E129" i="3"/>
  <c r="D129" i="3"/>
  <c r="I129" i="3" s="1"/>
  <c r="J128" i="3"/>
  <c r="H128" i="3"/>
  <c r="E128" i="3"/>
  <c r="D128" i="3"/>
  <c r="F128" i="3" s="1"/>
  <c r="H127" i="3"/>
  <c r="G127" i="3"/>
  <c r="E127" i="3"/>
  <c r="D127" i="3"/>
  <c r="J126" i="3"/>
  <c r="H126" i="3"/>
  <c r="E126" i="3"/>
  <c r="F126" i="3" s="1"/>
  <c r="J125" i="3"/>
  <c r="H125" i="3"/>
  <c r="E125" i="3"/>
  <c r="D125" i="3"/>
  <c r="I125" i="3" s="1"/>
  <c r="G124" i="3"/>
  <c r="D124" i="3"/>
  <c r="J123" i="3"/>
  <c r="I123" i="3"/>
  <c r="H123" i="3"/>
  <c r="E123" i="3"/>
  <c r="D123" i="3"/>
  <c r="F123" i="3" s="1"/>
  <c r="C122" i="3"/>
  <c r="D126" i="3" s="1"/>
  <c r="I126" i="3" s="1"/>
  <c r="C121" i="3"/>
  <c r="K114" i="3"/>
  <c r="J112" i="3"/>
  <c r="H112" i="3"/>
  <c r="E112" i="3"/>
  <c r="H111" i="3"/>
  <c r="G111" i="3"/>
  <c r="J111" i="3" s="1"/>
  <c r="J110" i="3"/>
  <c r="E110" i="3"/>
  <c r="J109" i="3"/>
  <c r="H109" i="3"/>
  <c r="E109" i="3"/>
  <c r="J108" i="3"/>
  <c r="H108" i="3"/>
  <c r="E108" i="3"/>
  <c r="J107" i="3"/>
  <c r="H107" i="3"/>
  <c r="E107" i="3"/>
  <c r="G106" i="3"/>
  <c r="J105" i="3"/>
  <c r="H105" i="3"/>
  <c r="E105" i="3"/>
  <c r="J104" i="3"/>
  <c r="H104" i="3"/>
  <c r="E104" i="3"/>
  <c r="J103" i="3"/>
  <c r="H103" i="3"/>
  <c r="G103" i="3"/>
  <c r="E103" i="3"/>
  <c r="H102" i="3"/>
  <c r="G102" i="3"/>
  <c r="J102" i="3" s="1"/>
  <c r="J101" i="3"/>
  <c r="H101" i="3"/>
  <c r="E101" i="3"/>
  <c r="J100" i="3"/>
  <c r="H100" i="3"/>
  <c r="G100" i="3"/>
  <c r="E100" i="3"/>
  <c r="J99" i="3"/>
  <c r="H99" i="3"/>
  <c r="E99" i="3"/>
  <c r="G98" i="3"/>
  <c r="H98" i="3" s="1"/>
  <c r="J97" i="3"/>
  <c r="H97" i="3"/>
  <c r="E97" i="3"/>
  <c r="J96" i="3"/>
  <c r="H96" i="3"/>
  <c r="G96" i="3"/>
  <c r="E96" i="3" s="1"/>
  <c r="J95" i="3"/>
  <c r="H95" i="3"/>
  <c r="E95" i="3"/>
  <c r="J94" i="3"/>
  <c r="H94" i="3"/>
  <c r="E94" i="3"/>
  <c r="J93" i="3"/>
  <c r="H93" i="3"/>
  <c r="E93" i="3"/>
  <c r="J92" i="3"/>
  <c r="H92" i="3"/>
  <c r="E92" i="3"/>
  <c r="J91" i="3"/>
  <c r="G91" i="3"/>
  <c r="H91" i="3" s="1"/>
  <c r="E91" i="3"/>
  <c r="J90" i="3"/>
  <c r="H90" i="3"/>
  <c r="G90" i="3"/>
  <c r="E90" i="3"/>
  <c r="J89" i="3"/>
  <c r="H89" i="3"/>
  <c r="E89" i="3"/>
  <c r="J88" i="3"/>
  <c r="H88" i="3"/>
  <c r="E88" i="3"/>
  <c r="J87" i="3"/>
  <c r="H87" i="3"/>
  <c r="E87" i="3"/>
  <c r="G86" i="3"/>
  <c r="J85" i="3"/>
  <c r="H85" i="3"/>
  <c r="G85" i="3"/>
  <c r="E85" i="3"/>
  <c r="G84" i="3"/>
  <c r="J83" i="3"/>
  <c r="H83" i="3"/>
  <c r="G83" i="3"/>
  <c r="E83" i="3" s="1"/>
  <c r="J82" i="3"/>
  <c r="G82" i="3"/>
  <c r="H82" i="3" s="1"/>
  <c r="E82" i="3"/>
  <c r="J81" i="3"/>
  <c r="H81" i="3"/>
  <c r="E81" i="3"/>
  <c r="G80" i="3"/>
  <c r="J79" i="3"/>
  <c r="G79" i="3"/>
  <c r="H79" i="3" s="1"/>
  <c r="E79" i="3"/>
  <c r="C78" i="3"/>
  <c r="K68" i="3"/>
  <c r="J68" i="3"/>
  <c r="I68" i="3"/>
  <c r="F68" i="3"/>
  <c r="D68" i="3"/>
  <c r="G67" i="3"/>
  <c r="J66" i="3"/>
  <c r="H66" i="3"/>
  <c r="G66" i="3"/>
  <c r="E66" i="3"/>
  <c r="D66" i="3"/>
  <c r="D65" i="3"/>
  <c r="C65" i="3"/>
  <c r="H65" i="3" s="1"/>
  <c r="G64" i="3"/>
  <c r="H63" i="3"/>
  <c r="C63" i="3"/>
  <c r="D63" i="3" s="1"/>
  <c r="G62" i="3"/>
  <c r="G61" i="3"/>
  <c r="J61" i="3" s="1"/>
  <c r="E61" i="3"/>
  <c r="G60" i="3"/>
  <c r="J59" i="3"/>
  <c r="G59" i="3"/>
  <c r="H59" i="3" s="1"/>
  <c r="E59" i="3"/>
  <c r="C58" i="3"/>
  <c r="J58" i="3" s="1"/>
  <c r="C57" i="3"/>
  <c r="H55" i="3"/>
  <c r="G55" i="3"/>
  <c r="O55" i="3" s="1"/>
  <c r="E55" i="3"/>
  <c r="D55" i="3"/>
  <c r="C54" i="3"/>
  <c r="J54" i="3" s="1"/>
  <c r="G53" i="3"/>
  <c r="G52" i="3"/>
  <c r="J51" i="3"/>
  <c r="G51" i="3"/>
  <c r="E51" i="3" s="1"/>
  <c r="J50" i="3"/>
  <c r="E50" i="3"/>
  <c r="C50" i="3"/>
  <c r="H50" i="3" s="1"/>
  <c r="J47" i="3"/>
  <c r="H47" i="3"/>
  <c r="G47" i="3"/>
  <c r="E47" i="3"/>
  <c r="H46" i="3"/>
  <c r="C46" i="3"/>
  <c r="G45" i="3"/>
  <c r="C44" i="3"/>
  <c r="H44" i="3" s="1"/>
  <c r="G43" i="3"/>
  <c r="H42" i="3"/>
  <c r="C42" i="3"/>
  <c r="J40" i="3"/>
  <c r="H40" i="3"/>
  <c r="E40" i="3"/>
  <c r="J39" i="3"/>
  <c r="E39" i="3"/>
  <c r="D39" i="3"/>
  <c r="F39" i="3" s="1"/>
  <c r="C39" i="3"/>
  <c r="H39" i="3" s="1"/>
  <c r="I39" i="3" s="1"/>
  <c r="G38" i="3"/>
  <c r="J37" i="3"/>
  <c r="E37" i="3"/>
  <c r="C37" i="3"/>
  <c r="H37" i="3" s="1"/>
  <c r="C36" i="3"/>
  <c r="G35" i="3"/>
  <c r="J34" i="3"/>
  <c r="H34" i="3"/>
  <c r="E34" i="3"/>
  <c r="D34" i="3"/>
  <c r="F34" i="3" s="1"/>
  <c r="J33" i="3"/>
  <c r="G33" i="3"/>
  <c r="E33" i="3" s="1"/>
  <c r="F33" i="3"/>
  <c r="D33" i="3"/>
  <c r="J32" i="3"/>
  <c r="I32" i="3"/>
  <c r="H32" i="3"/>
  <c r="G32" i="3"/>
  <c r="E32" i="3"/>
  <c r="F32" i="3" s="1"/>
  <c r="D32" i="3"/>
  <c r="C31" i="3"/>
  <c r="J30" i="3"/>
  <c r="I30" i="3"/>
  <c r="H30" i="3"/>
  <c r="G30" i="3"/>
  <c r="E30" i="3"/>
  <c r="H29" i="3"/>
  <c r="G29" i="3"/>
  <c r="J29" i="3" s="1"/>
  <c r="E29" i="3"/>
  <c r="D29" i="3"/>
  <c r="G28" i="3"/>
  <c r="D28" i="3"/>
  <c r="J27" i="3"/>
  <c r="G27" i="3"/>
  <c r="E27" i="3" s="1"/>
  <c r="F27" i="3"/>
  <c r="D27" i="3"/>
  <c r="J26" i="3"/>
  <c r="I26" i="3"/>
  <c r="H26" i="3"/>
  <c r="G26" i="3"/>
  <c r="E26" i="3"/>
  <c r="F26" i="3" s="1"/>
  <c r="D26" i="3"/>
  <c r="J25" i="3"/>
  <c r="I25" i="3"/>
  <c r="H25" i="3"/>
  <c r="G25" i="3"/>
  <c r="F25" i="3"/>
  <c r="E25" i="3"/>
  <c r="D25" i="3"/>
  <c r="H24" i="3"/>
  <c r="G24" i="3"/>
  <c r="J24" i="3" s="1"/>
  <c r="E24" i="3"/>
  <c r="D24" i="3"/>
  <c r="H23" i="3"/>
  <c r="G23" i="3"/>
  <c r="D23" i="3"/>
  <c r="H22" i="3"/>
  <c r="G22" i="3"/>
  <c r="N22" i="3" s="1"/>
  <c r="N25" i="3" s="1"/>
  <c r="E22" i="3"/>
  <c r="D22" i="3"/>
  <c r="F22" i="3" s="1"/>
  <c r="C21" i="3"/>
  <c r="D30" i="3" s="1"/>
  <c r="F30" i="3" s="1"/>
  <c r="J19" i="3"/>
  <c r="H19" i="3"/>
  <c r="E19" i="3"/>
  <c r="D19" i="3"/>
  <c r="F19" i="3" s="1"/>
  <c r="J18" i="3"/>
  <c r="H18" i="3"/>
  <c r="E18" i="3"/>
  <c r="J17" i="3"/>
  <c r="H17" i="3"/>
  <c r="E17" i="3"/>
  <c r="J16" i="3"/>
  <c r="H16" i="3"/>
  <c r="E16" i="3"/>
  <c r="J15" i="3"/>
  <c r="H15" i="3"/>
  <c r="G15" i="3"/>
  <c r="E15" i="3"/>
  <c r="H14" i="3"/>
  <c r="G14" i="3"/>
  <c r="J14" i="3" s="1"/>
  <c r="E14" i="3"/>
  <c r="D14" i="3"/>
  <c r="F14" i="3" s="1"/>
  <c r="G13" i="3"/>
  <c r="H13" i="3" s="1"/>
  <c r="J12" i="3"/>
  <c r="G12" i="3"/>
  <c r="C11" i="3"/>
  <c r="D17" i="3" s="1"/>
  <c r="C10" i="3"/>
  <c r="F17" i="3" l="1"/>
  <c r="I17" i="3"/>
  <c r="J36" i="3"/>
  <c r="E36" i="3"/>
  <c r="D36" i="3"/>
  <c r="E67" i="3"/>
  <c r="F67" i="3" s="1"/>
  <c r="H67" i="3"/>
  <c r="I67" i="3" s="1"/>
  <c r="J67" i="3"/>
  <c r="H106" i="3"/>
  <c r="J106" i="3"/>
  <c r="E106" i="3"/>
  <c r="J28" i="3"/>
  <c r="H28" i="3"/>
  <c r="E28" i="3"/>
  <c r="J52" i="3"/>
  <c r="E52" i="3"/>
  <c r="H52" i="3"/>
  <c r="D61" i="3"/>
  <c r="D60" i="3"/>
  <c r="I63" i="3"/>
  <c r="F141" i="3"/>
  <c r="I141" i="3"/>
  <c r="F286" i="3"/>
  <c r="I286" i="3"/>
  <c r="E12" i="3"/>
  <c r="G68" i="3"/>
  <c r="H12" i="3"/>
  <c r="I19" i="3"/>
  <c r="P22" i="3"/>
  <c r="F24" i="3"/>
  <c r="I24" i="3"/>
  <c r="I29" i="3"/>
  <c r="F29" i="3"/>
  <c r="D37" i="3"/>
  <c r="D47" i="3"/>
  <c r="D46" i="3"/>
  <c r="J46" i="3"/>
  <c r="E46" i="3"/>
  <c r="F66" i="3"/>
  <c r="I66" i="3"/>
  <c r="D104" i="3"/>
  <c r="D101" i="3"/>
  <c r="D79" i="3"/>
  <c r="D109" i="3"/>
  <c r="D95" i="3"/>
  <c r="D93" i="3"/>
  <c r="D87" i="3"/>
  <c r="D81" i="3"/>
  <c r="C77" i="3"/>
  <c r="D110" i="3"/>
  <c r="D92" i="3"/>
  <c r="D83" i="3"/>
  <c r="D112" i="3"/>
  <c r="D103" i="3"/>
  <c r="D84" i="3"/>
  <c r="D111" i="3"/>
  <c r="D108" i="3"/>
  <c r="D90" i="3"/>
  <c r="D88" i="3"/>
  <c r="D165" i="3"/>
  <c r="D162" i="3"/>
  <c r="D160" i="3"/>
  <c r="E168" i="3"/>
  <c r="H168" i="3"/>
  <c r="J201" i="3"/>
  <c r="E201" i="3"/>
  <c r="H201" i="3"/>
  <c r="D18" i="3"/>
  <c r="D16" i="3"/>
  <c r="D12" i="3"/>
  <c r="D13" i="3"/>
  <c r="J23" i="3"/>
  <c r="E23" i="3"/>
  <c r="F28" i="3"/>
  <c r="H36" i="3"/>
  <c r="J42" i="3"/>
  <c r="E42" i="3"/>
  <c r="D42" i="3"/>
  <c r="D59" i="3"/>
  <c r="D99" i="3"/>
  <c r="E124" i="3"/>
  <c r="F124" i="3" s="1"/>
  <c r="J124" i="3"/>
  <c r="H124" i="3"/>
  <c r="F127" i="3"/>
  <c r="D132" i="3"/>
  <c r="I127" i="3"/>
  <c r="F144" i="3"/>
  <c r="I144" i="3"/>
  <c r="D15" i="3"/>
  <c r="I14" i="3"/>
  <c r="F23" i="3"/>
  <c r="I23" i="3"/>
  <c r="J44" i="3"/>
  <c r="E44" i="3"/>
  <c r="D44" i="3"/>
  <c r="E80" i="3"/>
  <c r="H80" i="3"/>
  <c r="J80" i="3"/>
  <c r="H86" i="3"/>
  <c r="J86" i="3"/>
  <c r="E86" i="3"/>
  <c r="J13" i="3"/>
  <c r="E13" i="3"/>
  <c r="I22" i="3"/>
  <c r="F55" i="3"/>
  <c r="I55" i="3"/>
  <c r="E60" i="3"/>
  <c r="H60" i="3"/>
  <c r="J60" i="3"/>
  <c r="I65" i="3"/>
  <c r="J84" i="3"/>
  <c r="E84" i="3"/>
  <c r="H84" i="3"/>
  <c r="F142" i="3"/>
  <c r="I142" i="3"/>
  <c r="D322" i="3"/>
  <c r="C319" i="3"/>
  <c r="D321" i="3" s="1"/>
  <c r="I34" i="3"/>
  <c r="H54" i="3"/>
  <c r="I128" i="3"/>
  <c r="I130" i="3"/>
  <c r="E145" i="3"/>
  <c r="H145" i="3"/>
  <c r="F147" i="3"/>
  <c r="I147" i="3"/>
  <c r="D184" i="3"/>
  <c r="D181" i="3"/>
  <c r="D179" i="3"/>
  <c r="D182" i="3"/>
  <c r="F182" i="3" s="1"/>
  <c r="E189" i="3"/>
  <c r="H189" i="3"/>
  <c r="D241" i="3"/>
  <c r="D236" i="3"/>
  <c r="D242" i="3"/>
  <c r="G243" i="3"/>
  <c r="J237" i="3"/>
  <c r="H237" i="3"/>
  <c r="E237" i="3"/>
  <c r="E321" i="3"/>
  <c r="J321" i="3"/>
  <c r="M322" i="3"/>
  <c r="H321" i="3"/>
  <c r="I332" i="3"/>
  <c r="F332" i="3"/>
  <c r="I351" i="3"/>
  <c r="C20" i="3"/>
  <c r="C9" i="3" s="1"/>
  <c r="C8" i="3" s="1"/>
  <c r="J22" i="3"/>
  <c r="H27" i="3"/>
  <c r="I27" i="3" s="1"/>
  <c r="I28" i="3"/>
  <c r="H33" i="3"/>
  <c r="I33" i="3" s="1"/>
  <c r="D40" i="3"/>
  <c r="C49" i="3"/>
  <c r="H51" i="3"/>
  <c r="D54" i="3"/>
  <c r="J55" i="3"/>
  <c r="D58" i="3"/>
  <c r="H61" i="3"/>
  <c r="E102" i="3"/>
  <c r="E111" i="3"/>
  <c r="G114" i="3"/>
  <c r="I124" i="3"/>
  <c r="G132" i="3"/>
  <c r="J127" i="3"/>
  <c r="J145" i="3"/>
  <c r="G149" i="3"/>
  <c r="D180" i="3"/>
  <c r="D185" i="3"/>
  <c r="D206" i="3"/>
  <c r="D203" i="3"/>
  <c r="D201" i="3"/>
  <c r="D198" i="3"/>
  <c r="D204" i="3"/>
  <c r="C196" i="3"/>
  <c r="H207" i="3"/>
  <c r="I207" i="3" s="1"/>
  <c r="D199" i="3"/>
  <c r="M203" i="3"/>
  <c r="H203" i="3"/>
  <c r="J203" i="3"/>
  <c r="E203" i="3"/>
  <c r="F215" i="3"/>
  <c r="I215" i="3"/>
  <c r="H216" i="3"/>
  <c r="J216" i="3"/>
  <c r="J225" i="3" s="1"/>
  <c r="E216" i="3"/>
  <c r="F220" i="3"/>
  <c r="I220" i="3"/>
  <c r="I223" i="3"/>
  <c r="F223" i="3"/>
  <c r="D238" i="3"/>
  <c r="G291" i="3"/>
  <c r="J279" i="3"/>
  <c r="H279" i="3"/>
  <c r="E279" i="3"/>
  <c r="D299" i="3"/>
  <c r="C297" i="3"/>
  <c r="J322" i="3"/>
  <c r="J323" i="3" s="1"/>
  <c r="G323" i="3"/>
  <c r="H322" i="3"/>
  <c r="E322" i="3"/>
  <c r="I342" i="3"/>
  <c r="H58" i="3"/>
  <c r="J63" i="3"/>
  <c r="E63" i="3"/>
  <c r="F63" i="3" s="1"/>
  <c r="E54" i="3"/>
  <c r="E58" i="3"/>
  <c r="J65" i="3"/>
  <c r="E65" i="3"/>
  <c r="F65" i="3" s="1"/>
  <c r="E98" i="3"/>
  <c r="J98" i="3"/>
  <c r="F125" i="3"/>
  <c r="D148" i="3"/>
  <c r="C139" i="3"/>
  <c r="D146" i="3"/>
  <c r="F161" i="3"/>
  <c r="I161" i="3"/>
  <c r="J168" i="3"/>
  <c r="F167" i="3"/>
  <c r="D183" i="3"/>
  <c r="F266" i="3"/>
  <c r="I266" i="3"/>
  <c r="I267" i="3"/>
  <c r="L322" i="3"/>
  <c r="J149" i="3"/>
  <c r="J243" i="3"/>
  <c r="E239" i="3"/>
  <c r="J239" i="3"/>
  <c r="I257" i="3"/>
  <c r="J266" i="3"/>
  <c r="L267" i="3"/>
  <c r="H266" i="3"/>
  <c r="D289" i="3"/>
  <c r="D287" i="3"/>
  <c r="D285" i="3"/>
  <c r="D278" i="3"/>
  <c r="C275" i="3"/>
  <c r="D277" i="3" s="1"/>
  <c r="D284" i="3"/>
  <c r="D279" i="3"/>
  <c r="D290" i="3"/>
  <c r="D283" i="3"/>
  <c r="D281" i="3"/>
  <c r="D282" i="3"/>
  <c r="I288" i="3"/>
  <c r="I187" i="3"/>
  <c r="F187" i="3"/>
  <c r="J207" i="3"/>
  <c r="D221" i="3"/>
  <c r="D216" i="3"/>
  <c r="C213" i="3"/>
  <c r="E225" i="3" s="1"/>
  <c r="D218" i="3"/>
  <c r="D224" i="3"/>
  <c r="D234" i="3"/>
  <c r="D240" i="3"/>
  <c r="D237" i="3"/>
  <c r="D239" i="3"/>
  <c r="D235" i="3"/>
  <c r="E283" i="3"/>
  <c r="J283" i="3"/>
  <c r="J291" i="3" s="1"/>
  <c r="I310" i="3"/>
  <c r="F341" i="3"/>
  <c r="D163" i="3"/>
  <c r="M163" i="3"/>
  <c r="J183" i="3"/>
  <c r="J189" i="3" s="1"/>
  <c r="L342" i="3"/>
  <c r="J341" i="3"/>
  <c r="E341" i="3"/>
  <c r="J373" i="3"/>
  <c r="J374" i="3" s="1"/>
  <c r="E373" i="3"/>
  <c r="F373" i="3" s="1"/>
  <c r="H373" i="3"/>
  <c r="I373" i="3" s="1"/>
  <c r="I383" i="3"/>
  <c r="D158" i="3"/>
  <c r="D164" i="3"/>
  <c r="H222" i="3"/>
  <c r="G268" i="3"/>
  <c r="L311" i="3"/>
  <c r="J310" i="3"/>
  <c r="D311" i="3"/>
  <c r="H341" i="3"/>
  <c r="I341" i="3" s="1"/>
  <c r="G374" i="3"/>
  <c r="F404" i="3"/>
  <c r="J351" i="3"/>
  <c r="M360" i="3"/>
  <c r="E383" i="3"/>
  <c r="F383" i="3" s="1"/>
  <c r="C391" i="3"/>
  <c r="D393" i="3" s="1"/>
  <c r="J393" i="3"/>
  <c r="J394" i="3"/>
  <c r="J395" i="3" s="1"/>
  <c r="C402" i="3"/>
  <c r="J404" i="3"/>
  <c r="M393" i="3"/>
  <c r="M394" i="3"/>
  <c r="M404" i="3"/>
  <c r="H393" i="3"/>
  <c r="H404" i="3"/>
  <c r="I404" i="3" s="1"/>
  <c r="F311" i="3" l="1"/>
  <c r="I311" i="3"/>
  <c r="I239" i="3"/>
  <c r="F239" i="3"/>
  <c r="F224" i="3"/>
  <c r="I224" i="3"/>
  <c r="I221" i="3"/>
  <c r="F221" i="3"/>
  <c r="I283" i="3"/>
  <c r="F283" i="3"/>
  <c r="F277" i="3"/>
  <c r="I277" i="3"/>
  <c r="I289" i="3"/>
  <c r="F289" i="3"/>
  <c r="D145" i="3"/>
  <c r="D143" i="3"/>
  <c r="F238" i="3"/>
  <c r="I238" i="3"/>
  <c r="D202" i="3"/>
  <c r="D200" i="3"/>
  <c r="D205" i="3"/>
  <c r="F203" i="3"/>
  <c r="I203" i="3"/>
  <c r="E149" i="3"/>
  <c r="H149" i="3"/>
  <c r="E243" i="3"/>
  <c r="H243" i="3"/>
  <c r="I321" i="3"/>
  <c r="F321" i="3"/>
  <c r="J114" i="3"/>
  <c r="F59" i="3"/>
  <c r="I59" i="3"/>
  <c r="F13" i="3"/>
  <c r="I13" i="3"/>
  <c r="H225" i="3"/>
  <c r="I160" i="3"/>
  <c r="F160" i="3"/>
  <c r="F90" i="3"/>
  <c r="I90" i="3"/>
  <c r="I103" i="3"/>
  <c r="F103" i="3"/>
  <c r="I110" i="3"/>
  <c r="F110" i="3"/>
  <c r="I93" i="3"/>
  <c r="F93" i="3"/>
  <c r="I101" i="3"/>
  <c r="F101" i="3"/>
  <c r="F37" i="3"/>
  <c r="I37" i="3"/>
  <c r="H68" i="3"/>
  <c r="E68" i="3"/>
  <c r="F393" i="3"/>
  <c r="I393" i="3"/>
  <c r="I164" i="3"/>
  <c r="F164" i="3"/>
  <c r="F163" i="3"/>
  <c r="I163" i="3"/>
  <c r="F237" i="3"/>
  <c r="I237" i="3"/>
  <c r="F218" i="3"/>
  <c r="I218" i="3"/>
  <c r="F282" i="3"/>
  <c r="I282" i="3"/>
  <c r="F290" i="3"/>
  <c r="I290" i="3"/>
  <c r="I278" i="3"/>
  <c r="F278" i="3"/>
  <c r="F183" i="3"/>
  <c r="I183" i="3"/>
  <c r="D168" i="3"/>
  <c r="I148" i="3"/>
  <c r="F148" i="3"/>
  <c r="I204" i="3"/>
  <c r="F204" i="3"/>
  <c r="I206" i="3"/>
  <c r="F206" i="3"/>
  <c r="E114" i="3"/>
  <c r="H114" i="3"/>
  <c r="I58" i="3"/>
  <c r="F58" i="3"/>
  <c r="D51" i="3"/>
  <c r="D52" i="3"/>
  <c r="D50" i="3"/>
  <c r="F242" i="3"/>
  <c r="I242" i="3"/>
  <c r="I179" i="3"/>
  <c r="F179" i="3"/>
  <c r="D189" i="3"/>
  <c r="F322" i="3"/>
  <c r="I322" i="3"/>
  <c r="J132" i="3"/>
  <c r="F42" i="3"/>
  <c r="I42" i="3"/>
  <c r="I12" i="3"/>
  <c r="F12" i="3"/>
  <c r="I162" i="3"/>
  <c r="F162" i="3"/>
  <c r="F108" i="3"/>
  <c r="I108" i="3"/>
  <c r="I112" i="3"/>
  <c r="F112" i="3"/>
  <c r="D106" i="3"/>
  <c r="D98" i="3"/>
  <c r="D91" i="3"/>
  <c r="D86" i="3"/>
  <c r="D82" i="3"/>
  <c r="D107" i="3"/>
  <c r="D89" i="3"/>
  <c r="D85" i="3"/>
  <c r="D96" i="3"/>
  <c r="D100" i="3"/>
  <c r="D97" i="3"/>
  <c r="D80" i="3"/>
  <c r="D105" i="3"/>
  <c r="D102" i="3"/>
  <c r="D94" i="3"/>
  <c r="I95" i="3"/>
  <c r="F95" i="3"/>
  <c r="I104" i="3"/>
  <c r="F104" i="3"/>
  <c r="I60" i="3"/>
  <c r="F60" i="3"/>
  <c r="I158" i="3"/>
  <c r="F158" i="3"/>
  <c r="F240" i="3"/>
  <c r="I240" i="3"/>
  <c r="D219" i="3"/>
  <c r="D225" i="3" s="1"/>
  <c r="D217" i="3"/>
  <c r="D222" i="3"/>
  <c r="F279" i="3"/>
  <c r="I279" i="3"/>
  <c r="I285" i="3"/>
  <c r="F285" i="3"/>
  <c r="F199" i="3"/>
  <c r="I199" i="3"/>
  <c r="I198" i="3"/>
  <c r="F198" i="3"/>
  <c r="F185" i="3"/>
  <c r="I185" i="3"/>
  <c r="I40" i="3"/>
  <c r="F40" i="3"/>
  <c r="I236" i="3"/>
  <c r="D243" i="3"/>
  <c r="F236" i="3"/>
  <c r="I181" i="3"/>
  <c r="F181" i="3"/>
  <c r="I15" i="3"/>
  <c r="F15" i="3"/>
  <c r="I16" i="3"/>
  <c r="F16" i="3"/>
  <c r="I165" i="3"/>
  <c r="F165" i="3"/>
  <c r="F111" i="3"/>
  <c r="I111" i="3"/>
  <c r="I83" i="3"/>
  <c r="F83" i="3"/>
  <c r="F81" i="3"/>
  <c r="I81" i="3"/>
  <c r="I109" i="3"/>
  <c r="F109" i="3"/>
  <c r="F46" i="3"/>
  <c r="I46" i="3"/>
  <c r="F61" i="3"/>
  <c r="I61" i="3"/>
  <c r="F235" i="3"/>
  <c r="I235" i="3"/>
  <c r="I234" i="3"/>
  <c r="F234" i="3"/>
  <c r="F216" i="3"/>
  <c r="I216" i="3"/>
  <c r="I281" i="3"/>
  <c r="F281" i="3"/>
  <c r="F284" i="3"/>
  <c r="I284" i="3"/>
  <c r="I287" i="3"/>
  <c r="F287" i="3"/>
  <c r="I146" i="3"/>
  <c r="F146" i="3"/>
  <c r="I299" i="3"/>
  <c r="F299" i="3"/>
  <c r="F201" i="3"/>
  <c r="I201" i="3"/>
  <c r="F180" i="3"/>
  <c r="I180" i="3"/>
  <c r="E132" i="3"/>
  <c r="F132" i="3" s="1"/>
  <c r="H132" i="3"/>
  <c r="I132" i="3" s="1"/>
  <c r="I54" i="3"/>
  <c r="F54" i="3"/>
  <c r="I241" i="3"/>
  <c r="F241" i="3"/>
  <c r="I184" i="3"/>
  <c r="F184" i="3"/>
  <c r="F44" i="3"/>
  <c r="I44" i="3"/>
  <c r="F99" i="3"/>
  <c r="I99" i="3"/>
  <c r="I18" i="3"/>
  <c r="F18" i="3"/>
  <c r="F88" i="3"/>
  <c r="I88" i="3"/>
  <c r="F84" i="3"/>
  <c r="I84" i="3"/>
  <c r="F92" i="3"/>
  <c r="I92" i="3"/>
  <c r="I87" i="3"/>
  <c r="F87" i="3"/>
  <c r="F79" i="3"/>
  <c r="I79" i="3"/>
  <c r="F47" i="3"/>
  <c r="I47" i="3"/>
  <c r="F36" i="3"/>
  <c r="I36" i="3"/>
  <c r="I225" i="3" l="1"/>
  <c r="F225" i="3"/>
  <c r="F102" i="3"/>
  <c r="I102" i="3"/>
  <c r="I100" i="3"/>
  <c r="F100" i="3"/>
  <c r="I107" i="3"/>
  <c r="F107" i="3"/>
  <c r="I98" i="3"/>
  <c r="F98" i="3"/>
  <c r="F50" i="3"/>
  <c r="I50" i="3"/>
  <c r="I200" i="3"/>
  <c r="F200" i="3"/>
  <c r="I143" i="3"/>
  <c r="F143" i="3"/>
  <c r="D149" i="3"/>
  <c r="F222" i="3"/>
  <c r="I222" i="3"/>
  <c r="F105" i="3"/>
  <c r="I105" i="3"/>
  <c r="I96" i="3"/>
  <c r="F96" i="3"/>
  <c r="I82" i="3"/>
  <c r="F82" i="3"/>
  <c r="F106" i="3"/>
  <c r="I106" i="3"/>
  <c r="F52" i="3"/>
  <c r="I52" i="3"/>
  <c r="I168" i="3"/>
  <c r="F168" i="3"/>
  <c r="F202" i="3"/>
  <c r="I202" i="3"/>
  <c r="I145" i="3"/>
  <c r="F145" i="3"/>
  <c r="I217" i="3"/>
  <c r="F217" i="3"/>
  <c r="I80" i="3"/>
  <c r="F80" i="3"/>
  <c r="F114" i="3" s="1"/>
  <c r="D114" i="3"/>
  <c r="I114" i="3" s="1"/>
  <c r="F85" i="3"/>
  <c r="I85" i="3"/>
  <c r="F86" i="3"/>
  <c r="I86" i="3"/>
  <c r="I51" i="3"/>
  <c r="F51" i="3"/>
  <c r="I243" i="3"/>
  <c r="F243" i="3"/>
  <c r="I219" i="3"/>
  <c r="F219" i="3"/>
  <c r="F94" i="3"/>
  <c r="I94" i="3"/>
  <c r="F97" i="3"/>
  <c r="I97" i="3"/>
  <c r="I89" i="3"/>
  <c r="F89" i="3"/>
  <c r="I91" i="3"/>
  <c r="F91" i="3"/>
  <c r="F189" i="3"/>
  <c r="I189" i="3"/>
  <c r="F205" i="3"/>
  <c r="I205" i="3"/>
  <c r="I149" i="3" l="1"/>
  <c r="F149" i="3"/>
</calcChain>
</file>

<file path=xl/sharedStrings.xml><?xml version="1.0" encoding="utf-8"?>
<sst xmlns="http://schemas.openxmlformats.org/spreadsheetml/2006/main" count="16566" uniqueCount="613">
  <si>
    <t>LAPORAN BULANAN KEGIATAN KECAMATAN SUNGAI KUNJANG</t>
  </si>
  <si>
    <t xml:space="preserve">RUTIN </t>
  </si>
  <si>
    <t>NO.REK</t>
  </si>
  <si>
    <t>URAIAN</t>
  </si>
  <si>
    <t>ANGGARAN</t>
  </si>
  <si>
    <t>PERKEMBANGAN FISIK</t>
  </si>
  <si>
    <t>REALISASI KEUANGAN</t>
  </si>
  <si>
    <t>SISA DANA</t>
  </si>
  <si>
    <t>KET</t>
  </si>
  <si>
    <t>Bobot</t>
  </si>
  <si>
    <t>Fisik</t>
  </si>
  <si>
    <t>Tertimbang</t>
  </si>
  <si>
    <t xml:space="preserve">Keuangan </t>
  </si>
  <si>
    <t>Keuangan</t>
  </si>
  <si>
    <t>(%)</t>
  </si>
  <si>
    <t>(Rp)</t>
  </si>
  <si>
    <t>BELANJA LANGSUNG</t>
  </si>
  <si>
    <t xml:space="preserve">PROGRAM PENUNJANG URUSAN PEMERINTAHAN DAERAHKABUPATEN / KOTA </t>
  </si>
  <si>
    <t xml:space="preserve">Koordinasi dan Penyusunan laporan Capaian Kinerja dan Ikhtisar Realisasi Kinerja SKPD </t>
  </si>
  <si>
    <t xml:space="preserve">Belanja Honorarium Penanggungjawaban Pengelola Keuangan </t>
  </si>
  <si>
    <t>51.02.01.01.0026</t>
  </si>
  <si>
    <t xml:space="preserve">Belanja Alat /Bahan Untuk Kegiatan Kantor - Bahan Cetak </t>
  </si>
  <si>
    <t>Belanja Makanan dan minuman Rapat</t>
  </si>
  <si>
    <t xml:space="preserve">Belanja PerJalanan Dinas Biasa </t>
  </si>
  <si>
    <t xml:space="preserve">Administrasi Keuangan Perangkat Daerah </t>
  </si>
  <si>
    <t>Penyediaan Gaji dan Tunjangan ASN</t>
  </si>
  <si>
    <t>5.1.01.01.01.0001</t>
  </si>
  <si>
    <t>Belanja Gaji Pokok PNS</t>
  </si>
  <si>
    <t>5.1.01.01.02.0001</t>
  </si>
  <si>
    <t>Belanja Tunjangan Keluarga PNS</t>
  </si>
  <si>
    <t>5.1.01.01.03.0001</t>
  </si>
  <si>
    <t>Belanja Tunjangan Jabatan PNS</t>
  </si>
  <si>
    <t>5.1.01.01.04.0001</t>
  </si>
  <si>
    <t>Belanja Tunjangan Fungsional PNS</t>
  </si>
  <si>
    <t>5.1.01.01.05.0001</t>
  </si>
  <si>
    <t>Belanja Tunjangan Fungsional Umum PNS</t>
  </si>
  <si>
    <t>5.1.01.01.06.0001</t>
  </si>
  <si>
    <t xml:space="preserve">Belanja Tunjangan Beras PNS </t>
  </si>
  <si>
    <t>5.1.01.01.07.0001</t>
  </si>
  <si>
    <t xml:space="preserve">Belanja Tunjangan PPH/Tunjangan Khusus PNS </t>
  </si>
  <si>
    <t>5.1.01.01.08.0001</t>
  </si>
  <si>
    <t xml:space="preserve">Belanja Pembulatan Gaji PNS </t>
  </si>
  <si>
    <t>Tambahan Penghasilan Berdasarkan Beban Kerja PNS</t>
  </si>
  <si>
    <t xml:space="preserve">Penyediaan Adminsitrasi Pelaksanaan Tugas ASN </t>
  </si>
  <si>
    <t>5.1.01.03.07.0001</t>
  </si>
  <si>
    <t xml:space="preserve">Belanja Honorarium Penanggung jawaban Pengelola Keuangan </t>
  </si>
  <si>
    <t>5.1.02.02.01.0026</t>
  </si>
  <si>
    <t xml:space="preserve">Belanja Jasa Tenaga Administrasi </t>
  </si>
  <si>
    <t>5.1.02.02.01.0029</t>
  </si>
  <si>
    <t>Belanja Jasa Tenaga Ahli</t>
  </si>
  <si>
    <t>5.1.02.02.02.0005</t>
  </si>
  <si>
    <t xml:space="preserve">Belanja Iuran Jaminan Kesehatan Bagi Non ASN </t>
  </si>
  <si>
    <t xml:space="preserve">Administrasi Umum Perangkat Daerah </t>
  </si>
  <si>
    <t xml:space="preserve">Penyediaan Komponen Instalasi Listrik /Penerangan Bangunan Kantor </t>
  </si>
  <si>
    <t>5.1.02.01.01.0031</t>
  </si>
  <si>
    <t xml:space="preserve">Belanja Alat/Bahan Untuk Kegiatan Kantor -Alat Listrik </t>
  </si>
  <si>
    <t xml:space="preserve">Penyediaan Peralatan dan Perlengkapan Kantor </t>
  </si>
  <si>
    <t>5.2.02.10.02.0002</t>
  </si>
  <si>
    <t xml:space="preserve">Penyediaan Bahan Logistik Kantor </t>
  </si>
  <si>
    <t>5.1.02.01.01.0024</t>
  </si>
  <si>
    <t xml:space="preserve">Belanja Alat/Bahan Untuk Kegiatan Kantor -Alat Tulis Kantor  </t>
  </si>
  <si>
    <t xml:space="preserve">Penyediaan barang Cetakan dan Penggandaan </t>
  </si>
  <si>
    <t>5.1.02.01.01.0026</t>
  </si>
  <si>
    <t xml:space="preserve">Belanja Alat/Bahan untuk kegiatan Kantor - Bahan Cetak </t>
  </si>
  <si>
    <t>Penyelenggaraan Rapat Koordinasi dan Konsultasi SKPD</t>
  </si>
  <si>
    <t>5.1.02.04.01.0001</t>
  </si>
  <si>
    <t>5.1.02.04.01.0003</t>
  </si>
  <si>
    <t xml:space="preserve">Belanja Perjalanan Dinas Dalam Kota </t>
  </si>
  <si>
    <t>Penyediaan Jasa Penunjang Urusan Pemerintahan Daerah</t>
  </si>
  <si>
    <t xml:space="preserve">Penyediaan  Jasa Komunikasi, Sumber Daya Air dan Listrik </t>
  </si>
  <si>
    <t>5.1.02.02.01.0059</t>
  </si>
  <si>
    <t xml:space="preserve">Belanja Tagihan Telphone </t>
  </si>
  <si>
    <t>5.1.02.02.01.0060</t>
  </si>
  <si>
    <t xml:space="preserve">Belanja Tagihan Air </t>
  </si>
  <si>
    <t>5.1.02.02.01.0061</t>
  </si>
  <si>
    <t xml:space="preserve">Belanja Tagihan Listrik </t>
  </si>
  <si>
    <t xml:space="preserve">Penyediaan Jasa Pelayanan Umum Kantor </t>
  </si>
  <si>
    <t>5.1.02.01.01.0052</t>
  </si>
  <si>
    <t>5.1.02.01.01.0008</t>
  </si>
  <si>
    <t xml:space="preserve">Pemeliharaan Barang Milik Daerah Penunjang Urusan Pemerintahan Daerah </t>
  </si>
  <si>
    <t>5.1.02.01.01.0004</t>
  </si>
  <si>
    <t xml:space="preserve">Belanja Bahan-bahan Bakar dan Pelumas </t>
  </si>
  <si>
    <t>5.1.02.01.01.0013</t>
  </si>
  <si>
    <t xml:space="preserve">Belanja Suku Cadang - Suku Cadang Alat Angkutan </t>
  </si>
  <si>
    <t>5.1.02.01.01.0067</t>
  </si>
  <si>
    <t xml:space="preserve">Belanja Pembayaran Pajak, Bea, dan Perizinan </t>
  </si>
  <si>
    <t>5.1.02.01.01.0035</t>
  </si>
  <si>
    <t xml:space="preserve">Belanja Pemeliharaan Alat angkutan darat bermotor - Kendaraan Dinas Bermotor Perorangan </t>
  </si>
  <si>
    <t xml:space="preserve">Pemeliharaan / Rehabilitas Gedung Kantor dan Bangunan Lainnya </t>
  </si>
  <si>
    <t xml:space="preserve">Belanja Pemeliharaan Bangunan Gedung - Bangunan Gedung Tempat Kerja - Bangunan Gedung Kantor </t>
  </si>
  <si>
    <t xml:space="preserve">Pemeliharaan / Rehabilitas Sarana Dan Prasarana Gedung Kantor atau Bangunan Lainnya </t>
  </si>
  <si>
    <t>5.1.02.03.02.0121</t>
  </si>
  <si>
    <t>Belanja Pemeliharaan Alat Kantor dan Rumah Tangga - Alat Rumah Tangga - Alat Pendingin</t>
  </si>
  <si>
    <t>5.1.02.03.02.0405</t>
  </si>
  <si>
    <t xml:space="preserve">Belanja Pemeliharaan Komputer - Komputer Unit - Personal Komputer </t>
  </si>
  <si>
    <t>JUMLAH</t>
  </si>
  <si>
    <t xml:space="preserve">Koordinasi Penyelenggaraan Kegiatan Pemerintahan di Tingkat Kecamatan </t>
  </si>
  <si>
    <t xml:space="preserve">Peningkatan Efektifitas Kegiatan Pemerintahan di Tingkat Kecamatan </t>
  </si>
  <si>
    <t xml:space="preserve">Belanja Honorarium Penanggung Jawaban Pengelola Keuangan </t>
  </si>
  <si>
    <t xml:space="preserve">Belanja Bahan - bahan/Bibit Tanaman </t>
  </si>
  <si>
    <t xml:space="preserve">Belanja Alat/Bahan untuk Kegiatan Kantor - Alat Tulis Kantor </t>
  </si>
  <si>
    <t xml:space="preserve">Belanja Alat/Bahan Untuk Kegiatan Kantor - Bahan Cetak </t>
  </si>
  <si>
    <t xml:space="preserve">Belanja Alat/Bahan untuk Kegiatan Kantor - Alat Listrik </t>
  </si>
  <si>
    <t xml:space="preserve">Belanja Makanan Dan Minuman Rapat </t>
  </si>
  <si>
    <t>5.1.02.01.01.0075</t>
  </si>
  <si>
    <t xml:space="preserve">Belanja Pakaian Batik Tradisional </t>
  </si>
  <si>
    <t>5.1.02.02.01.0003</t>
  </si>
  <si>
    <t xml:space="preserve">Honorarium Narasumber atau pembahas Moderator, pembawa Acara dan Panitia </t>
  </si>
  <si>
    <t>5.1.02.02.01.0047</t>
  </si>
  <si>
    <t>Belanja jasa Penyelenggaraan Acara</t>
  </si>
  <si>
    <t>5.1.02.02.04.0034</t>
  </si>
  <si>
    <t xml:space="preserve">Belanja Sewa Alat Bantu Lainya </t>
  </si>
  <si>
    <t>5.1.02.02.04.0123</t>
  </si>
  <si>
    <t>Belanja Sewa Alat Rumah Tangga Lainya ( Home Use )</t>
  </si>
  <si>
    <t>5.1.02.02.04.0132</t>
  </si>
  <si>
    <t xml:space="preserve">Belanja Sewa Peralatan Studio Audio </t>
  </si>
  <si>
    <t>5.1.02.03.02.0120</t>
  </si>
  <si>
    <t xml:space="preserve">Belanja Pemeliharaan Alat Kantor dan Rumah Tangga - Alat Rumah Tangga - Alat Pembersih </t>
  </si>
  <si>
    <t>5.1.02.03.03.0001</t>
  </si>
  <si>
    <t xml:space="preserve">Belanja Pemeliharaan Bangunan Gedung - Bangunan Gedung Tempat kerja - Bangunan Gedung Kantor </t>
  </si>
  <si>
    <t>Belanja Perjalanan Dinas Dalam Kota</t>
  </si>
  <si>
    <t>5.2.02.05.03.0005</t>
  </si>
  <si>
    <t>5.2.02.11.02.0002</t>
  </si>
  <si>
    <t xml:space="preserve">KELURAHAN TELUK LERONG ULU </t>
  </si>
  <si>
    <t xml:space="preserve">ANGGARAN </t>
  </si>
  <si>
    <t xml:space="preserve">Belanja Alat / Bahan Untuk Kegiatan Kantor - Alat Tulis Kantor </t>
  </si>
  <si>
    <t xml:space="preserve">Belanja Alat / Bahan Untuk Kegiatan Kantor - Bahan Cetak </t>
  </si>
  <si>
    <t xml:space="preserve">Belanja Makanan dan Minuman Rapat </t>
  </si>
  <si>
    <t xml:space="preserve">TOTAL </t>
  </si>
  <si>
    <t xml:space="preserve">KELURAHAN KARANG ANYAR </t>
  </si>
  <si>
    <t>5.1.02.01.01.0076</t>
  </si>
  <si>
    <t xml:space="preserve">Belanja pakaian Olahraga </t>
  </si>
  <si>
    <t>KODE</t>
  </si>
  <si>
    <t xml:space="preserve">KELURAHAN KARANG ASAM ULU </t>
  </si>
  <si>
    <t xml:space="preserve">Belanja Honoorarium Penanggung Jawaban Pengelola Keuangan </t>
  </si>
  <si>
    <t xml:space="preserve">Belanja makanan dan minuman Rapat </t>
  </si>
  <si>
    <t>Total</t>
  </si>
  <si>
    <t xml:space="preserve">KELURAHAN KARANG ASAM ILIR </t>
  </si>
  <si>
    <t xml:space="preserve">KELURAHAN LOK BAHU </t>
  </si>
  <si>
    <t xml:space="preserve">Belanja makanan dan Minuman Rapat </t>
  </si>
  <si>
    <t xml:space="preserve">Jumlah </t>
  </si>
  <si>
    <t xml:space="preserve"> </t>
  </si>
  <si>
    <t xml:space="preserve">Belanja Alat / Bahan untuk Kegiatan Kantor - Alat Tulis Kantor </t>
  </si>
  <si>
    <t xml:space="preserve">Belanja Makanan Dan Minuman  Rapat </t>
  </si>
  <si>
    <t/>
  </si>
  <si>
    <t xml:space="preserve">PROGRAM PEMBERDAYAAN MASYARAKAT DESA DAN KELURAHAN </t>
  </si>
  <si>
    <t xml:space="preserve">Kegiatan Pemberdayaan Kelurahan </t>
  </si>
  <si>
    <t xml:space="preserve">Pembangunan Sarana dan Prasarana Kelurahan </t>
  </si>
  <si>
    <t>5.1.02.01.01.0039</t>
  </si>
  <si>
    <t xml:space="preserve">Belanja Persediaan Untuk Dijual/Diserahkan - Persediaan Untuk Dijual/Diserahkan Kepada Masyarakat </t>
  </si>
  <si>
    <t xml:space="preserve">Pemberdayaan Masyarakat Dikelurahan </t>
  </si>
  <si>
    <t xml:space="preserve">Belanja Persediaan Untuk Dijual/Diserahkan - Persediaan Untuk Dijual /Diserahkan Kepada Masyarakat </t>
  </si>
  <si>
    <t>5.1.02.02.01.0017</t>
  </si>
  <si>
    <t xml:space="preserve">Belanja Jasa Tenaga Ketentraman, Ketertiban Umum,dan Perlindungan Masyarakat </t>
  </si>
  <si>
    <t xml:space="preserve">JUMLAH </t>
  </si>
  <si>
    <t xml:space="preserve">Belanja Persediaan Untuk Dijual/Diserahkan - Persediaan Untuk Dijual/Diserahkan Kepada masyarakat </t>
  </si>
  <si>
    <t xml:space="preserve">Pemberdayaan Masyarakat Dikelurahan Loa Buah </t>
  </si>
  <si>
    <t>5.1.02.02.01.0039</t>
  </si>
  <si>
    <t xml:space="preserve">Belanja Persediaan Untuk dijual/Diserahkan - Persediaan Untuk Dijual/diserahkan Kepada masyarakat </t>
  </si>
  <si>
    <t xml:space="preserve">Belanja jasa Tenaga Ketentraman, Ketertiban Umum Dan perlindungan Masyarakat </t>
  </si>
  <si>
    <t xml:space="preserve">Belanja Persediaan Untuk Dijual/Diserahkan - Persediaan Untuk Dijual/diserahkan Kepada Masyarakat </t>
  </si>
  <si>
    <t xml:space="preserve">Belanja Persediaan Untuk Dijual/Diserahkan - Persediaan untuk dijual/diserahkan kepada masyarakat </t>
  </si>
  <si>
    <t>5.1.02.02.04.0117</t>
  </si>
  <si>
    <t xml:space="preserve">Belanja Persediaan Untuk dijual/diserahkan - Persediaan Untuk Dijual/diserahkan Kepada masyarakat </t>
  </si>
  <si>
    <t xml:space="preserve">Pemberdayaan Masyarakat di Kelurahan </t>
  </si>
  <si>
    <t>Belanja Persediaan Untuk Dijual/Diserahkan - Persediaan Untuk Dijual/Diserahkan Kepada Masyarakat</t>
  </si>
  <si>
    <t xml:space="preserve">Belanja Jasa Tenaga Ketentraman, Ketertiban Umum, dan Perlindungan Masyarakat </t>
  </si>
  <si>
    <t>NIP. 19860723 2004 12 1 003</t>
  </si>
  <si>
    <t>KELURAHAN KARANG ANYAR</t>
  </si>
  <si>
    <t>KELURAHAN KARANG ASAM ULU</t>
  </si>
  <si>
    <t>KELURAHAN KARANG ASAM ILIR</t>
  </si>
  <si>
    <t>KELURAHAN LOA BAKUNG</t>
  </si>
  <si>
    <t>Belanja Pakaian Dinas Lapangan ( PDL )</t>
  </si>
  <si>
    <t>BULAN : JANUARI</t>
  </si>
  <si>
    <t>TAHUN ANGGARAN 2022</t>
  </si>
  <si>
    <t>KELURAHAN LOA BUAH</t>
  </si>
  <si>
    <t>KELURAHAN TELUK LERONG ULU</t>
  </si>
  <si>
    <t>KELURAHAN LOK BAHU</t>
  </si>
  <si>
    <t>Belanja makanan dan minuman aktivitas lapangan</t>
  </si>
  <si>
    <t>belanja pakaian batik tradisional</t>
  </si>
  <si>
    <t>7.01.02.2.01</t>
  </si>
  <si>
    <t>7.01.02.2.01.02</t>
  </si>
  <si>
    <t>Belanja pakaian batik tradisional</t>
  </si>
  <si>
    <t>5.1.02.01.01.0058</t>
  </si>
  <si>
    <t>7.01.03.2.02.02</t>
  </si>
  <si>
    <t>7.01.03.2.02</t>
  </si>
  <si>
    <t>5.1.02.02.01.0075</t>
  </si>
  <si>
    <t>7.01.03.2.02.03</t>
  </si>
  <si>
    <t xml:space="preserve">Belanja sewa alat kantor lainnya </t>
  </si>
  <si>
    <t xml:space="preserve">Belanja sewa alat bantu lainnya </t>
  </si>
  <si>
    <t>belanja perjalanan dinas biasa</t>
  </si>
  <si>
    <t>Belanja hadiah yang bersifat perlombaan</t>
  </si>
  <si>
    <t xml:space="preserve">5.1.02.02.01.0003 </t>
  </si>
  <si>
    <t>5.1.02.01.01.0036</t>
  </si>
  <si>
    <t>5.1.02.02.01.0052</t>
  </si>
  <si>
    <t>5.1.02.04.01.0075</t>
  </si>
  <si>
    <t>Penyusunan Dokumen Perencanaan Perangkat Daerah</t>
  </si>
  <si>
    <t>Belanja Alat / Bahan Untuk Kegiatan Kantor - Alat Tulis Kantor</t>
  </si>
  <si>
    <t>Belanja Makanan dan Minuman Rapat</t>
  </si>
  <si>
    <t>7.01.01</t>
  </si>
  <si>
    <t>7.01.01.2.01</t>
  </si>
  <si>
    <t>7.01.01.2.01.06</t>
  </si>
  <si>
    <t>7.01.01.2.01.01</t>
  </si>
  <si>
    <t xml:space="preserve">Belanja Iuran Jaminan Kecelakaan Bagi Non ASN </t>
  </si>
  <si>
    <t xml:space="preserve">Belanja Iuran Jaminan Kematian Bagi Non ASN </t>
  </si>
  <si>
    <t>Koordinasi dan Penyusunan Laporan Keuangan Akhir Tahun SKPD</t>
  </si>
  <si>
    <t>Belanja Modal Meubel</t>
  </si>
  <si>
    <t>Belanja Modal Alat Pendingin</t>
  </si>
  <si>
    <r>
      <rPr>
        <sz val="10"/>
        <color indexed="8"/>
        <rFont val="Calibri"/>
        <family val="2"/>
        <scheme val="minor"/>
      </rPr>
      <t xml:space="preserve">Belanja Modal Kursi Tamu di Ruangan Pejabat </t>
    </r>
  </si>
  <si>
    <t>Belanja Modal Elektronik / Elektrik</t>
  </si>
  <si>
    <t>Belanja Modal Alat Pendukung Pencarian</t>
  </si>
  <si>
    <r>
      <rPr>
        <sz val="10"/>
        <color indexed="8"/>
        <rFont val="Calibri"/>
        <family val="2"/>
        <scheme val="minor"/>
      </rPr>
      <t>Belanja Modal Kursi Hadap Depan Meja Kerja Pejabat</t>
    </r>
  </si>
  <si>
    <t>PROGRAM PENYELENGGARAAN PEMERINTAHAN DAN PELAYANAN PUBLIK</t>
  </si>
  <si>
    <t>Belanja Bahan - bahan Bangunan dan Konstruksi</t>
  </si>
  <si>
    <t>Belanja Bahan - Bahan Lainnya</t>
  </si>
  <si>
    <t>Belanja Suku Cadang-Suku Cadang Alat Kedokteran</t>
  </si>
  <si>
    <t>Belanja Obat - Obatan-Obat</t>
  </si>
  <si>
    <t>Belanja Pakaian Dinas Harian ( PDH )</t>
  </si>
  <si>
    <t>Honorarium Penyuluhan atau Pendampingan</t>
  </si>
  <si>
    <t>Belanja Sewa Bangunan Fasilitas Umum</t>
  </si>
  <si>
    <t>7.01.02</t>
  </si>
  <si>
    <t>5.1.02.01.01.0001</t>
  </si>
  <si>
    <t>5.1.02.01.01.0012</t>
  </si>
  <si>
    <t>5.1.02.01.01.0015</t>
  </si>
  <si>
    <t>5.1.02.01.01.0037</t>
  </si>
  <si>
    <t>5.1.02.01.01.0063</t>
  </si>
  <si>
    <t>5.1.02.01.01.0064</t>
  </si>
  <si>
    <t>5.1.02.02.01.0006</t>
  </si>
  <si>
    <t>5.1.02.02.01.0034</t>
  </si>
  <si>
    <t>5.1.02.02.04.0032</t>
  </si>
  <si>
    <t>7.01.01.2.02</t>
  </si>
  <si>
    <t>7.01.01.2.02.01</t>
  </si>
  <si>
    <t>5.1.01.02.01.0001</t>
  </si>
  <si>
    <t>7.01.01.2.02.02</t>
  </si>
  <si>
    <t>5.1.02.02.02.0006</t>
  </si>
  <si>
    <t>5.1.02.02.02.0007</t>
  </si>
  <si>
    <t>7.01.01.2.02.05</t>
  </si>
  <si>
    <t>7.01.01.2.06</t>
  </si>
  <si>
    <t>7.01.01.2.06.01</t>
  </si>
  <si>
    <t>7.01.01.2.06.02</t>
  </si>
  <si>
    <t>5.2.02.05.02.0001</t>
  </si>
  <si>
    <t>5.2.02.05.02.0004</t>
  </si>
  <si>
    <t>5.2.02.05.03.0006</t>
  </si>
  <si>
    <t>5.2.02.06.01.0002</t>
  </si>
  <si>
    <t>5.2.02.15.03.0002</t>
  </si>
  <si>
    <t>7.01.01.2.06.04</t>
  </si>
  <si>
    <t>7.01.01.2.06.05</t>
  </si>
  <si>
    <t>701.01.2.06.09</t>
  </si>
  <si>
    <t>7.01.01.2.08</t>
  </si>
  <si>
    <t>7.01.01.2.08.02</t>
  </si>
  <si>
    <t>7.01.01.2.08.04</t>
  </si>
  <si>
    <t>7.01.01.2.09.02</t>
  </si>
  <si>
    <t>7.01.01.2.09.</t>
  </si>
  <si>
    <t>7.01.01.2.09.09</t>
  </si>
  <si>
    <t>7.01.01.2.09.10</t>
  </si>
  <si>
    <t xml:space="preserve">Belanja Persediaan untuk Dijual/Diserahkan - Persediaan Untuk dijual/Diserahkan Kepada Masyarakat </t>
  </si>
  <si>
    <t xml:space="preserve">Belanja Persediaan Untuk Dijual/Diserahkan Persediaan Untuk Dijual/Diserahkan  Kepada Masyarakat </t>
  </si>
  <si>
    <t>TAHUN ANGGARAN 2021</t>
  </si>
  <si>
    <t>BULAN : NOVEMBER</t>
  </si>
  <si>
    <t>5.2.24</t>
  </si>
  <si>
    <t xml:space="preserve">perencanaan, Penganggara, dan Evaluasi Kinerja Perangkat Daerah </t>
  </si>
  <si>
    <t>51.01.03.07.0001</t>
  </si>
  <si>
    <t>51.02.01.01.0024</t>
  </si>
  <si>
    <t xml:space="preserve">Belanja Alat /Bahan Untuk Kegiatan Kantor - Alat Tulis Kantor </t>
  </si>
  <si>
    <t>51.02.01.01.0052</t>
  </si>
  <si>
    <t>51.02.02.01.0003</t>
  </si>
  <si>
    <t xml:space="preserve">Honorarium Narasumber atau Pembahas, Moderator, Pembawa Acara dan Panita </t>
  </si>
  <si>
    <t>51.02.04.01.0001</t>
  </si>
  <si>
    <t>52.02.10.01.0002</t>
  </si>
  <si>
    <t xml:space="preserve">Belanja Modal Personal Komputer </t>
  </si>
  <si>
    <t>52.02.10.02.0003</t>
  </si>
  <si>
    <t xml:space="preserve">Belanja Modal Peralatan Personal Computer </t>
  </si>
  <si>
    <t xml:space="preserve">SELISIH GAJI SEBESAR 42162712 ADA PENGEMBALIAN GAJI AN. SYAHLANI </t>
  </si>
  <si>
    <t>5.1.01.01.09.0001</t>
  </si>
  <si>
    <t xml:space="preserve">Belanja Modal Peralatan Mini Komputer </t>
  </si>
  <si>
    <t>5.2.02.10.02.0003</t>
  </si>
  <si>
    <t xml:space="preserve">Honorarium Tim Penyusunan Jurnal, Buletin, Majalah, Pengelola Teknologi Informasi dan Pengelola Website </t>
  </si>
  <si>
    <t xml:space="preserve">Penyediaan JasaPemeliharaan, Biaya Pemeliharaan, Pajak, dan Perizinan Kendaraan Dinas Operasional Atau Lapangan </t>
  </si>
  <si>
    <t>5.1.02.03.0001</t>
  </si>
  <si>
    <t xml:space="preserve">Program Penyelenggaraan Pemerintahan dan Pelayanan Publik </t>
  </si>
  <si>
    <t>5.1.02.01.01.0019</t>
  </si>
  <si>
    <t>Belanja Suku Cadang - Suku Cadang Alat Pertanian</t>
  </si>
  <si>
    <t xml:space="preserve">Belanja Alat/Bahan untuk Kegiatan Kantor - Souvenir/Cindera Mata </t>
  </si>
  <si>
    <t>5.1.02.01.01.0074</t>
  </si>
  <si>
    <t xml:space="preserve">Belanja Pakaian Adat Daerah </t>
  </si>
  <si>
    <t xml:space="preserve">Belanja jasa Tenaga Administrasi </t>
  </si>
  <si>
    <t xml:space="preserve">Belanja Perjalanan Dinas Biasa </t>
  </si>
  <si>
    <t>5.1.02.05.01.0001</t>
  </si>
  <si>
    <t xml:space="preserve">Belanja Hadiah yang Bersifat Perlombaan </t>
  </si>
  <si>
    <t>5.2.02.05.01.0005</t>
  </si>
  <si>
    <t>Belanja Modal Alat Kantor lainnya</t>
  </si>
  <si>
    <t xml:space="preserve">Belanja Modal Alat Dapur </t>
  </si>
  <si>
    <t xml:space="preserve">Belanja Modal Meja kerja Pejabat </t>
  </si>
  <si>
    <t>5.2.02.05.03.0003</t>
  </si>
  <si>
    <t xml:space="preserve">Belanja Modal Kursi kerja Pejabat </t>
  </si>
  <si>
    <t xml:space="preserve">Belanja Modal Kursi Rapat Pejabat </t>
  </si>
  <si>
    <t xml:space="preserve">Belanja  Modal Kursi Hadap Depan Meja Kerja Pejabat </t>
  </si>
  <si>
    <t>5.2.02.05.03.0007</t>
  </si>
  <si>
    <t xml:space="preserve">Belanja Modal Lemari dan Arsip Pejabat </t>
  </si>
  <si>
    <t>5.2.02.06.01.0006</t>
  </si>
  <si>
    <t xml:space="preserve">Belanja Modal Alat Studio lainnya </t>
  </si>
  <si>
    <t>5.2.02.10.01.0002</t>
  </si>
  <si>
    <t xml:space="preserve">Belanja Modal Peralatan Personal Komputer </t>
  </si>
  <si>
    <t xml:space="preserve">Belanja Modal Elektronik / Electric </t>
  </si>
  <si>
    <t>Kode</t>
  </si>
  <si>
    <t>Kelurahan Loa Bakung</t>
  </si>
  <si>
    <t>Pegu Anggaran</t>
  </si>
  <si>
    <t xml:space="preserve">Belanja Alat / Bahan untuk Kegiatan Kantor - Bahan Cetak </t>
  </si>
  <si>
    <t>Kelurahan Loa Buah</t>
  </si>
  <si>
    <t>Pagu</t>
  </si>
  <si>
    <t>Anggaran</t>
  </si>
  <si>
    <t>Belanja Alat / Bahan untuk Kegiatan Kantor - Alat Tulis Kantor</t>
  </si>
  <si>
    <t>Belanja Alat / Bahan untuk Kegiatan Kantor - Perabot Kantor</t>
  </si>
  <si>
    <t>Belanja Modal Komputer Unit Lainnya</t>
  </si>
  <si>
    <t>Belanja Modal Peralatan personal Komputer</t>
  </si>
  <si>
    <t xml:space="preserve">PAGU </t>
  </si>
  <si>
    <t>ANGARAN</t>
  </si>
  <si>
    <t xml:space="preserve">Belanja Alat/ Bahan Untuk kegiatan Kantor - Alat Tulis Kantor </t>
  </si>
  <si>
    <t xml:space="preserve">Belanja Alat/ Bahan Untuk kegiatan Kantor - Bahan Cetak </t>
  </si>
  <si>
    <t xml:space="preserve">Belanja jasa Tenaga Adminisitrasi </t>
  </si>
  <si>
    <t>5.1.02.04.01.0005</t>
  </si>
  <si>
    <t xml:space="preserve">Belanja Perjalanan Dinas Paket Meeting </t>
  </si>
  <si>
    <t>5.1.02.05.01.0005</t>
  </si>
  <si>
    <t xml:space="preserve">Belanja Modal Alat Kantor Lainnya </t>
  </si>
  <si>
    <t>5.1.02.05.02.0004</t>
  </si>
  <si>
    <t xml:space="preserve">Belanja Modal Alat Pendingin </t>
  </si>
  <si>
    <t>Pagu Anggaran</t>
  </si>
  <si>
    <t xml:space="preserve">Belanja perjalanan Dinas Paket Meeting </t>
  </si>
  <si>
    <t>5.2.02.10.02.0005</t>
  </si>
  <si>
    <t>Belanja Modal Peralatan Komputer Lainya</t>
  </si>
  <si>
    <t>KODE REKENING</t>
  </si>
  <si>
    <t xml:space="preserve">Belanja pakaian Dinas ( PDH ) </t>
  </si>
  <si>
    <t>5.1.02.10.01.0002</t>
  </si>
  <si>
    <t xml:space="preserve">Belanja Modal  Personal Komputer </t>
  </si>
  <si>
    <t>Belanja Alat / Bahan Untuk Kegiatan Kantor - Bahan Cetak</t>
  </si>
  <si>
    <t>5.1.02.01.01.0030</t>
  </si>
  <si>
    <t xml:space="preserve">Belanja Alat / Bahan Untuk Kegiatan Kantor - Perabot Kantor  </t>
  </si>
  <si>
    <t xml:space="preserve">Belanja Alat / Bahan Untuk Kegiatan Kantor - Alat/Bahan Untuk kegiatan kantor lainnya </t>
  </si>
  <si>
    <t xml:space="preserve">Belanja Perjalanan Dinas Paket Meeting Luar Kota  </t>
  </si>
  <si>
    <t>Belanja Alat / Bahan Untuk Kegiatan Kantor - Kertas Dan Cover</t>
  </si>
  <si>
    <t>Belanja Pemeliharaan Komputer - Komputer Unit- personal Komputer</t>
  </si>
  <si>
    <t xml:space="preserve">Kelurahan Loa Bakung </t>
  </si>
  <si>
    <t xml:space="preserve">Belanja Persediaan Untuk Dijual / Diserahkan Persediaan Untuk Dijual / Diserahkan  Kepada Masyarakat </t>
  </si>
  <si>
    <t xml:space="preserve">Kelurahan Loa Buah </t>
  </si>
  <si>
    <t xml:space="preserve">Belanja Alat/Bahan untuk kegiatan Kantor - Alat Tulis Kantor </t>
  </si>
  <si>
    <t>Belanja Pakaian Batik Tradisional</t>
  </si>
  <si>
    <t xml:space="preserve">Honorarium Narasumber atau Pembahas, Moderator, Pembawa Acara dan Panitia </t>
  </si>
  <si>
    <t xml:space="preserve">Belanja Jasa Tenaga Ketentraman, Ketertiban Umum dan Perlindungan Masyarakat </t>
  </si>
  <si>
    <t>5.1.02.02.01.0037</t>
  </si>
  <si>
    <t xml:space="preserve">Belanja Jasa Juri Perlombaan / Pertandingan </t>
  </si>
  <si>
    <t xml:space="preserve">Belanja Jasa Penyelenggaraan Acara </t>
  </si>
  <si>
    <t xml:space="preserve">Belanja Sewa Alat bantu Lainnya </t>
  </si>
  <si>
    <t xml:space="preserve">Belanja Sewa Alat Kantor Lainnya </t>
  </si>
  <si>
    <t>5.2.02.06.01.0003</t>
  </si>
  <si>
    <t>Belanja Modal Peralatan Studio Gambar</t>
  </si>
  <si>
    <t>Kelurahan Karang Asam Ulu</t>
  </si>
  <si>
    <t xml:space="preserve">Kelurahan Karang Asam Ulu </t>
  </si>
  <si>
    <t>Kelurahan Lok Bahu</t>
  </si>
  <si>
    <t xml:space="preserve">Belanja Persediaan untuk Dijual/Diserahkan - Persediaan Untuk dijual / Diserahkan Kepada Masyarakat </t>
  </si>
  <si>
    <t>Kelurahan Teluk Lerong Ulu</t>
  </si>
  <si>
    <t xml:space="preserve">Kelurahan Teluk Lerong Ulu </t>
  </si>
  <si>
    <t>Kelurahan Karang Asam Ilir</t>
  </si>
  <si>
    <t>Kelurahan Karang Anyar</t>
  </si>
  <si>
    <t>CAMAT SUNGAI KUNJANG,</t>
  </si>
  <si>
    <t>Samarinda,   Februari  2020</t>
  </si>
  <si>
    <t>PENGGUNA ANGGARAN,</t>
  </si>
  <si>
    <t xml:space="preserve">                                                                                                           </t>
  </si>
  <si>
    <t>PPTK,</t>
  </si>
  <si>
    <t>JUMAR, S.SOS M.SI</t>
  </si>
  <si>
    <t xml:space="preserve">Aditya Koesprayogi, SP </t>
  </si>
  <si>
    <t>NIP. 19651005198910 1 003</t>
  </si>
  <si>
    <t xml:space="preserve">Belanja Pemeliharaan alat kantor dan rumah tangga - alat rumah tangga - alat pembersih </t>
  </si>
  <si>
    <t>Belanja Alat/Bahan untuk kegiatan kantor alat/bahan untuk kegiatan kantor lainnya</t>
  </si>
  <si>
    <t>Belanja pemeliharaan alat kantor dan rumah tangga - alat rumah tangga - alat pendingin</t>
  </si>
  <si>
    <t>Koordinasi dan Penyusunan Laporan Capaian Kinerja dan Ikhtisar Realisasi Kinerja SKPD</t>
  </si>
  <si>
    <t>Honorarium narasumber atau pembahas,moderator,pembawa acara, dan panitia</t>
  </si>
  <si>
    <t>Belanja Alat/Bahan untuk Kegiatan Kantor alat/bahan untuk kegiatan kantor lainnya</t>
  </si>
  <si>
    <t>Pemeliharaan Barang Milik Daerah Penunjang Urusan Pemerintah daerah</t>
  </si>
  <si>
    <t>Belanja Pemeliharaan Komputer - komputer unit - personal komputer</t>
  </si>
  <si>
    <t>Koordinasi Penyelenggaraan Kegiatan Pemerintahan di Tingkat Kecamatan</t>
  </si>
  <si>
    <t>Peningkatan Efektifitas Kegiatan Pemerintahan di Tingkat Kecamatan</t>
  </si>
  <si>
    <t>Perencanaan,Penganggaran, dan Evaluasi Kinerja Perangkat Daerah</t>
  </si>
  <si>
    <t>Penyediaan Komponen Instalasi Listrik / Penerangan Bangunan Kantor</t>
  </si>
  <si>
    <t>Pemeliharaan / Rehabilitas Gedung Kantor dan Bangunan Lainnya</t>
  </si>
  <si>
    <t>Belanja Honorarium Penanggung Jawaban Pengelola Keuangan</t>
  </si>
  <si>
    <t>Belanja Alat / Bahan Untuk Kegiatan Kantor - Kertas Bahan Cetak</t>
  </si>
  <si>
    <t>Belanja Alat / Bahan Untuk Kegiatan Kantor - Alat Listrik</t>
  </si>
  <si>
    <t>Penyediaan Jasa Komunikasi,Sumber Daya Air dan Listrik</t>
  </si>
  <si>
    <t xml:space="preserve">Belanja Tagihan Telephone </t>
  </si>
  <si>
    <t>BULAN : FEBRUARI</t>
  </si>
  <si>
    <t xml:space="preserve">Penyediaan Administrasi Pelaksanaan Tugas ASN </t>
  </si>
  <si>
    <t>5.1.2.01.01.0052</t>
  </si>
  <si>
    <t>Belanja Pakaian Olahraga</t>
  </si>
  <si>
    <t>Belanja Perjalanan Dinas biasa</t>
  </si>
  <si>
    <t>5.2.04.04.02.0003</t>
  </si>
  <si>
    <t>Belanja modal jaringan listrik lainnya</t>
  </si>
  <si>
    <t>5.1.01.03.07.0002</t>
  </si>
  <si>
    <t>Belanja modal alat reproduksi(penggandaan)</t>
  </si>
  <si>
    <t>5.2.02.05.01.0003</t>
  </si>
  <si>
    <t>belanja modal alat kantor lainnya</t>
  </si>
  <si>
    <t>5.2.02.05.02.0006</t>
  </si>
  <si>
    <t>belanja modal alat rumah tangga lainnya ( home use )</t>
  </si>
  <si>
    <t>belanja modal meja kerja pejabat</t>
  </si>
  <si>
    <t>5.2.02.05.03.0001</t>
  </si>
  <si>
    <t>belanja modal lemari dan arsip pejabat</t>
  </si>
  <si>
    <t>Belanja Modal Peralatan Studio audio</t>
  </si>
  <si>
    <t>Belanja Modal Peralatan Studio Video  dan film</t>
  </si>
  <si>
    <t>5.2.02.06.01.0001</t>
  </si>
  <si>
    <t>belanja modal alat studio lainnya</t>
  </si>
  <si>
    <t>belanja modal personal computer</t>
  </si>
  <si>
    <t>belanja modal komputer unit lainnya</t>
  </si>
  <si>
    <t>5.2.02.10.01.0003</t>
  </si>
  <si>
    <t>belanja modal peralatan personal komputer</t>
  </si>
  <si>
    <t>5.1.2.01.01.0026</t>
  </si>
  <si>
    <t>belanja alat/bahan untuk kegiatan kantor bahan cetak</t>
  </si>
  <si>
    <t>5.1.2.01.01.0024</t>
  </si>
  <si>
    <t>belanja alat/bahan untuk kegiatan kantor alat tulis kantor</t>
  </si>
  <si>
    <t>belanja makanan dan minuman aktivitas lapangan</t>
  </si>
  <si>
    <t>belanja pakaian olahraga</t>
  </si>
  <si>
    <t>belanja modal kursi kerja pejabat</t>
  </si>
  <si>
    <t>belanja pemeliharaan alat kantor dan rumah tangga alat rumah tangga alat pembersih</t>
  </si>
  <si>
    <t>belanja modal peralatan personal computer</t>
  </si>
  <si>
    <t>belanja pakaian dinas harian ( PDH )</t>
  </si>
  <si>
    <t>5.1.02.01.0063</t>
  </si>
  <si>
    <t>belanja modal kursi hadap depan meja kerja pejabat</t>
  </si>
  <si>
    <t>belanja modal peralatan studio audio</t>
  </si>
  <si>
    <t>belanja modal elektronik/elektrik</t>
  </si>
  <si>
    <t>belanja bahan-bahan bangunan dan konstruksi</t>
  </si>
  <si>
    <t>belanja bahan bahan bangunan dan konstruksi</t>
  </si>
  <si>
    <t>belanja bahan bahan/bibit tanaman</t>
  </si>
  <si>
    <t>belanja suku cadang suku cadang alat pertanian</t>
  </si>
  <si>
    <t>belanja modal alat alat bantu lainnya</t>
  </si>
  <si>
    <t>belanja modal perkakas bengkel kayu</t>
  </si>
  <si>
    <t>belanja modal peralatan tukang kayu</t>
  </si>
  <si>
    <t>belanja modal alat pendingin</t>
  </si>
  <si>
    <t>belanja modal kursi tamu di ruangan pejabat</t>
  </si>
  <si>
    <t>5.2.02.01.03.0016</t>
  </si>
  <si>
    <t>5.2.02.03.01.0006</t>
  </si>
  <si>
    <t>5.2.02.03.02.0009</t>
  </si>
  <si>
    <t>belanja honorarium pengadaan barang/jasa</t>
  </si>
  <si>
    <t>DWI SITI NOORBAYAH, S.Sos, M.Si</t>
  </si>
  <si>
    <t>NIP. 196905141990032005</t>
  </si>
  <si>
    <t>Samarinda, Desember 2022</t>
  </si>
  <si>
    <t>BULAN : DESEMBER ( PERUBAHAN )</t>
  </si>
  <si>
    <t>BULAN : DESEMBER</t>
  </si>
  <si>
    <t>Belanja Honorarium pengadaan barang/jasa</t>
  </si>
  <si>
    <t>Evaluasi kinerja perangkat daerah</t>
  </si>
  <si>
    <t>5.1.2.02.01.0003</t>
  </si>
  <si>
    <t>5.1.1.03.07.0002</t>
  </si>
  <si>
    <t>5.1.2.04.01.0001</t>
  </si>
  <si>
    <t>5.1.1.03.07.0001</t>
  </si>
  <si>
    <t>5.1.1.01.01.0001</t>
  </si>
  <si>
    <t>5.1.1.01.02.0001</t>
  </si>
  <si>
    <t>5.1.1.01.03.0001</t>
  </si>
  <si>
    <t>5.1.1.01.04.0001</t>
  </si>
  <si>
    <t>5.1.1.01.05.0001</t>
  </si>
  <si>
    <t>5.1.1.01.06.0001</t>
  </si>
  <si>
    <t>5.1.1.01.07.0001</t>
  </si>
  <si>
    <t>5.1.1.01.08.0001</t>
  </si>
  <si>
    <t>5.1.1.02.01.0001</t>
  </si>
  <si>
    <t>5.1.2.02.01.0026</t>
  </si>
  <si>
    <t>5.1.2.02.02.0005</t>
  </si>
  <si>
    <t>5.1.2.02.02.0006</t>
  </si>
  <si>
    <t>5.1.2.02.02.0007</t>
  </si>
  <si>
    <t>5.1.2.01.01.0031</t>
  </si>
  <si>
    <t>5.1.2.01.01.0044</t>
  </si>
  <si>
    <t>belanja natura dan pakan-pakan</t>
  </si>
  <si>
    <t>Penyediaan bahan bacaan dan peraturan perundang-undangan</t>
  </si>
  <si>
    <t>1.2.06.6</t>
  </si>
  <si>
    <t>1.2.06.08</t>
  </si>
  <si>
    <t>Fasilitas Kunjungan Tamu</t>
  </si>
  <si>
    <t>5.1.2.02.01.0059</t>
  </si>
  <si>
    <t>5.1.2.02.01.0060</t>
  </si>
  <si>
    <t>5.1.2.02.01.0061</t>
  </si>
  <si>
    <t>Penyediaan Jasa Pemeliharaan, Biaya Pemeliharaan,dan pajak kendaraan perorangan dinas atau kendaraan dinas jabatan</t>
  </si>
  <si>
    <t>5.1.2.01.01.0004</t>
  </si>
  <si>
    <t>5.1.2.01.01.0013</t>
  </si>
  <si>
    <t>5.1.2.01.01.0067</t>
  </si>
  <si>
    <t>5.1.2.01.01.0035</t>
  </si>
  <si>
    <t>Pemeliharaan Peralatan dan mesin lainnya</t>
  </si>
  <si>
    <t>Belanja pemeliharaan alat kantor dan rumah tangga-alat rumah tangga-alat pendingin</t>
  </si>
  <si>
    <t>belanja pemeliharaan komputer-komputer unit-komputer unit lainnya</t>
  </si>
  <si>
    <t>belanja pemeliharaan komputer-peralatan komputer-peralatan mini computer</t>
  </si>
  <si>
    <t>1.2.09.6</t>
  </si>
  <si>
    <t>5.1.2.03.02.0121</t>
  </si>
  <si>
    <t>5.1.2.03.02.0406</t>
  </si>
  <si>
    <t>5.1.2.03.02.0408</t>
  </si>
  <si>
    <t>5.1.2.03.03.0001</t>
  </si>
  <si>
    <t>belanja bahan-isi tabung pemadam kebakaran</t>
  </si>
  <si>
    <t>Belanja Pemeliharaan alat kantor dan rumah tangga-alat rumah tangga-alat pembersih</t>
  </si>
  <si>
    <t>5.1.2.01.01.0009</t>
  </si>
  <si>
    <t>5.1.2.03.02.0120</t>
  </si>
  <si>
    <t>1.2.01</t>
  </si>
  <si>
    <t>1.2.01.6</t>
  </si>
  <si>
    <t>1.2.01.7</t>
  </si>
  <si>
    <t>1.2.01.1</t>
  </si>
  <si>
    <t>1.2.02</t>
  </si>
  <si>
    <t>1.2.02.1</t>
  </si>
  <si>
    <t>1.2.02.2</t>
  </si>
  <si>
    <t>1.2.02.5</t>
  </si>
  <si>
    <t>1.2.06</t>
  </si>
  <si>
    <t>1.2.06.1</t>
  </si>
  <si>
    <t>1.2.06.4</t>
  </si>
  <si>
    <t>1.2.06.5</t>
  </si>
  <si>
    <t>1.2.06.9</t>
  </si>
  <si>
    <t>1.2.08.4</t>
  </si>
  <si>
    <t>1.2.09</t>
  </si>
  <si>
    <t>1.2.09.1</t>
  </si>
  <si>
    <t>1.2.09.9</t>
  </si>
  <si>
    <t>belanja pemeliharaan bangunan gedung-bangunan gedung tempat kerja-bangunan gedung kantor</t>
  </si>
  <si>
    <t>1.2.09.10</t>
  </si>
  <si>
    <t>TAHUN ANGGARAN 2023</t>
  </si>
  <si>
    <t>belanja bahan isi tabung pemadam kebakaran</t>
  </si>
  <si>
    <t>Belanja Obat - Obatan-Obat-obat-obatan lainnya</t>
  </si>
  <si>
    <t>Belanja Pakaian adat daerah</t>
  </si>
  <si>
    <t>Belanja Sewa Alat kantor lainnya</t>
  </si>
  <si>
    <t>belanja pemeliharaan alat kantor dan rumah tangga-alat rumah tangga-alat pembersih</t>
  </si>
  <si>
    <t>belanja modal mesin proses</t>
  </si>
  <si>
    <t>5.102.01.01.0009</t>
  </si>
  <si>
    <t>5.1.02.01.01.0038</t>
  </si>
  <si>
    <t>5.2.02.01.01.0011</t>
  </si>
  <si>
    <t>5.1.02.02.07.0013</t>
  </si>
  <si>
    <t>belanja iuran jaminan kecelakaan kerja bagi non ASN</t>
  </si>
  <si>
    <t>belanja sewa mebel</t>
  </si>
  <si>
    <t>belanja sewa alat pendingin</t>
  </si>
  <si>
    <t>belanja sewa alat rumah tangga lainnya ( home use )</t>
  </si>
  <si>
    <t>Belanja sewa audio visual</t>
  </si>
  <si>
    <t>5.1.02.02.04.0118</t>
  </si>
  <si>
    <t>5.1.02..02.04.0121</t>
  </si>
  <si>
    <t>5.1.02.02.01.0123</t>
  </si>
  <si>
    <t>belanja bahan-bahan kimia</t>
  </si>
  <si>
    <t xml:space="preserve">Belanja barang Untuk Dijual/Diserahkan Kepada Masyarakat </t>
  </si>
  <si>
    <t>belanja alat/bahan untuk kegiatan kantor-alat-bahan untuk kegiatan kantor lainnya</t>
  </si>
  <si>
    <t>belanja jasa juri perlombaan/pertandingan</t>
  </si>
  <si>
    <t xml:space="preserve">Belanja barang Untuk Dijual/Diserahkan Kepada masyarakat </t>
  </si>
  <si>
    <t>Belanja sewa alat rumah tangga lainnya ( home use )</t>
  </si>
  <si>
    <t>belanja alat/bahan untuk kegiatan kantor alat listrik</t>
  </si>
  <si>
    <t>belanja alat/bahan untuk kegiatan kantor -alat/bahan untuk kegiatan kantor lainnya</t>
  </si>
  <si>
    <t>belanja sewa alat kantor lainnya</t>
  </si>
  <si>
    <t>belanja sewa audio visual</t>
  </si>
  <si>
    <t>belanja modal lukisan dan ukiran</t>
  </si>
  <si>
    <t>'5.2.02.05.02.0006</t>
  </si>
  <si>
    <t>5.2.05.01.03.0003</t>
  </si>
  <si>
    <t>belanja modal paralatan personal computer</t>
  </si>
  <si>
    <t>Samarinda, Januari 2023</t>
  </si>
  <si>
    <t>belanja alat/bahan untuk kegiatan kantor souvenir/cinderamata</t>
  </si>
  <si>
    <t>Samarinda, Februari 2023</t>
  </si>
  <si>
    <t>BULAN : MARET</t>
  </si>
  <si>
    <t>5.11.02.03.0001</t>
  </si>
  <si>
    <t>Tambahan Penghasilan Berdasarkan Kondisi Kerja PNS</t>
  </si>
  <si>
    <t>Samarinda, Maret 2023</t>
  </si>
  <si>
    <t>BULAN : APRIL</t>
  </si>
  <si>
    <t>Samarinda, April 2023</t>
  </si>
  <si>
    <t>BULAN : MEI</t>
  </si>
  <si>
    <t>Samarinda, Mei 2023</t>
  </si>
  <si>
    <t>BULAN : JUNI</t>
  </si>
  <si>
    <t>Samarinda, Juni 2023</t>
  </si>
  <si>
    <t>BULAN : JULI</t>
  </si>
  <si>
    <t>Samarinda, Juli 2023</t>
  </si>
  <si>
    <t>BULAN : AGUSTUS</t>
  </si>
  <si>
    <t>Samarinda,Agustus 2023</t>
  </si>
  <si>
    <t>BULAN : SEPTEMBER</t>
  </si>
  <si>
    <t>Samarinda, September 2023</t>
  </si>
  <si>
    <t>BULAN : OKTOBER</t>
  </si>
  <si>
    <t>Samarinda, Oktober 2023</t>
  </si>
  <si>
    <t>5.1.2.01.01.0088</t>
  </si>
  <si>
    <t>belanja natura dan pakan natura</t>
  </si>
  <si>
    <t>belanja natura dan pakan pakan</t>
  </si>
  <si>
    <t>Belanja Makanan Dan Minuman Aktivitas lapangan</t>
  </si>
  <si>
    <t>belanja iuran jaminan kesehatan bagi peserta PBPU dan BP Kelas 3</t>
  </si>
  <si>
    <t>belanja bantuan iuran jaminan kesehatan bagi peserta PBPU dan BP Kelas 3</t>
  </si>
  <si>
    <t>5.1.02.02.02.0003</t>
  </si>
  <si>
    <t>5.1.02.02.02.0004</t>
  </si>
  <si>
    <t>Belanja iuran jaminan kesehatan kerja bagi non asn</t>
  </si>
  <si>
    <t>Belanja iuran jaminan kematian kerja bagi non asn</t>
  </si>
  <si>
    <t>belanja modal alat rumah tangga lainnya ( homeuse )</t>
  </si>
  <si>
    <t>belanja modal peralatan studio</t>
  </si>
  <si>
    <t>belanja modal peralatan studio video dan film</t>
  </si>
  <si>
    <t>Belanja Honorarium Pengadaan Barang/Jasa</t>
  </si>
  <si>
    <t>5.1.2.01.01.0043</t>
  </si>
  <si>
    <t>Belanja Natura dan Pakan-Natura</t>
  </si>
  <si>
    <t>Belanja Modal Alat Rumah Tangga Lainnya (Home Use )</t>
  </si>
  <si>
    <t>5.2.2.05.02.0006</t>
  </si>
  <si>
    <t>Belanja Modal Peralatan Studio Video dan Film</t>
  </si>
  <si>
    <t>5.2.2.06.01.0002</t>
  </si>
  <si>
    <t>Belanja Modal Personal Computer</t>
  </si>
  <si>
    <t>5.2.2.10.01.0002</t>
  </si>
  <si>
    <t>5.1.2.01.01.0036</t>
  </si>
  <si>
    <t>5.1.2.02.01.0037</t>
  </si>
  <si>
    <t>5.2.2.05.02.0004</t>
  </si>
  <si>
    <t>5.2.2.05.03.0005</t>
  </si>
  <si>
    <t>Belanja Makanan dan Minuman Aktivitas Lapangan</t>
  </si>
  <si>
    <t>5.1.2.01.01.0058</t>
  </si>
  <si>
    <t>Belanja Modal Peralatan Studio Audio</t>
  </si>
  <si>
    <t>5.2.2.06.01.0001</t>
  </si>
  <si>
    <t>Belanja Modal Peralatan Personal Computer</t>
  </si>
  <si>
    <t>5.2.2.10.02.0003</t>
  </si>
  <si>
    <t>Belanja Alat/Bahan untuk Kegiatan Kantor- Bahan Cetak</t>
  </si>
  <si>
    <t>Belanja Modal Kursi Hadap Depan Meja Kerja Pejabat</t>
  </si>
  <si>
    <t>Belanja Modal Peralatan Komputer Lainnya</t>
  </si>
  <si>
    <t>5.2.2.10.02.0005</t>
  </si>
  <si>
    <t>5.1.2.01.01.0075</t>
  </si>
  <si>
    <t>Belanja Modal Meja Kerja Pejabat</t>
  </si>
  <si>
    <t>5.2.2.05.03.0001</t>
  </si>
  <si>
    <t>Belanja Barang untuk Dijual/Diserahkan kepada Pihak Ketiga/Pihak Lain</t>
  </si>
  <si>
    <t>5.1.2.01.01.0040</t>
  </si>
  <si>
    <t>Belanja Jasa Tenaga Kebersihan</t>
  </si>
  <si>
    <t>5.1.2.02.01.0030</t>
  </si>
  <si>
    <t>Belanja Honorarium Penanggungjawaban Pengelola Keuangan</t>
  </si>
  <si>
    <t>Samarinda, November 2023</t>
  </si>
  <si>
    <t>5.2.2.10.01.0003</t>
  </si>
  <si>
    <t>5.1.2.01.01.0064</t>
  </si>
  <si>
    <t>Samarinda,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</si>
</sst>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Rp&quot;* #,##0_);_(&quot;Rp&quot;* \(#,##0\);_(&quot;Rp&quot;* &quot;-&quot;_);_(@_)"/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_);_(* \(#,##0\);_(* &quot;-&quot;??_);_(@_)"/>
    <numFmt numFmtId="166" formatCode="0.00;[Red]0.00"/>
    <numFmt numFmtId="167" formatCode="#,##0.00;[Red]#,##0.0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3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8"/>
      <color indexed="62"/>
      <name val="Calibri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2" tint="-0.89999084444715716"/>
      <name val="Calibri"/>
      <family val="2"/>
      <scheme val="minor"/>
    </font>
    <font>
      <sz val="10"/>
      <color theme="2" tint="-0.89999084444715716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5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theme="2" tint="-0.89996032593768116"/>
      </left>
      <right style="thin">
        <color indexed="64"/>
      </right>
      <top style="thin">
        <color indexed="64"/>
      </top>
      <bottom/>
      <diagonal/>
    </border>
    <border>
      <left style="thin">
        <color theme="2" tint="-0.89996032593768116"/>
      </left>
      <right style="thin">
        <color indexed="64"/>
      </right>
      <top/>
      <bottom/>
      <diagonal/>
    </border>
    <border>
      <left style="thin">
        <color theme="2" tint="-0.89996032593768116"/>
      </left>
      <right style="thin">
        <color indexed="64"/>
      </right>
      <top/>
      <bottom style="thin">
        <color theme="2" tint="-0.89996032593768116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indexed="64"/>
      </top>
      <bottom/>
      <diagonal/>
    </border>
    <border>
      <left style="thin">
        <color theme="2" tint="-0.89996032593768116"/>
      </left>
      <right style="thin">
        <color theme="2" tint="-0.89996032593768116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89996032593768116"/>
      </left>
      <right style="thin">
        <color theme="2" tint="-0.89996032593768116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899899288918729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2" tint="-0.89989928891872917"/>
      </right>
      <top style="thin">
        <color theme="2" tint="-0.89989928891872917"/>
      </top>
      <bottom/>
      <diagonal/>
    </border>
    <border>
      <left style="thin">
        <color theme="2" tint="-0.89996032593768116"/>
      </left>
      <right style="thin">
        <color theme="2" tint="-0.89996032593768116"/>
      </right>
      <top/>
      <bottom style="thin">
        <color theme="2" tint="-0.89996032593768116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thin">
        <color theme="2" tint="-0.89996032593768116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64" fontId="17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" fillId="2" borderId="10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15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3" borderId="13" applyNumberFormat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7" fillId="7" borderId="9" applyNumberFormat="0" applyFon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5" borderId="10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0" borderId="11" applyNumberFormat="0" applyFill="0" applyAlignment="0" applyProtection="0">
      <alignment vertical="center"/>
    </xf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</cellStyleXfs>
  <cellXfs count="1162">
    <xf numFmtId="0" fontId="0" fillId="0" borderId="0" xfId="0"/>
    <xf numFmtId="0" fontId="1" fillId="0" borderId="0" xfId="1" applyAlignment="1"/>
    <xf numFmtId="0" fontId="19" fillId="0" borderId="0" xfId="1" applyFont="1" applyBorder="1" applyAlignment="1">
      <alignment horizontal="center"/>
    </xf>
    <xf numFmtId="0" fontId="20" fillId="0" borderId="2" xfId="1" applyFont="1" applyBorder="1" applyAlignment="1"/>
    <xf numFmtId="3" fontId="24" fillId="0" borderId="0" xfId="1" applyNumberFormat="1" applyFont="1" applyBorder="1" applyAlignment="1"/>
    <xf numFmtId="0" fontId="20" fillId="0" borderId="0" xfId="1" applyFont="1" applyBorder="1" applyAlignment="1">
      <alignment horizontal="center"/>
    </xf>
    <xf numFmtId="165" fontId="24" fillId="0" borderId="2" xfId="2" applyNumberFormat="1" applyFont="1" applyBorder="1" applyAlignment="1"/>
    <xf numFmtId="165" fontId="24" fillId="0" borderId="2" xfId="2" quotePrefix="1" applyNumberFormat="1" applyFont="1" applyBorder="1" applyAlignment="1">
      <alignment horizontal="left"/>
    </xf>
    <xf numFmtId="0" fontId="20" fillId="0" borderId="8" xfId="1" applyFont="1" applyBorder="1" applyAlignment="1">
      <alignment horizontal="center"/>
    </xf>
    <xf numFmtId="0" fontId="24" fillId="0" borderId="0" xfId="1" applyFont="1" applyBorder="1" applyAlignment="1"/>
    <xf numFmtId="0" fontId="24" fillId="0" borderId="2" xfId="1" applyFont="1" applyBorder="1" applyAlignment="1"/>
    <xf numFmtId="165" fontId="24" fillId="0" borderId="0" xfId="2" applyNumberFormat="1" applyFont="1" applyBorder="1" applyAlignment="1"/>
    <xf numFmtId="1" fontId="20" fillId="0" borderId="2" xfId="1" applyNumberFormat="1" applyFont="1" applyBorder="1" applyAlignment="1"/>
    <xf numFmtId="165" fontId="20" fillId="0" borderId="2" xfId="2" applyNumberFormat="1" applyFont="1" applyBorder="1" applyAlignment="1"/>
    <xf numFmtId="2" fontId="24" fillId="0" borderId="2" xfId="1" applyNumberFormat="1" applyFont="1" applyFill="1" applyBorder="1" applyAlignment="1"/>
    <xf numFmtId="3" fontId="20" fillId="0" borderId="0" xfId="1" applyNumberFormat="1" applyFont="1" applyBorder="1" applyAlignment="1"/>
    <xf numFmtId="0" fontId="20" fillId="0" borderId="0" xfId="1" applyFont="1" applyAlignment="1">
      <alignment horizontal="left"/>
    </xf>
    <xf numFmtId="0" fontId="24" fillId="0" borderId="0" xfId="1" applyFont="1" applyAlignment="1">
      <alignment horizontal="center"/>
    </xf>
    <xf numFmtId="2" fontId="20" fillId="0" borderId="0" xfId="1" applyNumberFormat="1" applyFont="1" applyAlignment="1"/>
    <xf numFmtId="0" fontId="20" fillId="0" borderId="0" xfId="1" applyFont="1" applyAlignment="1"/>
    <xf numFmtId="2" fontId="27" fillId="0" borderId="0" xfId="1" applyNumberFormat="1" applyFont="1" applyAlignment="1">
      <alignment horizontal="left"/>
    </xf>
    <xf numFmtId="0" fontId="27" fillId="0" borderId="0" xfId="1" applyFont="1" applyAlignment="1">
      <alignment horizontal="left"/>
    </xf>
    <xf numFmtId="2" fontId="20" fillId="19" borderId="0" xfId="1" applyNumberFormat="1" applyFont="1" applyFill="1" applyAlignment="1"/>
    <xf numFmtId="2" fontId="24" fillId="0" borderId="0" xfId="1" applyNumberFormat="1" applyFont="1" applyBorder="1" applyAlignment="1"/>
    <xf numFmtId="165" fontId="20" fillId="19" borderId="2" xfId="2" applyNumberFormat="1" applyFont="1" applyFill="1" applyBorder="1" applyAlignment="1">
      <alignment horizontal="right" vertical="center"/>
    </xf>
    <xf numFmtId="165" fontId="24" fillId="0" borderId="0" xfId="1" applyNumberFormat="1" applyFont="1" applyAlignment="1"/>
    <xf numFmtId="165" fontId="20" fillId="0" borderId="2" xfId="2" applyNumberFormat="1" applyFont="1" applyBorder="1" applyAlignment="1">
      <alignment horizontal="right"/>
    </xf>
    <xf numFmtId="0" fontId="24" fillId="0" borderId="8" xfId="1" applyFont="1" applyBorder="1" applyAlignment="1"/>
    <xf numFmtId="2" fontId="24" fillId="0" borderId="8" xfId="1" applyNumberFormat="1" applyFont="1" applyBorder="1" applyAlignment="1"/>
    <xf numFmtId="1" fontId="20" fillId="0" borderId="0" xfId="1" applyNumberFormat="1" applyFont="1" applyBorder="1" applyAlignment="1"/>
    <xf numFmtId="2" fontId="20" fillId="0" borderId="0" xfId="1" applyNumberFormat="1" applyFont="1" applyFill="1" applyBorder="1" applyAlignment="1"/>
    <xf numFmtId="2" fontId="20" fillId="0" borderId="0" xfId="1" applyNumberFormat="1" applyFont="1" applyBorder="1" applyAlignment="1"/>
    <xf numFmtId="2" fontId="24" fillId="0" borderId="0" xfId="1" applyNumberFormat="1" applyFont="1" applyFill="1" applyBorder="1" applyAlignment="1"/>
    <xf numFmtId="41" fontId="20" fillId="0" borderId="0" xfId="1" applyNumberFormat="1" applyFont="1" applyBorder="1" applyAlignment="1"/>
    <xf numFmtId="2" fontId="24" fillId="0" borderId="2" xfId="1" applyNumberFormat="1" applyFont="1" applyBorder="1" applyAlignment="1"/>
    <xf numFmtId="43" fontId="24" fillId="0" borderId="2" xfId="1" applyNumberFormat="1" applyFont="1" applyBorder="1" applyAlignment="1"/>
    <xf numFmtId="165" fontId="20" fillId="0" borderId="0" xfId="2" applyNumberFormat="1" applyFont="1" applyBorder="1" applyAlignment="1"/>
    <xf numFmtId="0" fontId="20" fillId="0" borderId="0" xfId="1" applyFont="1" applyBorder="1" applyAlignment="1"/>
    <xf numFmtId="0" fontId="24" fillId="0" borderId="2" xfId="1" applyFont="1" applyBorder="1" applyAlignment="1">
      <alignment vertical="center"/>
    </xf>
    <xf numFmtId="41" fontId="24" fillId="0" borderId="2" xfId="5" applyNumberFormat="1" applyFont="1" applyBorder="1" applyAlignment="1">
      <alignment vertical="center"/>
    </xf>
    <xf numFmtId="0" fontId="20" fillId="0" borderId="4" xfId="1" applyFont="1" applyBorder="1" applyAlignment="1"/>
    <xf numFmtId="165" fontId="20" fillId="0" borderId="0" xfId="1" applyNumberFormat="1" applyFont="1" applyBorder="1" applyAlignment="1"/>
    <xf numFmtId="165" fontId="20" fillId="0" borderId="2" xfId="2" applyNumberFormat="1" applyFont="1" applyBorder="1" applyAlignment="1">
      <alignment vertical="center"/>
    </xf>
    <xf numFmtId="41" fontId="20" fillId="0" borderId="2" xfId="1" applyNumberFormat="1" applyFont="1" applyBorder="1" applyAlignment="1">
      <alignment vertical="center"/>
    </xf>
    <xf numFmtId="0" fontId="24" fillId="21" borderId="2" xfId="1" applyFont="1" applyFill="1" applyBorder="1" applyAlignment="1"/>
    <xf numFmtId="2" fontId="24" fillId="21" borderId="2" xfId="1" applyNumberFormat="1" applyFont="1" applyFill="1" applyBorder="1" applyAlignment="1"/>
    <xf numFmtId="0" fontId="23" fillId="21" borderId="2" xfId="1" applyFont="1" applyFill="1" applyBorder="1" applyAlignment="1">
      <alignment horizontal="left" wrapText="1"/>
    </xf>
    <xf numFmtId="165" fontId="20" fillId="0" borderId="0" xfId="2" applyNumberFormat="1" applyFont="1" applyAlignment="1">
      <alignment horizontal="center" vertical="center"/>
    </xf>
    <xf numFmtId="165" fontId="24" fillId="21" borderId="2" xfId="2" applyNumberFormat="1" applyFont="1" applyFill="1" applyBorder="1" applyAlignment="1"/>
    <xf numFmtId="0" fontId="24" fillId="0" borderId="2" xfId="1" quotePrefix="1" applyFont="1" applyBorder="1" applyAlignment="1">
      <alignment horizontal="left" vertical="center"/>
    </xf>
    <xf numFmtId="0" fontId="20" fillId="0" borderId="0" xfId="1" applyFont="1" applyBorder="1" applyAlignment="1">
      <alignment horizontal="center" vertical="center"/>
    </xf>
    <xf numFmtId="165" fontId="24" fillId="0" borderId="2" xfId="2" applyNumberFormat="1" applyFont="1" applyBorder="1" applyAlignment="1">
      <alignment horizontal="left" vertical="center"/>
    </xf>
    <xf numFmtId="0" fontId="20" fillId="0" borderId="8" xfId="1" applyFont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24" fillId="21" borderId="2" xfId="1" applyFont="1" applyFill="1" applyBorder="1" applyAlignment="1">
      <alignment vertical="center"/>
    </xf>
    <xf numFmtId="3" fontId="24" fillId="0" borderId="2" xfId="1" applyNumberFormat="1" applyFont="1" applyBorder="1" applyAlignment="1">
      <alignment vertical="center"/>
    </xf>
    <xf numFmtId="42" fontId="20" fillId="0" borderId="2" xfId="1" quotePrefix="1" applyNumberFormat="1" applyFont="1" applyBorder="1" applyAlignment="1">
      <alignment vertical="center"/>
    </xf>
    <xf numFmtId="41" fontId="18" fillId="0" borderId="2" xfId="1" applyNumberFormat="1" applyFont="1" applyBorder="1" applyAlignment="1">
      <alignment vertical="center"/>
    </xf>
    <xf numFmtId="41" fontId="18" fillId="0" borderId="0" xfId="1" applyNumberFormat="1" applyFont="1" applyBorder="1" applyAlignment="1">
      <alignment vertical="center"/>
    </xf>
    <xf numFmtId="41" fontId="19" fillId="0" borderId="2" xfId="1" applyNumberFormat="1" applyFont="1" applyBorder="1" applyAlignment="1">
      <alignment vertical="center"/>
    </xf>
    <xf numFmtId="0" fontId="24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2" fontId="20" fillId="0" borderId="0" xfId="1" applyNumberFormat="1" applyFont="1" applyAlignment="1">
      <alignment horizontal="left"/>
    </xf>
    <xf numFmtId="3" fontId="20" fillId="19" borderId="2" xfId="1" applyNumberFormat="1" applyFont="1" applyFill="1" applyBorder="1" applyAlignment="1">
      <alignment vertical="center"/>
    </xf>
    <xf numFmtId="42" fontId="20" fillId="0" borderId="0" xfId="1" quotePrefix="1" applyNumberFormat="1" applyFont="1" applyBorder="1" applyAlignment="1">
      <alignment vertical="center"/>
    </xf>
    <xf numFmtId="166" fontId="20" fillId="0" borderId="0" xfId="1" applyNumberFormat="1" applyFont="1" applyBorder="1" applyAlignment="1"/>
    <xf numFmtId="0" fontId="19" fillId="0" borderId="7" xfId="1" applyFont="1" applyBorder="1" applyAlignment="1">
      <alignment horizontal="center"/>
    </xf>
    <xf numFmtId="0" fontId="18" fillId="0" borderId="24" xfId="1" quotePrefix="1" applyFont="1" applyBorder="1" applyAlignment="1">
      <alignment horizontal="left" vertical="center"/>
    </xf>
    <xf numFmtId="0" fontId="18" fillId="0" borderId="5" xfId="1" applyFont="1" applyBorder="1" applyAlignment="1">
      <alignment horizontal="left" vertical="center"/>
    </xf>
    <xf numFmtId="0" fontId="24" fillId="0" borderId="24" xfId="1" applyFont="1" applyBorder="1" applyAlignment="1">
      <alignment vertical="center"/>
    </xf>
    <xf numFmtId="0" fontId="26" fillId="0" borderId="24" xfId="1" applyFont="1" applyBorder="1" applyAlignment="1">
      <alignment horizontal="center" vertical="center"/>
    </xf>
    <xf numFmtId="0" fontId="20" fillId="19" borderId="24" xfId="1" applyFont="1" applyFill="1" applyBorder="1" applyAlignment="1">
      <alignment horizontal="left" vertical="center"/>
    </xf>
    <xf numFmtId="0" fontId="24" fillId="0" borderId="24" xfId="1" applyFont="1" applyBorder="1" applyAlignment="1">
      <alignment horizontal="left" vertical="center"/>
    </xf>
    <xf numFmtId="0" fontId="24" fillId="0" borderId="2" xfId="1" quotePrefix="1" applyFont="1" applyBorder="1" applyAlignment="1">
      <alignment vertical="center"/>
    </xf>
    <xf numFmtId="2" fontId="29" fillId="0" borderId="0" xfId="1" applyNumberFormat="1" applyFont="1" applyAlignment="1">
      <alignment horizontal="left"/>
    </xf>
    <xf numFmtId="0" fontId="19" fillId="0" borderId="24" xfId="1" applyFont="1" applyBorder="1" applyAlignment="1">
      <alignment horizontal="center"/>
    </xf>
    <xf numFmtId="0" fontId="24" fillId="2" borderId="2" xfId="1" quotePrefix="1" applyFont="1" applyFill="1" applyBorder="1" applyAlignment="1">
      <alignment horizontal="left" vertical="center" wrapText="1"/>
    </xf>
    <xf numFmtId="0" fontId="24" fillId="2" borderId="2" xfId="1" quotePrefix="1" applyFont="1" applyFill="1" applyBorder="1" applyAlignment="1">
      <alignment horizontal="left" vertical="center"/>
    </xf>
    <xf numFmtId="0" fontId="20" fillId="20" borderId="2" xfId="1" applyFont="1" applyFill="1" applyBorder="1" applyAlignment="1">
      <alignment horizontal="left" vertical="center"/>
    </xf>
    <xf numFmtId="0" fontId="20" fillId="2" borderId="2" xfId="1" quotePrefix="1" applyFont="1" applyFill="1" applyBorder="1" applyAlignment="1">
      <alignment horizontal="left" vertical="center"/>
    </xf>
    <xf numFmtId="4" fontId="24" fillId="0" borderId="4" xfId="1" applyNumberFormat="1" applyFont="1" applyBorder="1" applyAlignment="1">
      <alignment vertical="center"/>
    </xf>
    <xf numFmtId="165" fontId="24" fillId="19" borderId="2" xfId="2" applyNumberFormat="1" applyFont="1" applyFill="1" applyBorder="1" applyAlignment="1"/>
    <xf numFmtId="165" fontId="18" fillId="0" borderId="2" xfId="2" quotePrefix="1" applyNumberFormat="1" applyFont="1" applyBorder="1" applyAlignment="1">
      <alignment horizontal="left"/>
    </xf>
    <xf numFmtId="0" fontId="0" fillId="0" borderId="0" xfId="0" applyAlignment="1">
      <alignment vertical="center"/>
    </xf>
    <xf numFmtId="0" fontId="20" fillId="0" borderId="2" xfId="1" applyFont="1" applyBorder="1" applyAlignment="1">
      <alignment vertical="center"/>
    </xf>
    <xf numFmtId="41" fontId="19" fillId="22" borderId="2" xfId="1" applyNumberFormat="1" applyFont="1" applyFill="1" applyBorder="1" applyAlignment="1">
      <alignment vertical="center"/>
    </xf>
    <xf numFmtId="41" fontId="20" fillId="22" borderId="2" xfId="1" applyNumberFormat="1" applyFont="1" applyFill="1" applyBorder="1" applyAlignment="1">
      <alignment vertical="center"/>
    </xf>
    <xf numFmtId="41" fontId="20" fillId="22" borderId="2" xfId="5" applyNumberFormat="1" applyFont="1" applyFill="1" applyBorder="1" applyAlignment="1">
      <alignment vertical="center"/>
    </xf>
    <xf numFmtId="0" fontId="20" fillId="23" borderId="3" xfId="1" applyFont="1" applyFill="1" applyBorder="1" applyAlignment="1">
      <alignment horizontal="center"/>
    </xf>
    <xf numFmtId="2" fontId="20" fillId="23" borderId="3" xfId="1" applyNumberFormat="1" applyFont="1" applyFill="1" applyBorder="1" applyAlignment="1">
      <alignment horizontal="center"/>
    </xf>
    <xf numFmtId="165" fontId="20" fillId="23" borderId="3" xfId="2" applyNumberFormat="1" applyFont="1" applyFill="1" applyBorder="1" applyAlignment="1">
      <alignment horizontal="center"/>
    </xf>
    <xf numFmtId="0" fontId="20" fillId="23" borderId="4" xfId="1" applyFont="1" applyFill="1" applyBorder="1" applyAlignment="1">
      <alignment horizontal="center"/>
    </xf>
    <xf numFmtId="2" fontId="20" fillId="23" borderId="4" xfId="1" applyNumberFormat="1" applyFont="1" applyFill="1" applyBorder="1" applyAlignment="1">
      <alignment horizontal="center"/>
    </xf>
    <xf numFmtId="165" fontId="20" fillId="23" borderId="4" xfId="2" applyNumberFormat="1" applyFont="1" applyFill="1" applyBorder="1" applyAlignment="1">
      <alignment horizontal="center"/>
    </xf>
    <xf numFmtId="0" fontId="20" fillId="24" borderId="1" xfId="1" applyFont="1" applyFill="1" applyBorder="1" applyAlignment="1">
      <alignment horizontal="center"/>
    </xf>
    <xf numFmtId="165" fontId="20" fillId="24" borderId="3" xfId="2" applyNumberFormat="1" applyFont="1" applyFill="1" applyBorder="1" applyAlignment="1">
      <alignment horizontal="center"/>
    </xf>
    <xf numFmtId="2" fontId="20" fillId="24" borderId="3" xfId="1" applyNumberFormat="1" applyFont="1" applyFill="1" applyBorder="1" applyAlignment="1">
      <alignment horizontal="center"/>
    </xf>
    <xf numFmtId="0" fontId="20" fillId="24" borderId="3" xfId="1" applyFont="1" applyFill="1" applyBorder="1" applyAlignment="1">
      <alignment horizontal="center"/>
    </xf>
    <xf numFmtId="165" fontId="20" fillId="24" borderId="4" xfId="2" applyNumberFormat="1" applyFont="1" applyFill="1" applyBorder="1" applyAlignment="1">
      <alignment horizontal="center"/>
    </xf>
    <xf numFmtId="2" fontId="20" fillId="24" borderId="4" xfId="1" applyNumberFormat="1" applyFont="1" applyFill="1" applyBorder="1" applyAlignment="1">
      <alignment horizontal="center"/>
    </xf>
    <xf numFmtId="0" fontId="20" fillId="24" borderId="4" xfId="1" applyFont="1" applyFill="1" applyBorder="1" applyAlignment="1">
      <alignment horizontal="center"/>
    </xf>
    <xf numFmtId="0" fontId="20" fillId="25" borderId="3" xfId="1" applyFont="1" applyFill="1" applyBorder="1" applyAlignment="1">
      <alignment horizontal="center"/>
    </xf>
    <xf numFmtId="2" fontId="20" fillId="25" borderId="3" xfId="1" applyNumberFormat="1" applyFont="1" applyFill="1" applyBorder="1" applyAlignment="1">
      <alignment horizontal="center"/>
    </xf>
    <xf numFmtId="165" fontId="20" fillId="25" borderId="3" xfId="2" applyNumberFormat="1" applyFont="1" applyFill="1" applyBorder="1" applyAlignment="1">
      <alignment horizontal="center"/>
    </xf>
    <xf numFmtId="0" fontId="20" fillId="25" borderId="4" xfId="1" applyFont="1" applyFill="1" applyBorder="1" applyAlignment="1">
      <alignment horizontal="center"/>
    </xf>
    <xf numFmtId="2" fontId="20" fillId="25" borderId="4" xfId="1" applyNumberFormat="1" applyFont="1" applyFill="1" applyBorder="1" applyAlignment="1">
      <alignment horizontal="center"/>
    </xf>
    <xf numFmtId="165" fontId="20" fillId="25" borderId="4" xfId="2" applyNumberFormat="1" applyFont="1" applyFill="1" applyBorder="1" applyAlignment="1">
      <alignment horizontal="center"/>
    </xf>
    <xf numFmtId="0" fontId="20" fillId="26" borderId="1" xfId="1" applyFont="1" applyFill="1" applyBorder="1" applyAlignment="1">
      <alignment horizontal="center"/>
    </xf>
    <xf numFmtId="0" fontId="20" fillId="26" borderId="3" xfId="1" applyFont="1" applyFill="1" applyBorder="1" applyAlignment="1">
      <alignment horizontal="center"/>
    </xf>
    <xf numFmtId="2" fontId="20" fillId="26" borderId="3" xfId="1" applyNumberFormat="1" applyFont="1" applyFill="1" applyBorder="1" applyAlignment="1">
      <alignment horizontal="center"/>
    </xf>
    <xf numFmtId="165" fontId="20" fillId="26" borderId="3" xfId="2" applyNumberFormat="1" applyFont="1" applyFill="1" applyBorder="1" applyAlignment="1">
      <alignment horizontal="center"/>
    </xf>
    <xf numFmtId="0" fontId="20" fillId="26" borderId="4" xfId="1" applyFont="1" applyFill="1" applyBorder="1" applyAlignment="1">
      <alignment horizontal="center"/>
    </xf>
    <xf numFmtId="2" fontId="20" fillId="26" borderId="4" xfId="1" applyNumberFormat="1" applyFont="1" applyFill="1" applyBorder="1" applyAlignment="1">
      <alignment horizontal="center"/>
    </xf>
    <xf numFmtId="165" fontId="20" fillId="26" borderId="4" xfId="2" applyNumberFormat="1" applyFont="1" applyFill="1" applyBorder="1" applyAlignment="1">
      <alignment horizontal="center"/>
    </xf>
    <xf numFmtId="0" fontId="20" fillId="27" borderId="3" xfId="1" applyFont="1" applyFill="1" applyBorder="1" applyAlignment="1">
      <alignment horizontal="center"/>
    </xf>
    <xf numFmtId="2" fontId="20" fillId="27" borderId="3" xfId="1" applyNumberFormat="1" applyFont="1" applyFill="1" applyBorder="1" applyAlignment="1">
      <alignment horizontal="center"/>
    </xf>
    <xf numFmtId="165" fontId="20" fillId="27" borderId="3" xfId="2" applyNumberFormat="1" applyFont="1" applyFill="1" applyBorder="1" applyAlignment="1">
      <alignment horizontal="center"/>
    </xf>
    <xf numFmtId="0" fontId="20" fillId="27" borderId="4" xfId="1" applyFont="1" applyFill="1" applyBorder="1" applyAlignment="1">
      <alignment horizontal="center"/>
    </xf>
    <xf numFmtId="2" fontId="20" fillId="27" borderId="4" xfId="1" applyNumberFormat="1" applyFont="1" applyFill="1" applyBorder="1" applyAlignment="1">
      <alignment horizontal="center"/>
    </xf>
    <xf numFmtId="165" fontId="20" fillId="27" borderId="4" xfId="2" applyNumberFormat="1" applyFont="1" applyFill="1" applyBorder="1" applyAlignment="1">
      <alignment horizontal="center"/>
    </xf>
    <xf numFmtId="0" fontId="20" fillId="0" borderId="2" xfId="1" applyFont="1" applyBorder="1" applyAlignment="1">
      <alignment horizontal="center"/>
    </xf>
    <xf numFmtId="2" fontId="20" fillId="0" borderId="2" xfId="1" applyNumberFormat="1" applyFont="1" applyBorder="1" applyAlignment="1">
      <alignment horizontal="center"/>
    </xf>
    <xf numFmtId="165" fontId="20" fillId="0" borderId="2" xfId="2" applyNumberFormat="1" applyFont="1" applyBorder="1" applyAlignment="1">
      <alignment horizontal="center"/>
    </xf>
    <xf numFmtId="0" fontId="24" fillId="19" borderId="2" xfId="1" quotePrefix="1" applyFont="1" applyFill="1" applyBorder="1" applyAlignment="1">
      <alignment horizontal="left" vertical="center"/>
    </xf>
    <xf numFmtId="0" fontId="20" fillId="22" borderId="2" xfId="1" applyFont="1" applyFill="1" applyBorder="1" applyAlignment="1">
      <alignment horizontal="left" vertical="center"/>
    </xf>
    <xf numFmtId="41" fontId="19" fillId="19" borderId="2" xfId="1" applyNumberFormat="1" applyFont="1" applyFill="1" applyBorder="1" applyAlignment="1">
      <alignment vertical="center"/>
    </xf>
    <xf numFmtId="41" fontId="20" fillId="19" borderId="2" xfId="5" applyNumberFormat="1" applyFont="1" applyFill="1" applyBorder="1" applyAlignment="1">
      <alignment vertical="center"/>
    </xf>
    <xf numFmtId="165" fontId="20" fillId="19" borderId="2" xfId="2" applyNumberFormat="1" applyFont="1" applyFill="1" applyBorder="1" applyAlignment="1">
      <alignment vertical="center"/>
    </xf>
    <xf numFmtId="0" fontId="20" fillId="0" borderId="24" xfId="1" applyFont="1" applyBorder="1" applyAlignment="1">
      <alignment horizontal="center"/>
    </xf>
    <xf numFmtId="0" fontId="24" fillId="0" borderId="4" xfId="1" applyFont="1" applyBorder="1" applyAlignment="1"/>
    <xf numFmtId="165" fontId="20" fillId="22" borderId="2" xfId="2" applyNumberFormat="1" applyFont="1" applyFill="1" applyBorder="1" applyAlignment="1">
      <alignment horizontal="right" vertical="center"/>
    </xf>
    <xf numFmtId="165" fontId="24" fillId="0" borderId="2" xfId="2" applyNumberFormat="1" applyFont="1" applyBorder="1" applyAlignment="1">
      <alignment horizontal="right" vertical="center"/>
    </xf>
    <xf numFmtId="0" fontId="24" fillId="0" borderId="2" xfId="1" quotePrefix="1" applyFont="1" applyBorder="1" applyAlignment="1">
      <alignment horizontal="left" vertical="center" wrapText="1"/>
    </xf>
    <xf numFmtId="2" fontId="24" fillId="0" borderId="2" xfId="1" applyNumberFormat="1" applyFont="1" applyBorder="1" applyAlignment="1">
      <alignment vertical="center"/>
    </xf>
    <xf numFmtId="165" fontId="24" fillId="0" borderId="2" xfId="2" applyNumberFormat="1" applyFont="1" applyBorder="1" applyAlignment="1">
      <alignment vertical="center"/>
    </xf>
    <xf numFmtId="0" fontId="20" fillId="0" borderId="24" xfId="1" applyFont="1" applyBorder="1" applyAlignment="1">
      <alignment horizontal="center" wrapText="1"/>
    </xf>
    <xf numFmtId="165" fontId="20" fillId="0" borderId="4" xfId="2" applyNumberFormat="1" applyFont="1" applyBorder="1" applyAlignment="1"/>
    <xf numFmtId="165" fontId="24" fillId="0" borderId="2" xfId="2" applyNumberFormat="1" applyFont="1" applyBorder="1" applyAlignment="1">
      <alignment horizontal="center" vertical="center"/>
    </xf>
    <xf numFmtId="0" fontId="19" fillId="20" borderId="2" xfId="1" applyFont="1" applyFill="1" applyBorder="1" applyAlignment="1">
      <alignment horizontal="left" vertical="center"/>
    </xf>
    <xf numFmtId="0" fontId="19" fillId="22" borderId="2" xfId="1" applyFont="1" applyFill="1" applyBorder="1" applyAlignment="1">
      <alignment horizontal="left" vertical="center"/>
    </xf>
    <xf numFmtId="1" fontId="19" fillId="0" borderId="23" xfId="1" applyNumberFormat="1" applyFont="1" applyBorder="1" applyAlignment="1"/>
    <xf numFmtId="165" fontId="19" fillId="0" borderId="4" xfId="2" applyNumberFormat="1" applyFont="1" applyBorder="1" applyAlignment="1"/>
    <xf numFmtId="0" fontId="19" fillId="0" borderId="4" xfId="1" applyFont="1" applyBorder="1" applyAlignment="1"/>
    <xf numFmtId="0" fontId="31" fillId="20" borderId="2" xfId="1" quotePrefix="1" applyFont="1" applyFill="1" applyBorder="1" applyAlignment="1">
      <alignment horizontal="left" vertical="center"/>
    </xf>
    <xf numFmtId="165" fontId="19" fillId="19" borderId="2" xfId="2" applyNumberFormat="1" applyFont="1" applyFill="1" applyBorder="1" applyAlignment="1">
      <alignment horizontal="right" vertical="center"/>
    </xf>
    <xf numFmtId="0" fontId="18" fillId="0" borderId="2" xfId="1" applyFont="1" applyBorder="1" applyAlignment="1"/>
    <xf numFmtId="2" fontId="18" fillId="0" borderId="2" xfId="1" applyNumberFormat="1" applyFont="1" applyBorder="1" applyAlignment="1"/>
    <xf numFmtId="165" fontId="18" fillId="0" borderId="2" xfId="2" applyNumberFormat="1" applyFont="1" applyBorder="1" applyAlignment="1"/>
    <xf numFmtId="165" fontId="18" fillId="19" borderId="2" xfId="2" applyNumberFormat="1" applyFont="1" applyFill="1" applyBorder="1" applyAlignment="1">
      <alignment horizontal="right" vertical="center"/>
    </xf>
    <xf numFmtId="0" fontId="20" fillId="19" borderId="2" xfId="1" applyFont="1" applyFill="1" applyBorder="1" applyAlignment="1">
      <alignment horizontal="center"/>
    </xf>
    <xf numFmtId="2" fontId="20" fillId="19" borderId="2" xfId="1" applyNumberFormat="1" applyFont="1" applyFill="1" applyBorder="1" applyAlignment="1">
      <alignment horizontal="center"/>
    </xf>
    <xf numFmtId="165" fontId="20" fillId="19" borderId="2" xfId="2" applyNumberFormat="1" applyFont="1" applyFill="1" applyBorder="1" applyAlignment="1">
      <alignment horizontal="center"/>
    </xf>
    <xf numFmtId="165" fontId="24" fillId="19" borderId="2" xfId="1" applyNumberFormat="1" applyFont="1" applyFill="1" applyBorder="1" applyAlignment="1">
      <alignment horizontal="center" vertical="center"/>
    </xf>
    <xf numFmtId="0" fontId="24" fillId="19" borderId="2" xfId="1" applyFont="1" applyFill="1" applyBorder="1" applyAlignment="1">
      <alignment horizontal="left" vertical="center"/>
    </xf>
    <xf numFmtId="0" fontId="24" fillId="21" borderId="26" xfId="1" applyFont="1" applyFill="1" applyBorder="1" applyAlignment="1">
      <alignment vertical="center"/>
    </xf>
    <xf numFmtId="0" fontId="20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20" fillId="22" borderId="2" xfId="1" applyFont="1" applyFill="1" applyBorder="1" applyAlignment="1">
      <alignment vertical="center"/>
    </xf>
    <xf numFmtId="0" fontId="18" fillId="19" borderId="2" xfId="1" applyFont="1" applyFill="1" applyBorder="1" applyAlignment="1">
      <alignment horizontal="left" vertical="center"/>
    </xf>
    <xf numFmtId="0" fontId="21" fillId="22" borderId="2" xfId="1" applyFont="1" applyFill="1" applyBorder="1" applyAlignment="1">
      <alignment horizontal="left" vertical="center"/>
    </xf>
    <xf numFmtId="2" fontId="24" fillId="19" borderId="2" xfId="1" applyNumberFormat="1" applyFont="1" applyFill="1" applyBorder="1" applyAlignment="1"/>
    <xf numFmtId="0" fontId="24" fillId="19" borderId="2" xfId="1" applyFont="1" applyFill="1" applyBorder="1" applyAlignment="1"/>
    <xf numFmtId="3" fontId="24" fillId="0" borderId="2" xfId="1" applyNumberFormat="1" applyFont="1" applyBorder="1" applyAlignment="1"/>
    <xf numFmtId="0" fontId="20" fillId="0" borderId="23" xfId="1" applyFont="1" applyBorder="1" applyAlignment="1">
      <alignment horizontal="center"/>
    </xf>
    <xf numFmtId="41" fontId="20" fillId="0" borderId="4" xfId="5" applyNumberFormat="1" applyFont="1" applyBorder="1" applyAlignment="1">
      <alignment vertical="center"/>
    </xf>
    <xf numFmtId="165" fontId="20" fillId="0" borderId="4" xfId="1" applyNumberFormat="1" applyFont="1" applyBorder="1" applyAlignment="1"/>
    <xf numFmtId="0" fontId="24" fillId="2" borderId="2" xfId="1" applyFont="1" applyFill="1" applyBorder="1" applyAlignment="1"/>
    <xf numFmtId="2" fontId="24" fillId="2" borderId="2" xfId="1" applyNumberFormat="1" applyFont="1" applyFill="1" applyBorder="1" applyAlignment="1"/>
    <xf numFmtId="165" fontId="24" fillId="2" borderId="2" xfId="2" applyNumberFormat="1" applyFont="1" applyFill="1" applyBorder="1" applyAlignment="1"/>
    <xf numFmtId="0" fontId="18" fillId="0" borderId="2" xfId="1" quotePrefix="1" applyFont="1" applyBorder="1" applyAlignment="1">
      <alignment horizontal="left" vertical="center"/>
    </xf>
    <xf numFmtId="165" fontId="18" fillId="2" borderId="2" xfId="2" applyNumberFormat="1" applyFont="1" applyFill="1" applyBorder="1" applyAlignment="1"/>
    <xf numFmtId="41" fontId="24" fillId="0" borderId="2" xfId="1" applyNumberFormat="1" applyFont="1" applyBorder="1" applyAlignment="1">
      <alignment horizontal="right" vertical="center"/>
    </xf>
    <xf numFmtId="165" fontId="24" fillId="0" borderId="2" xfId="2" applyNumberFormat="1" applyFont="1" applyFill="1" applyBorder="1" applyAlignment="1"/>
    <xf numFmtId="41" fontId="18" fillId="0" borderId="2" xfId="1" applyNumberFormat="1" applyFont="1" applyBorder="1" applyAlignment="1">
      <alignment horizontal="right" vertical="center"/>
    </xf>
    <xf numFmtId="0" fontId="19" fillId="20" borderId="2" xfId="1" quotePrefix="1" applyFont="1" applyFill="1" applyBorder="1" applyAlignment="1">
      <alignment horizontal="left" vertical="center"/>
    </xf>
    <xf numFmtId="0" fontId="19" fillId="22" borderId="2" xfId="1" quotePrefix="1" applyFont="1" applyFill="1" applyBorder="1" applyAlignment="1">
      <alignment horizontal="left" vertical="center"/>
    </xf>
    <xf numFmtId="165" fontId="24" fillId="0" borderId="2" xfId="2" applyNumberFormat="1" applyFont="1" applyBorder="1" applyAlignment="1">
      <alignment horizontal="center"/>
    </xf>
    <xf numFmtId="41" fontId="24" fillId="0" borderId="2" xfId="1" applyNumberFormat="1" applyFont="1" applyBorder="1" applyAlignment="1">
      <alignment vertical="center"/>
    </xf>
    <xf numFmtId="0" fontId="24" fillId="2" borderId="2" xfId="1" applyFont="1" applyFill="1" applyBorder="1" applyAlignment="1">
      <alignment vertical="center"/>
    </xf>
    <xf numFmtId="2" fontId="24" fillId="2" borderId="2" xfId="1" applyNumberFormat="1" applyFont="1" applyFill="1" applyBorder="1" applyAlignment="1">
      <alignment vertical="center"/>
    </xf>
    <xf numFmtId="165" fontId="24" fillId="2" borderId="2" xfId="2" applyNumberFormat="1" applyFont="1" applyFill="1" applyBorder="1" applyAlignment="1">
      <alignment vertical="center"/>
    </xf>
    <xf numFmtId="1" fontId="20" fillId="0" borderId="0" xfId="1" applyNumberFormat="1" applyFont="1" applyBorder="1" applyAlignment="1">
      <alignment vertical="center"/>
    </xf>
    <xf numFmtId="2" fontId="20" fillId="0" borderId="0" xfId="1" applyNumberFormat="1" applyFont="1" applyBorder="1" applyAlignment="1">
      <alignment vertical="center"/>
    </xf>
    <xf numFmtId="165" fontId="20" fillId="0" borderId="0" xfId="2" applyNumberFormat="1" applyFont="1" applyBorder="1" applyAlignment="1">
      <alignment vertical="center"/>
    </xf>
    <xf numFmtId="3" fontId="20" fillId="0" borderId="0" xfId="1" applyNumberFormat="1" applyFont="1" applyBorder="1" applyAlignment="1">
      <alignment vertical="center"/>
    </xf>
    <xf numFmtId="0" fontId="18" fillId="0" borderId="0" xfId="1" applyFont="1" applyBorder="1" applyAlignment="1">
      <alignment horizontal="left" vertical="center"/>
    </xf>
    <xf numFmtId="41" fontId="19" fillId="0" borderId="0" xfId="1" applyNumberFormat="1" applyFont="1" applyBorder="1" applyAlignment="1">
      <alignment vertical="center"/>
    </xf>
    <xf numFmtId="166" fontId="20" fillId="0" borderId="0" xfId="1" applyNumberFormat="1" applyFont="1" applyBorder="1" applyAlignment="1">
      <alignment vertical="center"/>
    </xf>
    <xf numFmtId="41" fontId="20" fillId="0" borderId="0" xfId="1" applyNumberFormat="1" applyFont="1" applyBorder="1" applyAlignment="1">
      <alignment vertical="center"/>
    </xf>
    <xf numFmtId="0" fontId="18" fillId="0" borderId="0" xfId="1" quotePrefix="1" applyFont="1" applyBorder="1" applyAlignment="1">
      <alignment horizontal="left" vertical="center"/>
    </xf>
    <xf numFmtId="41" fontId="20" fillId="0" borderId="0" xfId="5" applyNumberFormat="1" applyFont="1" applyBorder="1" applyAlignment="1">
      <alignment vertical="center"/>
    </xf>
    <xf numFmtId="0" fontId="20" fillId="28" borderId="3" xfId="1" applyFont="1" applyFill="1" applyBorder="1" applyAlignment="1">
      <alignment horizontal="center"/>
    </xf>
    <xf numFmtId="2" fontId="20" fillId="28" borderId="3" xfId="1" applyNumberFormat="1" applyFont="1" applyFill="1" applyBorder="1" applyAlignment="1">
      <alignment horizontal="center"/>
    </xf>
    <xf numFmtId="165" fontId="20" fillId="28" borderId="3" xfId="2" applyNumberFormat="1" applyFont="1" applyFill="1" applyBorder="1" applyAlignment="1">
      <alignment horizontal="center"/>
    </xf>
    <xf numFmtId="2" fontId="20" fillId="28" borderId="4" xfId="1" applyNumberFormat="1" applyFont="1" applyFill="1" applyBorder="1" applyAlignment="1">
      <alignment horizontal="center"/>
    </xf>
    <xf numFmtId="165" fontId="20" fillId="28" borderId="4" xfId="2" applyNumberFormat="1" applyFont="1" applyFill="1" applyBorder="1" applyAlignment="1">
      <alignment horizontal="center"/>
    </xf>
    <xf numFmtId="0" fontId="20" fillId="28" borderId="4" xfId="1" applyFont="1" applyFill="1" applyBorder="1" applyAlignment="1">
      <alignment horizontal="center"/>
    </xf>
    <xf numFmtId="0" fontId="20" fillId="28" borderId="1" xfId="1" applyFont="1" applyFill="1" applyBorder="1" applyAlignment="1">
      <alignment horizontal="center"/>
    </xf>
    <xf numFmtId="0" fontId="20" fillId="20" borderId="2" xfId="1" quotePrefix="1" applyFont="1" applyFill="1" applyBorder="1" applyAlignment="1">
      <alignment horizontal="center" vertical="center"/>
    </xf>
    <xf numFmtId="4" fontId="24" fillId="0" borderId="2" xfId="1" applyNumberFormat="1" applyFont="1" applyBorder="1" applyAlignment="1">
      <alignment vertical="center"/>
    </xf>
    <xf numFmtId="3" fontId="28" fillId="0" borderId="2" xfId="1" applyNumberFormat="1" applyFont="1" applyBorder="1" applyAlignment="1">
      <alignment vertical="center"/>
    </xf>
    <xf numFmtId="3" fontId="28" fillId="0" borderId="2" xfId="1" applyNumberFormat="1" applyFont="1" applyBorder="1" applyAlignment="1">
      <alignment horizontal="right" vertical="center"/>
    </xf>
    <xf numFmtId="2" fontId="24" fillId="0" borderId="2" xfId="2" applyNumberFormat="1" applyFont="1" applyFill="1" applyBorder="1" applyAlignment="1"/>
    <xf numFmtId="2" fontId="24" fillId="0" borderId="2" xfId="2" applyNumberFormat="1" applyFont="1" applyBorder="1" applyAlignment="1"/>
    <xf numFmtId="0" fontId="20" fillId="0" borderId="2" xfId="1" quotePrefix="1" applyFont="1" applyBorder="1" applyAlignment="1">
      <alignment horizontal="left" vertical="center"/>
    </xf>
    <xf numFmtId="0" fontId="20" fillId="29" borderId="1" xfId="1" applyFont="1" applyFill="1" applyBorder="1" applyAlignment="1">
      <alignment horizontal="center"/>
    </xf>
    <xf numFmtId="0" fontId="20" fillId="29" borderId="3" xfId="1" applyFont="1" applyFill="1" applyBorder="1" applyAlignment="1">
      <alignment horizontal="center"/>
    </xf>
    <xf numFmtId="2" fontId="20" fillId="29" borderId="3" xfId="1" applyNumberFormat="1" applyFont="1" applyFill="1" applyBorder="1" applyAlignment="1">
      <alignment horizontal="center"/>
    </xf>
    <xf numFmtId="165" fontId="20" fillId="29" borderId="3" xfId="2" applyNumberFormat="1" applyFont="1" applyFill="1" applyBorder="1" applyAlignment="1">
      <alignment horizontal="center"/>
    </xf>
    <xf numFmtId="0" fontId="20" fillId="29" borderId="4" xfId="1" applyFont="1" applyFill="1" applyBorder="1" applyAlignment="1">
      <alignment horizontal="center"/>
    </xf>
    <xf numFmtId="2" fontId="20" fillId="29" borderId="4" xfId="1" applyNumberFormat="1" applyFont="1" applyFill="1" applyBorder="1" applyAlignment="1">
      <alignment horizontal="center"/>
    </xf>
    <xf numFmtId="165" fontId="20" fillId="29" borderId="4" xfId="2" applyNumberFormat="1" applyFont="1" applyFill="1" applyBorder="1" applyAlignment="1">
      <alignment horizontal="center"/>
    </xf>
    <xf numFmtId="165" fontId="20" fillId="29" borderId="1" xfId="2" applyNumberFormat="1" applyFont="1" applyFill="1" applyBorder="1" applyAlignment="1">
      <alignment horizontal="center"/>
    </xf>
    <xf numFmtId="2" fontId="20" fillId="29" borderId="3" xfId="2" applyNumberFormat="1" applyFont="1" applyFill="1" applyBorder="1" applyAlignment="1">
      <alignment horizontal="center"/>
    </xf>
    <xf numFmtId="2" fontId="20" fillId="29" borderId="4" xfId="2" applyNumberFormat="1" applyFont="1" applyFill="1" applyBorder="1" applyAlignment="1">
      <alignment horizontal="center"/>
    </xf>
    <xf numFmtId="4" fontId="24" fillId="0" borderId="7" xfId="1" applyNumberFormat="1" applyFont="1" applyBorder="1" applyAlignment="1">
      <alignment vertical="center"/>
    </xf>
    <xf numFmtId="0" fontId="24" fillId="0" borderId="1" xfId="1" quotePrefix="1" applyFont="1" applyBorder="1" applyAlignment="1">
      <alignment horizontal="left" vertical="center"/>
    </xf>
    <xf numFmtId="0" fontId="24" fillId="2" borderId="1" xfId="1" quotePrefix="1" applyFont="1" applyFill="1" applyBorder="1" applyAlignment="1">
      <alignment horizontal="left" vertical="center"/>
    </xf>
    <xf numFmtId="3" fontId="24" fillId="0" borderId="1" xfId="1" applyNumberFormat="1" applyFont="1" applyBorder="1" applyAlignment="1">
      <alignment vertical="center"/>
    </xf>
    <xf numFmtId="0" fontId="20" fillId="20" borderId="27" xfId="1" quotePrefix="1" applyFont="1" applyFill="1" applyBorder="1" applyAlignment="1">
      <alignment horizontal="left" vertical="center"/>
    </xf>
    <xf numFmtId="0" fontId="20" fillId="20" borderId="28" xfId="1" quotePrefix="1" applyFont="1" applyFill="1" applyBorder="1" applyAlignment="1">
      <alignment horizontal="center" vertical="center"/>
    </xf>
    <xf numFmtId="3" fontId="20" fillId="20" borderId="29" xfId="1" applyNumberFormat="1" applyFont="1" applyFill="1" applyBorder="1" applyAlignment="1">
      <alignment vertical="center"/>
    </xf>
    <xf numFmtId="4" fontId="24" fillId="0" borderId="7" xfId="1" applyNumberFormat="1" applyFont="1" applyBorder="1" applyAlignment="1"/>
    <xf numFmtId="0" fontId="24" fillId="0" borderId="4" xfId="1" quotePrefix="1" applyFont="1" applyBorder="1" applyAlignment="1">
      <alignment horizontal="left" vertical="center"/>
    </xf>
    <xf numFmtId="0" fontId="20" fillId="20" borderId="28" xfId="1" applyFont="1" applyFill="1" applyBorder="1" applyAlignment="1">
      <alignment horizontal="center" vertical="center"/>
    </xf>
    <xf numFmtId="165" fontId="24" fillId="0" borderId="7" xfId="2" applyNumberFormat="1" applyFont="1" applyBorder="1" applyAlignment="1"/>
    <xf numFmtId="165" fontId="20" fillId="21" borderId="1" xfId="2" quotePrefix="1" applyNumberFormat="1" applyFont="1" applyFill="1" applyBorder="1" applyAlignment="1">
      <alignment horizontal="left" vertical="center"/>
    </xf>
    <xf numFmtId="165" fontId="18" fillId="0" borderId="2" xfId="2" quotePrefix="1" applyNumberFormat="1" applyFont="1" applyBorder="1" applyAlignment="1">
      <alignment horizontal="left" vertical="center"/>
    </xf>
    <xf numFmtId="0" fontId="20" fillId="28" borderId="4" xfId="1" applyFont="1" applyFill="1" applyBorder="1" applyAlignment="1">
      <alignment horizontal="center" vertical="center"/>
    </xf>
    <xf numFmtId="0" fontId="24" fillId="0" borderId="0" xfId="1" quotePrefix="1" applyFont="1" applyBorder="1" applyAlignment="1">
      <alignment vertical="center"/>
    </xf>
    <xf numFmtId="0" fontId="24" fillId="0" borderId="0" xfId="1" quotePrefix="1" applyFont="1" applyBorder="1" applyAlignment="1">
      <alignment wrapText="1"/>
    </xf>
    <xf numFmtId="165" fontId="24" fillId="0" borderId="0" xfId="2" applyNumberFormat="1" applyFont="1" applyBorder="1" applyAlignment="1">
      <alignment horizontal="right" vertical="center"/>
    </xf>
    <xf numFmtId="0" fontId="20" fillId="30" borderId="4" xfId="1" quotePrefix="1" applyFont="1" applyFill="1" applyBorder="1" applyAlignment="1">
      <alignment horizontal="left" vertical="center"/>
    </xf>
    <xf numFmtId="3" fontId="20" fillId="30" borderId="4" xfId="1" applyNumberFormat="1" applyFont="1" applyFill="1" applyBorder="1" applyAlignment="1">
      <alignment vertical="center"/>
    </xf>
    <xf numFmtId="2" fontId="24" fillId="30" borderId="2" xfId="1" applyNumberFormat="1" applyFont="1" applyFill="1" applyBorder="1" applyAlignment="1"/>
    <xf numFmtId="165" fontId="24" fillId="30" borderId="2" xfId="2" applyNumberFormat="1" applyFont="1" applyFill="1" applyBorder="1" applyAlignment="1"/>
    <xf numFmtId="3" fontId="24" fillId="30" borderId="2" xfId="1" applyNumberFormat="1" applyFont="1" applyFill="1" applyBorder="1" applyAlignment="1"/>
    <xf numFmtId="0" fontId="20" fillId="30" borderId="2" xfId="1" quotePrefix="1" applyFont="1" applyFill="1" applyBorder="1" applyAlignment="1">
      <alignment horizontal="left" vertical="center"/>
    </xf>
    <xf numFmtId="3" fontId="20" fillId="30" borderId="2" xfId="1" applyNumberFormat="1" applyFont="1" applyFill="1" applyBorder="1" applyAlignment="1">
      <alignment vertical="center"/>
    </xf>
    <xf numFmtId="0" fontId="20" fillId="30" borderId="2" xfId="1" quotePrefix="1" applyFont="1" applyFill="1" applyBorder="1" applyAlignment="1">
      <alignment horizontal="left" vertical="center" wrapText="1"/>
    </xf>
    <xf numFmtId="4" fontId="24" fillId="30" borderId="2" xfId="1" applyNumberFormat="1" applyFont="1" applyFill="1" applyBorder="1" applyAlignment="1">
      <alignment vertical="center"/>
    </xf>
    <xf numFmtId="2" fontId="24" fillId="30" borderId="2" xfId="1" applyNumberFormat="1" applyFont="1" applyFill="1" applyBorder="1" applyAlignment="1">
      <alignment vertical="center"/>
    </xf>
    <xf numFmtId="165" fontId="24" fillId="30" borderId="2" xfId="2" applyNumberFormat="1" applyFont="1" applyFill="1" applyBorder="1" applyAlignment="1">
      <alignment vertical="center"/>
    </xf>
    <xf numFmtId="3" fontId="24" fillId="30" borderId="2" xfId="1" applyNumberFormat="1" applyFont="1" applyFill="1" applyBorder="1" applyAlignment="1">
      <alignment vertical="center"/>
    </xf>
    <xf numFmtId="3" fontId="20" fillId="21" borderId="1" xfId="2" applyNumberFormat="1" applyFont="1" applyFill="1" applyBorder="1" applyAlignment="1">
      <alignment horizontal="right" vertical="center"/>
    </xf>
    <xf numFmtId="3" fontId="20" fillId="30" borderId="4" xfId="2" applyNumberFormat="1" applyFont="1" applyFill="1" applyBorder="1" applyAlignment="1">
      <alignment vertical="center"/>
    </xf>
    <xf numFmtId="3" fontId="24" fillId="0" borderId="2" xfId="2" applyNumberFormat="1" applyFont="1" applyBorder="1" applyAlignment="1">
      <alignment horizontal="right"/>
    </xf>
    <xf numFmtId="3" fontId="24" fillId="19" borderId="2" xfId="2" applyNumberFormat="1" applyFont="1" applyFill="1" applyBorder="1" applyAlignment="1">
      <alignment horizontal="right"/>
    </xf>
    <xf numFmtId="3" fontId="24" fillId="0" borderId="2" xfId="1" applyNumberFormat="1" applyFont="1" applyBorder="1" applyAlignment="1">
      <alignment horizontal="right"/>
    </xf>
    <xf numFmtId="3" fontId="24" fillId="0" borderId="2" xfId="2" applyNumberFormat="1" applyFont="1" applyBorder="1" applyAlignment="1"/>
    <xf numFmtId="3" fontId="24" fillId="0" borderId="2" xfId="2" applyNumberFormat="1" applyFont="1" applyBorder="1" applyAlignment="1">
      <alignment vertical="center"/>
    </xf>
    <xf numFmtId="41" fontId="20" fillId="22" borderId="2" xfId="2" applyNumberFormat="1" applyFont="1" applyFill="1" applyBorder="1" applyAlignment="1">
      <alignment horizontal="right" vertical="center"/>
    </xf>
    <xf numFmtId="41" fontId="24" fillId="19" borderId="2" xfId="2" applyNumberFormat="1" applyFont="1" applyFill="1" applyBorder="1" applyAlignment="1">
      <alignment horizontal="right" vertical="center"/>
    </xf>
    <xf numFmtId="41" fontId="20" fillId="22" borderId="2" xfId="1" applyNumberFormat="1" applyFont="1" applyFill="1" applyBorder="1" applyAlignment="1">
      <alignment horizontal="center" vertical="center"/>
    </xf>
    <xf numFmtId="41" fontId="24" fillId="19" borderId="2" xfId="1" applyNumberFormat="1" applyFont="1" applyFill="1" applyBorder="1" applyAlignment="1">
      <alignment horizontal="center" vertical="center"/>
    </xf>
    <xf numFmtId="41" fontId="24" fillId="0" borderId="2" xfId="2" applyNumberFormat="1" applyFont="1" applyBorder="1" applyAlignment="1">
      <alignment horizontal="right" vertical="center"/>
    </xf>
    <xf numFmtId="41" fontId="19" fillId="22" borderId="2" xfId="2" applyNumberFormat="1" applyFont="1" applyFill="1" applyBorder="1" applyAlignment="1">
      <alignment horizontal="right" vertical="center"/>
    </xf>
    <xf numFmtId="41" fontId="18" fillId="19" borderId="2" xfId="2" applyNumberFormat="1" applyFont="1" applyFill="1" applyBorder="1" applyAlignment="1">
      <alignment horizontal="right" vertical="center"/>
    </xf>
    <xf numFmtId="41" fontId="18" fillId="0" borderId="2" xfId="2" applyNumberFormat="1" applyFont="1" applyBorder="1" applyAlignment="1">
      <alignment horizontal="right" vertical="center"/>
    </xf>
    <xf numFmtId="41" fontId="20" fillId="19" borderId="2" xfId="2" applyNumberFormat="1" applyFont="1" applyFill="1" applyBorder="1" applyAlignment="1">
      <alignment horizontal="right" vertical="center"/>
    </xf>
    <xf numFmtId="41" fontId="25" fillId="22" borderId="2" xfId="1" applyNumberFormat="1" applyFont="1" applyFill="1" applyBorder="1" applyAlignment="1">
      <alignment vertical="center"/>
    </xf>
    <xf numFmtId="41" fontId="22" fillId="0" borderId="2" xfId="2" applyNumberFormat="1" applyFont="1" applyBorder="1" applyAlignment="1">
      <alignment vertical="center"/>
    </xf>
    <xf numFmtId="41" fontId="22" fillId="19" borderId="2" xfId="2" applyNumberFormat="1" applyFont="1" applyFill="1" applyBorder="1" applyAlignment="1">
      <alignment vertical="center"/>
    </xf>
    <xf numFmtId="41" fontId="24" fillId="0" borderId="2" xfId="2" applyNumberFormat="1" applyFont="1" applyBorder="1" applyAlignment="1">
      <alignment horizontal="center" vertical="center"/>
    </xf>
    <xf numFmtId="41" fontId="20" fillId="22" borderId="2" xfId="2" applyNumberFormat="1" applyFont="1" applyFill="1" applyBorder="1" applyAlignment="1">
      <alignment vertical="center"/>
    </xf>
    <xf numFmtId="41" fontId="24" fillId="0" borderId="2" xfId="2" applyNumberFormat="1" applyFont="1" applyBorder="1" applyAlignment="1">
      <alignment vertical="center"/>
    </xf>
    <xf numFmtId="2" fontId="18" fillId="0" borderId="2" xfId="1" applyNumberFormat="1" applyFont="1" applyBorder="1" applyAlignment="1">
      <alignment vertical="center"/>
    </xf>
    <xf numFmtId="4" fontId="24" fillId="0" borderId="2" xfId="2" applyNumberFormat="1" applyFont="1" applyBorder="1" applyAlignment="1">
      <alignment vertical="center"/>
    </xf>
    <xf numFmtId="4" fontId="24" fillId="2" borderId="2" xfId="1" applyNumberFormat="1" applyFont="1" applyFill="1" applyBorder="1" applyAlignment="1"/>
    <xf numFmtId="3" fontId="20" fillId="0" borderId="2" xfId="1" applyNumberFormat="1" applyFont="1" applyBorder="1" applyAlignment="1"/>
    <xf numFmtId="2" fontId="20" fillId="0" borderId="23" xfId="1" applyNumberFormat="1" applyFont="1" applyBorder="1" applyAlignment="1"/>
    <xf numFmtId="1" fontId="20" fillId="0" borderId="23" xfId="1" applyNumberFormat="1" applyFont="1" applyBorder="1" applyAlignment="1"/>
    <xf numFmtId="166" fontId="20" fillId="0" borderId="2" xfId="1" applyNumberFormat="1" applyFont="1" applyBorder="1" applyAlignment="1"/>
    <xf numFmtId="4" fontId="20" fillId="0" borderId="23" xfId="2" applyNumberFormat="1" applyFont="1" applyBorder="1" applyAlignment="1"/>
    <xf numFmtId="166" fontId="20" fillId="0" borderId="2" xfId="1" applyNumberFormat="1" applyFont="1" applyBorder="1" applyAlignment="1">
      <alignment vertical="center"/>
    </xf>
    <xf numFmtId="1" fontId="20" fillId="0" borderId="2" xfId="1" applyNumberFormat="1" applyFont="1" applyBorder="1" applyAlignment="1">
      <alignment vertical="center"/>
    </xf>
    <xf numFmtId="167" fontId="20" fillId="0" borderId="2" xfId="2" applyNumberFormat="1" applyFont="1" applyBorder="1" applyAlignment="1">
      <alignment horizontal="right"/>
    </xf>
    <xf numFmtId="2" fontId="24" fillId="30" borderId="2" xfId="2" applyNumberFormat="1" applyFont="1" applyFill="1" applyBorder="1" applyAlignment="1"/>
    <xf numFmtId="167" fontId="24" fillId="0" borderId="2" xfId="2" applyNumberFormat="1" applyFont="1" applyBorder="1" applyAlignment="1">
      <alignment vertical="center"/>
    </xf>
    <xf numFmtId="0" fontId="20" fillId="22" borderId="2" xfId="1" quotePrefix="1" applyFont="1" applyFill="1" applyBorder="1" applyAlignment="1">
      <alignment horizontal="left" vertical="center"/>
    </xf>
    <xf numFmtId="0" fontId="20" fillId="23" borderId="1" xfId="1" applyFont="1" applyFill="1" applyBorder="1" applyAlignment="1">
      <alignment horizontal="center"/>
    </xf>
    <xf numFmtId="0" fontId="19" fillId="24" borderId="4" xfId="1" applyFont="1" applyFill="1" applyBorder="1" applyAlignment="1">
      <alignment horizontal="center"/>
    </xf>
    <xf numFmtId="0" fontId="19" fillId="24" borderId="1" xfId="1" applyFont="1" applyFill="1" applyBorder="1" applyAlignment="1">
      <alignment horizontal="center"/>
    </xf>
    <xf numFmtId="0" fontId="19" fillId="24" borderId="3" xfId="1" applyFont="1" applyFill="1" applyBorder="1" applyAlignment="1">
      <alignment horizontal="center"/>
    </xf>
    <xf numFmtId="0" fontId="19" fillId="25" borderId="1" xfId="1" applyFont="1" applyFill="1" applyBorder="1" applyAlignment="1">
      <alignment horizontal="center"/>
    </xf>
    <xf numFmtId="0" fontId="19" fillId="25" borderId="4" xfId="1" applyFont="1" applyFill="1" applyBorder="1" applyAlignment="1">
      <alignment horizontal="center"/>
    </xf>
    <xf numFmtId="0" fontId="19" fillId="25" borderId="3" xfId="1" applyFont="1" applyFill="1" applyBorder="1" applyAlignment="1">
      <alignment horizontal="center"/>
    </xf>
    <xf numFmtId="0" fontId="20" fillId="25" borderId="1" xfId="1" applyFont="1" applyFill="1" applyBorder="1" applyAlignment="1">
      <alignment horizontal="center"/>
    </xf>
    <xf numFmtId="0" fontId="20" fillId="27" borderId="1" xfId="1" applyFont="1" applyFill="1" applyBorder="1" applyAlignment="1">
      <alignment horizontal="center"/>
    </xf>
    <xf numFmtId="0" fontId="21" fillId="28" borderId="30" xfId="1" applyFont="1" applyFill="1" applyBorder="1" applyAlignment="1">
      <alignment horizontal="center" vertical="center"/>
    </xf>
    <xf numFmtId="0" fontId="20" fillId="19" borderId="4" xfId="1" applyFont="1" applyFill="1" applyBorder="1" applyAlignment="1">
      <alignment horizontal="center" vertical="center"/>
    </xf>
    <xf numFmtId="2" fontId="20" fillId="23" borderId="1" xfId="1" applyNumberFormat="1" applyFont="1" applyFill="1" applyBorder="1" applyAlignment="1">
      <alignment horizontal="center"/>
    </xf>
    <xf numFmtId="165" fontId="20" fillId="23" borderId="1" xfId="2" applyNumberFormat="1" applyFont="1" applyFill="1" applyBorder="1" applyAlignment="1">
      <alignment horizontal="center"/>
    </xf>
    <xf numFmtId="2" fontId="20" fillId="24" borderId="1" xfId="1" applyNumberFormat="1" applyFont="1" applyFill="1" applyBorder="1" applyAlignment="1">
      <alignment horizontal="center"/>
    </xf>
    <xf numFmtId="2" fontId="19" fillId="24" borderId="4" xfId="1" applyNumberFormat="1" applyFont="1" applyFill="1" applyBorder="1" applyAlignment="1">
      <alignment horizontal="center"/>
    </xf>
    <xf numFmtId="165" fontId="19" fillId="24" borderId="4" xfId="2" applyNumberFormat="1" applyFont="1" applyFill="1" applyBorder="1" applyAlignment="1">
      <alignment horizontal="center"/>
    </xf>
    <xf numFmtId="2" fontId="19" fillId="24" borderId="1" xfId="1" applyNumberFormat="1" applyFont="1" applyFill="1" applyBorder="1" applyAlignment="1">
      <alignment horizontal="center"/>
    </xf>
    <xf numFmtId="165" fontId="19" fillId="24" borderId="1" xfId="2" applyNumberFormat="1" applyFont="1" applyFill="1" applyBorder="1" applyAlignment="1">
      <alignment horizontal="center"/>
    </xf>
    <xf numFmtId="165" fontId="20" fillId="24" borderId="1" xfId="2" applyNumberFormat="1" applyFont="1" applyFill="1" applyBorder="1" applyAlignment="1">
      <alignment horizontal="center"/>
    </xf>
    <xf numFmtId="2" fontId="20" fillId="26" borderId="1" xfId="1" applyNumberFormat="1" applyFont="1" applyFill="1" applyBorder="1" applyAlignment="1">
      <alignment horizontal="center"/>
    </xf>
    <xf numFmtId="165" fontId="20" fillId="26" borderId="1" xfId="2" applyNumberFormat="1" applyFont="1" applyFill="1" applyBorder="1" applyAlignment="1">
      <alignment horizontal="center"/>
    </xf>
    <xf numFmtId="2" fontId="19" fillId="25" borderId="4" xfId="1" applyNumberFormat="1" applyFont="1" applyFill="1" applyBorder="1" applyAlignment="1">
      <alignment horizontal="center"/>
    </xf>
    <xf numFmtId="165" fontId="19" fillId="25" borderId="4" xfId="2" applyNumberFormat="1" applyFont="1" applyFill="1" applyBorder="1" applyAlignment="1">
      <alignment horizontal="center"/>
    </xf>
    <xf numFmtId="2" fontId="19" fillId="25" borderId="1" xfId="1" applyNumberFormat="1" applyFont="1" applyFill="1" applyBorder="1" applyAlignment="1">
      <alignment horizontal="center"/>
    </xf>
    <xf numFmtId="165" fontId="19" fillId="25" borderId="1" xfId="2" applyNumberFormat="1" applyFont="1" applyFill="1" applyBorder="1" applyAlignment="1">
      <alignment horizontal="center"/>
    </xf>
    <xf numFmtId="2" fontId="20" fillId="25" borderId="1" xfId="1" applyNumberFormat="1" applyFont="1" applyFill="1" applyBorder="1" applyAlignment="1">
      <alignment horizontal="center"/>
    </xf>
    <xf numFmtId="165" fontId="20" fillId="25" borderId="1" xfId="2" applyNumberFormat="1" applyFont="1" applyFill="1" applyBorder="1" applyAlignment="1">
      <alignment horizontal="center"/>
    </xf>
    <xf numFmtId="2" fontId="20" fillId="27" borderId="1" xfId="1" applyNumberFormat="1" applyFont="1" applyFill="1" applyBorder="1" applyAlignment="1">
      <alignment horizontal="center"/>
    </xf>
    <xf numFmtId="165" fontId="20" fillId="27" borderId="1" xfId="2" applyNumberFormat="1" applyFont="1" applyFill="1" applyBorder="1" applyAlignment="1">
      <alignment horizontal="center"/>
    </xf>
    <xf numFmtId="2" fontId="20" fillId="28" borderId="1" xfId="1" applyNumberFormat="1" applyFont="1" applyFill="1" applyBorder="1" applyAlignment="1">
      <alignment horizontal="center"/>
    </xf>
    <xf numFmtId="165" fontId="20" fillId="28" borderId="1" xfId="2" applyNumberFormat="1" applyFont="1" applyFill="1" applyBorder="1" applyAlignment="1">
      <alignment horizontal="center"/>
    </xf>
    <xf numFmtId="0" fontId="24" fillId="0" borderId="2" xfId="1" quotePrefix="1" applyFont="1" applyBorder="1" applyAlignment="1">
      <alignment vertical="center" wrapText="1"/>
    </xf>
    <xf numFmtId="0" fontId="24" fillId="0" borderId="2" xfId="1" applyFont="1" applyBorder="1" applyAlignment="1">
      <alignment horizontal="left" vertical="center"/>
    </xf>
    <xf numFmtId="0" fontId="22" fillId="0" borderId="2" xfId="1" quotePrefix="1" applyFont="1" applyBorder="1" applyAlignment="1">
      <alignment horizontal="left" vertical="center"/>
    </xf>
    <xf numFmtId="165" fontId="24" fillId="0" borderId="2" xfId="2" quotePrefix="1" applyNumberFormat="1" applyFont="1" applyBorder="1" applyAlignment="1">
      <alignment horizontal="left" vertical="center"/>
    </xf>
    <xf numFmtId="165" fontId="24" fillId="0" borderId="2" xfId="2" quotePrefix="1" applyNumberFormat="1" applyFont="1" applyBorder="1" applyAlignment="1">
      <alignment horizontal="left" vertical="center" wrapText="1"/>
    </xf>
    <xf numFmtId="0" fontId="30" fillId="0" borderId="2" xfId="1" applyFont="1" applyBorder="1" applyAlignment="1">
      <alignment horizontal="left" vertical="center"/>
    </xf>
    <xf numFmtId="0" fontId="31" fillId="22" borderId="2" xfId="1" quotePrefix="1" applyFont="1" applyFill="1" applyBorder="1" applyAlignment="1">
      <alignment horizontal="left" vertical="center"/>
    </xf>
    <xf numFmtId="0" fontId="30" fillId="0" borderId="2" xfId="1" quotePrefix="1" applyFont="1" applyBorder="1" applyAlignment="1">
      <alignment horizontal="left" vertical="center"/>
    </xf>
    <xf numFmtId="0" fontId="18" fillId="19" borderId="2" xfId="1" quotePrefix="1" applyFont="1" applyFill="1" applyBorder="1" applyAlignment="1">
      <alignment vertical="center"/>
    </xf>
    <xf numFmtId="0" fontId="21" fillId="20" borderId="2" xfId="1" applyFont="1" applyFill="1" applyBorder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24" fillId="0" borderId="0" xfId="0" applyFont="1" applyAlignment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65" fontId="20" fillId="0" borderId="0" xfId="45" applyNumberFormat="1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4" fillId="0" borderId="0" xfId="0" applyFont="1" applyBorder="1" applyAlignment="1"/>
    <xf numFmtId="0" fontId="20" fillId="0" borderId="3" xfId="0" applyFont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165" fontId="20" fillId="0" borderId="3" xfId="45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165" fontId="20" fillId="0" borderId="4" xfId="45" applyNumberFormat="1" applyFont="1" applyBorder="1" applyAlignment="1">
      <alignment horizontal="center"/>
    </xf>
    <xf numFmtId="0" fontId="24" fillId="0" borderId="2" xfId="0" applyFont="1" applyBorder="1" applyAlignment="1">
      <alignment horizontal="left" vertical="center"/>
    </xf>
    <xf numFmtId="0" fontId="20" fillId="0" borderId="2" xfId="0" applyFont="1" applyBorder="1" applyAlignment="1"/>
    <xf numFmtId="3" fontId="19" fillId="0" borderId="2" xfId="0" applyNumberFormat="1" applyFont="1" applyBorder="1" applyAlignment="1">
      <alignment vertical="center"/>
    </xf>
    <xf numFmtId="3" fontId="24" fillId="0" borderId="31" xfId="0" applyNumberFormat="1" applyFont="1" applyBorder="1" applyAlignment="1"/>
    <xf numFmtId="2" fontId="24" fillId="0" borderId="31" xfId="0" applyNumberFormat="1" applyFont="1" applyBorder="1" applyAlignment="1"/>
    <xf numFmtId="165" fontId="24" fillId="0" borderId="31" xfId="45" applyNumberFormat="1" applyFont="1" applyBorder="1" applyAlignment="1"/>
    <xf numFmtId="3" fontId="24" fillId="0" borderId="0" xfId="0" applyNumberFormat="1" applyFont="1" applyBorder="1" applyAlignment="1"/>
    <xf numFmtId="0" fontId="24" fillId="0" borderId="2" xfId="0" quotePrefix="1" applyFont="1" applyBorder="1" applyAlignment="1">
      <alignment horizontal="left" vertical="center"/>
    </xf>
    <xf numFmtId="0" fontId="20" fillId="21" borderId="2" xfId="0" applyFont="1" applyFill="1" applyBorder="1" applyAlignment="1">
      <alignment wrapText="1"/>
    </xf>
    <xf numFmtId="3" fontId="20" fillId="0" borderId="7" xfId="0" applyNumberFormat="1" applyFont="1" applyBorder="1" applyAlignment="1">
      <alignment vertical="center"/>
    </xf>
    <xf numFmtId="4" fontId="24" fillId="0" borderId="32" xfId="0" applyNumberFormat="1" applyFont="1" applyBorder="1" applyAlignment="1"/>
    <xf numFmtId="2" fontId="24" fillId="0" borderId="32" xfId="0" applyNumberFormat="1" applyFont="1" applyBorder="1" applyAlignment="1"/>
    <xf numFmtId="165" fontId="24" fillId="0" borderId="32" xfId="45" applyNumberFormat="1" applyFont="1" applyBorder="1" applyAlignment="1"/>
    <xf numFmtId="3" fontId="24" fillId="0" borderId="32" xfId="0" applyNumberFormat="1" applyFont="1" applyBorder="1" applyAlignment="1"/>
    <xf numFmtId="3" fontId="24" fillId="0" borderId="4" xfId="0" applyNumberFormat="1" applyFont="1" applyBorder="1" applyAlignment="1"/>
    <xf numFmtId="0" fontId="20" fillId="20" borderId="2" xfId="0" applyFont="1" applyFill="1" applyBorder="1" applyAlignment="1">
      <alignment wrapText="1"/>
    </xf>
    <xf numFmtId="0" fontId="20" fillId="2" borderId="2" xfId="0" applyFont="1" applyFill="1" applyBorder="1" applyAlignment="1">
      <alignment horizontal="left" wrapText="1" indent="3"/>
    </xf>
    <xf numFmtId="0" fontId="24" fillId="2" borderId="2" xfId="0" applyFont="1" applyFill="1" applyBorder="1" applyAlignment="1">
      <alignment horizontal="left"/>
    </xf>
    <xf numFmtId="3" fontId="24" fillId="0" borderId="7" xfId="0" applyNumberFormat="1" applyFont="1" applyBorder="1" applyAlignment="1">
      <alignment vertical="center"/>
    </xf>
    <xf numFmtId="0" fontId="24" fillId="2" borderId="2" xfId="0" applyFont="1" applyFill="1" applyBorder="1" applyAlignment="1">
      <alignment horizontal="left" wrapText="1"/>
    </xf>
    <xf numFmtId="0" fontId="24" fillId="0" borderId="5" xfId="0" quotePrefix="1" applyFont="1" applyBorder="1" applyAlignment="1">
      <alignment horizontal="left" vertical="center"/>
    </xf>
    <xf numFmtId="0" fontId="20" fillId="20" borderId="2" xfId="0" applyFont="1" applyFill="1" applyBorder="1" applyAlignment="1">
      <alignment horizontal="left"/>
    </xf>
    <xf numFmtId="3" fontId="20" fillId="0" borderId="2" xfId="0" applyNumberFormat="1" applyFont="1" applyBorder="1" applyAlignment="1">
      <alignment vertical="center"/>
    </xf>
    <xf numFmtId="165" fontId="24" fillId="0" borderId="3" xfId="45" applyNumberFormat="1" applyFont="1" applyBorder="1" applyAlignment="1"/>
    <xf numFmtId="0" fontId="20" fillId="19" borderId="2" xfId="0" applyFont="1" applyFill="1" applyBorder="1" applyAlignment="1">
      <alignment horizontal="left" indent="3"/>
    </xf>
    <xf numFmtId="0" fontId="24" fillId="0" borderId="3" xfId="0" applyFont="1" applyBorder="1" applyAlignment="1"/>
    <xf numFmtId="3" fontId="24" fillId="0" borderId="3" xfId="0" applyNumberFormat="1" applyFont="1" applyBorder="1" applyAlignment="1"/>
    <xf numFmtId="165" fontId="24" fillId="22" borderId="3" xfId="45" applyNumberFormat="1" applyFont="1" applyFill="1" applyBorder="1" applyAlignment="1"/>
    <xf numFmtId="3" fontId="24" fillId="22" borderId="0" xfId="0" applyNumberFormat="1" applyFont="1" applyFill="1" applyBorder="1" applyAlignment="1"/>
    <xf numFmtId="3" fontId="28" fillId="0" borderId="3" xfId="0" applyNumberFormat="1" applyFont="1" applyBorder="1" applyAlignment="1"/>
    <xf numFmtId="4" fontId="24" fillId="22" borderId="0" xfId="0" applyNumberFormat="1" applyFont="1" applyFill="1" applyBorder="1" applyAlignment="1"/>
    <xf numFmtId="3" fontId="28" fillId="0" borderId="3" xfId="0" applyNumberFormat="1" applyFont="1" applyBorder="1" applyAlignment="1">
      <alignment horizontal="right"/>
    </xf>
    <xf numFmtId="0" fontId="20" fillId="2" borderId="2" xfId="0" applyFont="1" applyFill="1" applyBorder="1" applyAlignment="1">
      <alignment horizontal="left" indent="3"/>
    </xf>
    <xf numFmtId="3" fontId="24" fillId="0" borderId="2" xfId="0" applyNumberFormat="1" applyFont="1" applyBorder="1" applyAlignment="1">
      <alignment vertical="center"/>
    </xf>
    <xf numFmtId="2" fontId="24" fillId="0" borderId="33" xfId="0" applyNumberFormat="1" applyFont="1" applyBorder="1" applyAlignment="1"/>
    <xf numFmtId="165" fontId="24" fillId="19" borderId="3" xfId="45" applyNumberFormat="1" applyFont="1" applyFill="1" applyBorder="1" applyAlignment="1"/>
    <xf numFmtId="0" fontId="20" fillId="20" borderId="2" xfId="0" applyFont="1" applyFill="1" applyBorder="1" applyAlignment="1">
      <alignment horizontal="left" wrapText="1"/>
    </xf>
    <xf numFmtId="4" fontId="24" fillId="0" borderId="4" xfId="0" applyNumberFormat="1" applyFont="1" applyBorder="1" applyAlignment="1"/>
    <xf numFmtId="165" fontId="24" fillId="0" borderId="4" xfId="45" applyNumberFormat="1" applyFont="1" applyBorder="1" applyAlignment="1"/>
    <xf numFmtId="2" fontId="24" fillId="0" borderId="4" xfId="0" applyNumberFormat="1" applyFont="1" applyBorder="1" applyAlignment="1"/>
    <xf numFmtId="0" fontId="24" fillId="0" borderId="2" xfId="0" applyFont="1" applyBorder="1" applyAlignme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2" fontId="24" fillId="0" borderId="0" xfId="0" applyNumberFormat="1" applyFont="1" applyBorder="1" applyAlignment="1"/>
    <xf numFmtId="165" fontId="24" fillId="0" borderId="0" xfId="45" applyNumberFormat="1" applyFont="1" applyBorder="1" applyAlignment="1"/>
    <xf numFmtId="165" fontId="20" fillId="0" borderId="1" xfId="45" applyNumberFormat="1" applyFont="1" applyBorder="1" applyAlignment="1">
      <alignment horizontal="center"/>
    </xf>
    <xf numFmtId="2" fontId="20" fillId="0" borderId="3" xfId="45" applyNumberFormat="1" applyFont="1" applyBorder="1" applyAlignment="1">
      <alignment horizontal="center"/>
    </xf>
    <xf numFmtId="2" fontId="20" fillId="0" borderId="4" xfId="45" applyNumberFormat="1" applyFont="1" applyBorder="1" applyAlignment="1">
      <alignment horizontal="center"/>
    </xf>
    <xf numFmtId="165" fontId="24" fillId="2" borderId="2" xfId="45" applyNumberFormat="1" applyFont="1" applyFill="1" applyBorder="1" applyAlignment="1">
      <alignment horizontal="left" vertical="center"/>
    </xf>
    <xf numFmtId="165" fontId="20" fillId="21" borderId="2" xfId="45" applyNumberFormat="1" applyFont="1" applyFill="1" applyBorder="1" applyAlignment="1">
      <alignment vertical="center" wrapText="1"/>
    </xf>
    <xf numFmtId="165" fontId="20" fillId="19" borderId="2" xfId="45" applyNumberFormat="1" applyFont="1" applyFill="1" applyBorder="1" applyAlignment="1">
      <alignment horizontal="right" vertical="center"/>
    </xf>
    <xf numFmtId="2" fontId="24" fillId="0" borderId="31" xfId="45" applyNumberFormat="1" applyFont="1" applyFill="1" applyBorder="1" applyAlignment="1"/>
    <xf numFmtId="2" fontId="24" fillId="0" borderId="31" xfId="45" applyNumberFormat="1" applyFont="1" applyBorder="1" applyAlignment="1"/>
    <xf numFmtId="165" fontId="24" fillId="19" borderId="2" xfId="45" applyNumberFormat="1" applyFont="1" applyFill="1" applyBorder="1" applyAlignment="1">
      <alignment horizontal="left" vertical="center"/>
    </xf>
    <xf numFmtId="165" fontId="20" fillId="3" borderId="2" xfId="45" applyNumberFormat="1" applyFont="1" applyFill="1" applyBorder="1" applyAlignment="1">
      <alignment horizontal="left" wrapText="1"/>
    </xf>
    <xf numFmtId="165" fontId="20" fillId="19" borderId="2" xfId="45" applyNumberFormat="1" applyFont="1" applyFill="1" applyBorder="1" applyAlignment="1">
      <alignment vertical="center"/>
    </xf>
    <xf numFmtId="2" fontId="24" fillId="0" borderId="32" xfId="45" applyNumberFormat="1" applyFont="1" applyBorder="1" applyAlignment="1"/>
    <xf numFmtId="165" fontId="24" fillId="0" borderId="2" xfId="45" applyNumberFormat="1" applyFont="1" applyBorder="1" applyAlignment="1">
      <alignment horizontal="left" vertical="center"/>
    </xf>
    <xf numFmtId="0" fontId="20" fillId="31" borderId="2" xfId="0" applyFont="1" applyFill="1" applyBorder="1" applyAlignment="1">
      <alignment horizontal="left" wrapText="1"/>
    </xf>
    <xf numFmtId="165" fontId="20" fillId="31" borderId="2" xfId="45" applyNumberFormat="1" applyFont="1" applyFill="1" applyBorder="1" applyAlignment="1">
      <alignment vertical="center"/>
    </xf>
    <xf numFmtId="165" fontId="24" fillId="0" borderId="2" xfId="45" applyNumberFormat="1" applyFont="1" applyBorder="1" applyAlignment="1">
      <alignment vertical="center"/>
    </xf>
    <xf numFmtId="43" fontId="24" fillId="0" borderId="32" xfId="45" applyNumberFormat="1" applyFont="1" applyBorder="1" applyAlignment="1"/>
    <xf numFmtId="165" fontId="24" fillId="0" borderId="32" xfId="45" applyNumberFormat="1" applyFont="1" applyBorder="1" applyAlignment="1">
      <alignment vertical="center"/>
    </xf>
    <xf numFmtId="0" fontId="24" fillId="2" borderId="2" xfId="0" quotePrefix="1" applyFont="1" applyFill="1" applyBorder="1" applyAlignment="1">
      <alignment horizontal="left"/>
    </xf>
    <xf numFmtId="167" fontId="24" fillId="0" borderId="32" xfId="45" applyNumberFormat="1" applyFont="1" applyBorder="1" applyAlignment="1"/>
    <xf numFmtId="165" fontId="24" fillId="0" borderId="2" xfId="45" applyNumberFormat="1" applyFont="1" applyBorder="1" applyAlignment="1">
      <alignment horizontal="left"/>
    </xf>
    <xf numFmtId="165" fontId="24" fillId="0" borderId="0" xfId="0" applyNumberFormat="1" applyFont="1" applyAlignment="1"/>
    <xf numFmtId="165" fontId="18" fillId="0" borderId="3" xfId="45" quotePrefix="1" applyNumberFormat="1" applyFont="1" applyBorder="1" applyAlignment="1">
      <alignment horizontal="left" vertical="center"/>
    </xf>
    <xf numFmtId="165" fontId="24" fillId="0" borderId="2" xfId="45" quotePrefix="1" applyNumberFormat="1" applyFont="1" applyBorder="1" applyAlignment="1">
      <alignment horizontal="left"/>
    </xf>
    <xf numFmtId="165" fontId="24" fillId="19" borderId="2" xfId="45" applyNumberFormat="1" applyFont="1" applyFill="1" applyBorder="1" applyAlignment="1">
      <alignment vertical="center"/>
    </xf>
    <xf numFmtId="165" fontId="18" fillId="0" borderId="2" xfId="45" quotePrefix="1" applyNumberFormat="1" applyFont="1" applyBorder="1" applyAlignment="1">
      <alignment horizontal="left" vertical="center"/>
    </xf>
    <xf numFmtId="165" fontId="24" fillId="0" borderId="2" xfId="45" quotePrefix="1" applyNumberFormat="1" applyFont="1" applyBorder="1" applyAlignment="1">
      <alignment horizontal="left" wrapText="1"/>
    </xf>
    <xf numFmtId="165" fontId="24" fillId="19" borderId="32" xfId="45" applyNumberFormat="1" applyFont="1" applyFill="1" applyBorder="1" applyAlignment="1"/>
    <xf numFmtId="2" fontId="24" fillId="0" borderId="2" xfId="45" applyNumberFormat="1" applyFont="1" applyBorder="1" applyAlignment="1">
      <alignment vertical="center"/>
    </xf>
    <xf numFmtId="167" fontId="20" fillId="0" borderId="2" xfId="45" applyNumberFormat="1" applyFont="1" applyBorder="1" applyAlignment="1">
      <alignment horizontal="right"/>
    </xf>
    <xf numFmtId="2" fontId="20" fillId="0" borderId="2" xfId="45" applyNumberFormat="1" applyFont="1" applyBorder="1" applyAlignment="1">
      <alignment horizontal="right"/>
    </xf>
    <xf numFmtId="165" fontId="20" fillId="0" borderId="2" xfId="45" applyNumberFormat="1" applyFont="1" applyBorder="1" applyAlignment="1">
      <alignment horizontal="right"/>
    </xf>
    <xf numFmtId="2" fontId="20" fillId="0" borderId="32" xfId="45" applyNumberFormat="1" applyFont="1" applyBorder="1" applyAlignment="1"/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4" fillId="0" borderId="8" xfId="0" applyFont="1" applyBorder="1" applyAlignment="1"/>
    <xf numFmtId="2" fontId="24" fillId="0" borderId="8" xfId="0" applyNumberFormat="1" applyFont="1" applyBorder="1" applyAlignment="1"/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indent="1"/>
    </xf>
    <xf numFmtId="3" fontId="24" fillId="0" borderId="0" xfId="0" applyNumberFormat="1" applyFont="1" applyBorder="1" applyAlignment="1">
      <alignment vertical="center"/>
    </xf>
    <xf numFmtId="0" fontId="24" fillId="0" borderId="24" xfId="0" applyFont="1" applyBorder="1" applyAlignment="1"/>
    <xf numFmtId="2" fontId="24" fillId="0" borderId="24" xfId="0" applyNumberFormat="1" applyFont="1" applyBorder="1" applyAlignment="1"/>
    <xf numFmtId="2" fontId="24" fillId="0" borderId="0" xfId="0" applyNumberFormat="1" applyFont="1" applyAlignment="1"/>
    <xf numFmtId="165" fontId="24" fillId="0" borderId="0" xfId="45" applyNumberFormat="1" applyFont="1" applyAlignment="1"/>
    <xf numFmtId="0" fontId="20" fillId="21" borderId="1" xfId="0" applyFont="1" applyFill="1" applyBorder="1" applyAlignment="1">
      <alignment horizontal="center"/>
    </xf>
    <xf numFmtId="0" fontId="20" fillId="21" borderId="34" xfId="0" applyFont="1" applyFill="1" applyBorder="1" applyAlignment="1">
      <alignment horizontal="center"/>
    </xf>
    <xf numFmtId="2" fontId="20" fillId="21" borderId="3" xfId="0" applyNumberFormat="1" applyFont="1" applyFill="1" applyBorder="1" applyAlignment="1">
      <alignment horizontal="center"/>
    </xf>
    <xf numFmtId="165" fontId="20" fillId="21" borderId="3" xfId="45" applyNumberFormat="1" applyFont="1" applyFill="1" applyBorder="1" applyAlignment="1">
      <alignment horizontal="center"/>
    </xf>
    <xf numFmtId="0" fontId="20" fillId="21" borderId="3" xfId="0" applyFont="1" applyFill="1" applyBorder="1" applyAlignment="1">
      <alignment horizontal="center"/>
    </xf>
    <xf numFmtId="0" fontId="20" fillId="21" borderId="23" xfId="0" applyFont="1" applyFill="1" applyBorder="1" applyAlignment="1">
      <alignment horizontal="center"/>
    </xf>
    <xf numFmtId="2" fontId="20" fillId="21" borderId="4" xfId="0" applyNumberFormat="1" applyFont="1" applyFill="1" applyBorder="1" applyAlignment="1">
      <alignment horizontal="center"/>
    </xf>
    <xf numFmtId="165" fontId="20" fillId="21" borderId="4" xfId="45" applyNumberFormat="1" applyFont="1" applyFill="1" applyBorder="1" applyAlignment="1">
      <alignment horizontal="center"/>
    </xf>
    <xf numFmtId="0" fontId="20" fillId="21" borderId="4" xfId="0" applyFont="1" applyFill="1" applyBorder="1" applyAlignment="1">
      <alignment horizontal="center"/>
    </xf>
    <xf numFmtId="0" fontId="20" fillId="30" borderId="35" xfId="0" applyFont="1" applyFill="1" applyBorder="1" applyAlignment="1">
      <alignment horizontal="left" vertical="center"/>
    </xf>
    <xf numFmtId="165" fontId="20" fillId="30" borderId="35" xfId="45" applyNumberFormat="1" applyFont="1" applyFill="1" applyBorder="1" applyAlignment="1">
      <alignment vertical="center"/>
    </xf>
    <xf numFmtId="0" fontId="24" fillId="0" borderId="36" xfId="0" applyFont="1" applyBorder="1" applyAlignment="1"/>
    <xf numFmtId="0" fontId="24" fillId="0" borderId="31" xfId="0" applyFont="1" applyBorder="1" applyAlignment="1"/>
    <xf numFmtId="0" fontId="24" fillId="0" borderId="35" xfId="0" applyFont="1" applyBorder="1" applyAlignment="1">
      <alignment vertical="center"/>
    </xf>
    <xf numFmtId="165" fontId="20" fillId="0" borderId="35" xfId="45" applyNumberFormat="1" applyFont="1" applyBorder="1" applyAlignment="1">
      <alignment vertical="center"/>
    </xf>
    <xf numFmtId="0" fontId="24" fillId="0" borderId="33" xfId="0" applyFont="1" applyBorder="1" applyAlignment="1"/>
    <xf numFmtId="0" fontId="24" fillId="0" borderId="32" xfId="0" applyFont="1" applyBorder="1" applyAlignment="1"/>
    <xf numFmtId="0" fontId="24" fillId="0" borderId="32" xfId="0" applyFont="1" applyBorder="1" applyAlignment="1">
      <alignment vertical="center"/>
    </xf>
    <xf numFmtId="165" fontId="24" fillId="0" borderId="32" xfId="0" applyNumberFormat="1" applyFont="1" applyBorder="1" applyAlignment="1"/>
    <xf numFmtId="0" fontId="24" fillId="0" borderId="32" xfId="0" applyFont="1" applyBorder="1" applyAlignment="1">
      <alignment horizontal="left"/>
    </xf>
    <xf numFmtId="0" fontId="24" fillId="0" borderId="32" xfId="0" quotePrefix="1" applyFont="1" applyBorder="1" applyAlignment="1">
      <alignment horizontal="left"/>
    </xf>
    <xf numFmtId="42" fontId="20" fillId="0" borderId="2" xfId="0" quotePrefix="1" applyNumberFormat="1" applyFont="1" applyBorder="1" applyAlignment="1">
      <alignment vertical="center"/>
    </xf>
    <xf numFmtId="166" fontId="20" fillId="0" borderId="4" xfId="0" applyNumberFormat="1" applyFont="1" applyBorder="1" applyAlignment="1"/>
    <xf numFmtId="2" fontId="20" fillId="0" borderId="4" xfId="0" applyNumberFormat="1" applyFont="1" applyFill="1" applyBorder="1" applyAlignment="1"/>
    <xf numFmtId="2" fontId="20" fillId="0" borderId="4" xfId="0" applyNumberFormat="1" applyFont="1" applyBorder="1" applyAlignment="1"/>
    <xf numFmtId="165" fontId="20" fillId="0" borderId="4" xfId="45" applyNumberFormat="1" applyFont="1" applyBorder="1" applyAlignment="1"/>
    <xf numFmtId="41" fontId="20" fillId="0" borderId="4" xfId="0" applyNumberFormat="1" applyFont="1" applyBorder="1" applyAlignment="1"/>
    <xf numFmtId="1" fontId="20" fillId="0" borderId="4" xfId="0" applyNumberFormat="1" applyFont="1" applyBorder="1" applyAlignment="1"/>
    <xf numFmtId="1" fontId="20" fillId="0" borderId="0" xfId="0" applyNumberFormat="1" applyFont="1" applyBorder="1" applyAlignment="1"/>
    <xf numFmtId="2" fontId="20" fillId="0" borderId="0" xfId="0" applyNumberFormat="1" applyFont="1" applyFill="1" applyBorder="1" applyAlignment="1"/>
    <xf numFmtId="2" fontId="20" fillId="0" borderId="0" xfId="0" applyNumberFormat="1" applyFont="1" applyBorder="1" applyAlignment="1"/>
    <xf numFmtId="165" fontId="20" fillId="0" borderId="0" xfId="45" applyNumberFormat="1" applyFont="1" applyBorder="1" applyAlignment="1"/>
    <xf numFmtId="2" fontId="24" fillId="0" borderId="0" xfId="0" applyNumberFormat="1" applyFont="1" applyFill="1" applyBorder="1" applyAlignment="1"/>
    <xf numFmtId="41" fontId="20" fillId="0" borderId="0" xfId="0" applyNumberFormat="1" applyFont="1" applyBorder="1" applyAlignment="1"/>
    <xf numFmtId="0" fontId="24" fillId="0" borderId="24" xfId="0" applyFont="1" applyBorder="1" applyAlignment="1">
      <alignment vertical="center"/>
    </xf>
    <xf numFmtId="42" fontId="24" fillId="0" borderId="24" xfId="0" applyNumberFormat="1" applyFont="1" applyBorder="1" applyAlignment="1">
      <alignment vertical="center"/>
    </xf>
    <xf numFmtId="0" fontId="21" fillId="21" borderId="37" xfId="0" applyFont="1" applyFill="1" applyBorder="1" applyAlignment="1">
      <alignment horizontal="center" vertical="center"/>
    </xf>
    <xf numFmtId="0" fontId="21" fillId="21" borderId="0" xfId="0" applyFont="1" applyFill="1" applyBorder="1" applyAlignment="1">
      <alignment horizontal="center" vertical="center"/>
    </xf>
    <xf numFmtId="0" fontId="20" fillId="21" borderId="0" xfId="0" applyFont="1" applyFill="1" applyAlignment="1">
      <alignment vertical="center"/>
    </xf>
    <xf numFmtId="0" fontId="22" fillId="0" borderId="38" xfId="0" applyFont="1" applyBorder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0" fontId="21" fillId="19" borderId="39" xfId="0" applyFont="1" applyFill="1" applyBorder="1" applyAlignment="1">
      <alignment horizontal="left" vertical="center"/>
    </xf>
    <xf numFmtId="165" fontId="25" fillId="32" borderId="40" xfId="0" applyNumberFormat="1" applyFont="1" applyFill="1" applyBorder="1" applyAlignment="1">
      <alignment vertical="center"/>
    </xf>
    <xf numFmtId="2" fontId="24" fillId="32" borderId="31" xfId="0" applyNumberFormat="1" applyFont="1" applyFill="1" applyBorder="1" applyAlignment="1"/>
    <xf numFmtId="165" fontId="24" fillId="32" borderId="31" xfId="45" applyNumberFormat="1" applyFont="1" applyFill="1" applyBorder="1" applyAlignment="1"/>
    <xf numFmtId="0" fontId="24" fillId="32" borderId="31" xfId="0" applyFont="1" applyFill="1" applyBorder="1" applyAlignment="1"/>
    <xf numFmtId="0" fontId="22" fillId="0" borderId="39" xfId="0" applyFont="1" applyBorder="1" applyAlignment="1">
      <alignment vertical="center"/>
    </xf>
    <xf numFmtId="0" fontId="22" fillId="0" borderId="39" xfId="0" applyFont="1" applyBorder="1" applyAlignment="1">
      <alignment vertical="top"/>
    </xf>
    <xf numFmtId="165" fontId="22" fillId="0" borderId="39" xfId="45" applyNumberFormat="1" applyFont="1" applyBorder="1" applyAlignment="1">
      <alignment vertical="center"/>
    </xf>
    <xf numFmtId="0" fontId="22" fillId="0" borderId="39" xfId="0" applyFont="1" applyBorder="1" applyAlignment="1">
      <alignment horizontal="left" vertical="top"/>
    </xf>
    <xf numFmtId="165" fontId="22" fillId="19" borderId="39" xfId="45" applyNumberFormat="1" applyFont="1" applyFill="1" applyBorder="1" applyAlignment="1">
      <alignment vertical="center"/>
    </xf>
    <xf numFmtId="0" fontId="22" fillId="0" borderId="41" xfId="0" applyFont="1" applyBorder="1" applyAlignment="1">
      <alignment vertical="center"/>
    </xf>
    <xf numFmtId="0" fontId="22" fillId="0" borderId="41" xfId="0" applyFont="1" applyBorder="1" applyAlignment="1">
      <alignment horizontal="left" vertical="top"/>
    </xf>
    <xf numFmtId="165" fontId="22" fillId="0" borderId="41" xfId="45" applyNumberFormat="1" applyFont="1" applyBorder="1" applyAlignment="1">
      <alignment vertical="center"/>
    </xf>
    <xf numFmtId="165" fontId="24" fillId="0" borderId="42" xfId="45" applyNumberFormat="1" applyFont="1" applyBorder="1" applyAlignment="1"/>
    <xf numFmtId="0" fontId="22" fillId="0" borderId="43" xfId="0" applyFont="1" applyBorder="1" applyAlignment="1">
      <alignment vertical="center"/>
    </xf>
    <xf numFmtId="0" fontId="22" fillId="0" borderId="32" xfId="0" applyFont="1" applyBorder="1" applyAlignment="1">
      <alignment horizontal="left" vertical="top"/>
    </xf>
    <xf numFmtId="165" fontId="22" fillId="0" borderId="32" xfId="45" applyNumberFormat="1" applyFont="1" applyBorder="1" applyAlignment="1">
      <alignment vertical="center"/>
    </xf>
    <xf numFmtId="0" fontId="24" fillId="0" borderId="34" xfId="0" applyFont="1" applyBorder="1" applyAlignment="1"/>
    <xf numFmtId="2" fontId="24" fillId="0" borderId="4" xfId="0" applyNumberFormat="1" applyFont="1" applyFill="1" applyBorder="1" applyAlignment="1"/>
    <xf numFmtId="0" fontId="20" fillId="0" borderId="0" xfId="0" applyFont="1" applyBorder="1" applyAlignment="1"/>
    <xf numFmtId="0" fontId="24" fillId="0" borderId="24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top" wrapText="1" indent="1"/>
    </xf>
    <xf numFmtId="3" fontId="20" fillId="0" borderId="24" xfId="0" applyNumberFormat="1" applyFont="1" applyBorder="1" applyAlignment="1">
      <alignment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3" xfId="0" applyFont="1" applyFill="1" applyBorder="1" applyAlignment="1">
      <alignment horizontal="center" vertical="center"/>
    </xf>
    <xf numFmtId="0" fontId="20" fillId="21" borderId="4" xfId="0" applyFont="1" applyFill="1" applyBorder="1" applyAlignment="1">
      <alignment horizontal="center" vertical="center"/>
    </xf>
    <xf numFmtId="0" fontId="20" fillId="30" borderId="3" xfId="0" applyFont="1" applyFill="1" applyBorder="1" applyAlignment="1">
      <alignment horizontal="left" vertical="center"/>
    </xf>
    <xf numFmtId="41" fontId="20" fillId="30" borderId="32" xfId="0" applyNumberFormat="1" applyFont="1" applyFill="1" applyBorder="1" applyAlignment="1">
      <alignment vertical="center"/>
    </xf>
    <xf numFmtId="0" fontId="24" fillId="0" borderId="35" xfId="0" applyFont="1" applyBorder="1" applyAlignment="1"/>
    <xf numFmtId="2" fontId="24" fillId="0" borderId="35" xfId="0" applyNumberFormat="1" applyFont="1" applyBorder="1" applyAlignment="1"/>
    <xf numFmtId="165" fontId="24" fillId="0" borderId="35" xfId="45" applyNumberFormat="1" applyFont="1" applyBorder="1" applyAlignment="1"/>
    <xf numFmtId="0" fontId="24" fillId="0" borderId="2" xfId="0" applyFont="1" applyBorder="1" applyAlignment="1">
      <alignment vertical="center"/>
    </xf>
    <xf numFmtId="0" fontId="24" fillId="0" borderId="32" xfId="0" applyFont="1" applyBorder="1" applyAlignment="1">
      <alignment horizontal="left" vertical="center"/>
    </xf>
    <xf numFmtId="41" fontId="24" fillId="0" borderId="32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left" vertical="center"/>
    </xf>
    <xf numFmtId="165" fontId="24" fillId="0" borderId="3" xfId="45" applyNumberFormat="1" applyFont="1" applyBorder="1" applyAlignment="1">
      <alignment horizontal="right" vertical="center"/>
    </xf>
    <xf numFmtId="165" fontId="24" fillId="0" borderId="32" xfId="45" applyNumberFormat="1" applyFont="1" applyFill="1" applyBorder="1" applyAlignment="1"/>
    <xf numFmtId="41" fontId="18" fillId="0" borderId="32" xfId="0" applyNumberFormat="1" applyFont="1" applyBorder="1" applyAlignment="1">
      <alignment horizontal="right" vertical="center"/>
    </xf>
    <xf numFmtId="165" fontId="18" fillId="0" borderId="32" xfId="45" applyNumberFormat="1" applyFont="1" applyBorder="1" applyAlignment="1"/>
    <xf numFmtId="165" fontId="18" fillId="19" borderId="32" xfId="45" applyNumberFormat="1" applyFont="1" applyFill="1" applyBorder="1" applyAlignment="1"/>
    <xf numFmtId="0" fontId="24" fillId="0" borderId="0" xfId="0" applyFont="1" applyAlignment="1">
      <alignment vertical="center"/>
    </xf>
    <xf numFmtId="0" fontId="20" fillId="0" borderId="2" xfId="0" applyFont="1" applyBorder="1" applyAlignment="1">
      <alignment horizontal="center"/>
    </xf>
    <xf numFmtId="41" fontId="20" fillId="0" borderId="2" xfId="0" applyNumberFormat="1" applyFont="1" applyBorder="1" applyAlignment="1">
      <alignment vertical="center"/>
    </xf>
    <xf numFmtId="1" fontId="20" fillId="0" borderId="2" xfId="0" applyNumberFormat="1" applyFont="1" applyBorder="1" applyAlignment="1"/>
    <xf numFmtId="2" fontId="20" fillId="0" borderId="2" xfId="0" applyNumberFormat="1" applyFont="1" applyFill="1" applyBorder="1" applyAlignment="1"/>
    <xf numFmtId="2" fontId="24" fillId="0" borderId="2" xfId="0" applyNumberFormat="1" applyFont="1" applyBorder="1" applyAlignment="1"/>
    <xf numFmtId="165" fontId="20" fillId="0" borderId="2" xfId="45" applyNumberFormat="1" applyFont="1" applyBorder="1" applyAlignment="1"/>
    <xf numFmtId="2" fontId="24" fillId="0" borderId="2" xfId="0" applyNumberFormat="1" applyFont="1" applyFill="1" applyBorder="1" applyAlignment="1"/>
    <xf numFmtId="3" fontId="20" fillId="0" borderId="2" xfId="0" applyNumberFormat="1" applyFont="1" applyBorder="1" applyAlignment="1"/>
    <xf numFmtId="3" fontId="20" fillId="0" borderId="0" xfId="0" applyNumberFormat="1" applyFont="1" applyBorder="1" applyAlignment="1"/>
    <xf numFmtId="0" fontId="20" fillId="30" borderId="2" xfId="0" applyFont="1" applyFill="1" applyBorder="1" applyAlignment="1">
      <alignment vertical="center"/>
    </xf>
    <xf numFmtId="41" fontId="20" fillId="30" borderId="2" xfId="46" applyNumberFormat="1" applyFont="1" applyFill="1" applyBorder="1" applyAlignment="1">
      <alignment vertical="center"/>
    </xf>
    <xf numFmtId="165" fontId="24" fillId="0" borderId="2" xfId="45" applyNumberFormat="1" applyFont="1" applyBorder="1" applyAlignment="1"/>
    <xf numFmtId="0" fontId="20" fillId="0" borderId="4" xfId="0" applyFont="1" applyBorder="1" applyAlignment="1">
      <alignment vertical="center"/>
    </xf>
    <xf numFmtId="2" fontId="24" fillId="0" borderId="3" xfId="0" applyNumberFormat="1" applyFont="1" applyBorder="1" applyAlignment="1"/>
    <xf numFmtId="0" fontId="20" fillId="0" borderId="3" xfId="0" applyFont="1" applyBorder="1" applyAlignment="1">
      <alignment horizontal="center" vertical="center"/>
    </xf>
    <xf numFmtId="0" fontId="24" fillId="0" borderId="2" xfId="0" quotePrefix="1" applyFont="1" applyBorder="1" applyAlignment="1">
      <alignment wrapText="1"/>
    </xf>
    <xf numFmtId="41" fontId="24" fillId="0" borderId="2" xfId="46" applyNumberFormat="1" applyFont="1" applyBorder="1" applyAlignment="1">
      <alignment vertical="center"/>
    </xf>
    <xf numFmtId="166" fontId="24" fillId="0" borderId="32" xfId="0" applyNumberFormat="1" applyFont="1" applyBorder="1" applyAlignment="1"/>
    <xf numFmtId="41" fontId="24" fillId="0" borderId="32" xfId="0" applyNumberFormat="1" applyFont="1" applyBorder="1" applyAlignment="1"/>
    <xf numFmtId="0" fontId="24" fillId="0" borderId="2" xfId="0" quotePrefix="1" applyFont="1" applyBorder="1" applyAlignment="1"/>
    <xf numFmtId="165" fontId="24" fillId="0" borderId="0" xfId="0" applyNumberFormat="1" applyFont="1" applyBorder="1" applyAlignment="1"/>
    <xf numFmtId="41" fontId="24" fillId="0" borderId="3" xfId="0" applyNumberFormat="1" applyFont="1" applyBorder="1" applyAlignment="1"/>
    <xf numFmtId="41" fontId="20" fillId="0" borderId="2" xfId="46" applyNumberFormat="1" applyFont="1" applyBorder="1" applyAlignment="1">
      <alignment vertical="center"/>
    </xf>
    <xf numFmtId="165" fontId="20" fillId="0" borderId="2" xfId="0" applyNumberFormat="1" applyFont="1" applyBorder="1" applyAlignment="1"/>
    <xf numFmtId="2" fontId="20" fillId="0" borderId="2" xfId="0" applyNumberFormat="1" applyFont="1" applyBorder="1" applyAlignment="1"/>
    <xf numFmtId="41" fontId="20" fillId="0" borderId="2" xfId="0" applyNumberFormat="1" applyFont="1" applyBorder="1" applyAlignment="1"/>
    <xf numFmtId="0" fontId="20" fillId="0" borderId="4" xfId="0" applyFont="1" applyBorder="1" applyAlignment="1"/>
    <xf numFmtId="165" fontId="20" fillId="0" borderId="0" xfId="0" applyNumberFormat="1" applyFont="1" applyBorder="1" applyAlignment="1"/>
    <xf numFmtId="0" fontId="24" fillId="0" borderId="0" xfId="0" applyFont="1" applyBorder="1" applyAlignment="1">
      <alignment horizontal="left" vertical="top" wrapText="1" indent="1"/>
    </xf>
    <xf numFmtId="3" fontId="20" fillId="0" borderId="0" xfId="0" applyNumberFormat="1" applyFont="1" applyBorder="1" applyAlignment="1">
      <alignment vertical="center"/>
    </xf>
    <xf numFmtId="0" fontId="19" fillId="21" borderId="4" xfId="0" quotePrefix="1" applyFont="1" applyFill="1" applyBorder="1" applyAlignment="1">
      <alignment horizontal="center" vertical="center"/>
    </xf>
    <xf numFmtId="0" fontId="18" fillId="0" borderId="44" xfId="0" applyFont="1" applyBorder="1" applyAlignment="1">
      <alignment vertical="center"/>
    </xf>
    <xf numFmtId="41" fontId="18" fillId="0" borderId="3" xfId="0" applyNumberFormat="1" applyFont="1" applyBorder="1" applyAlignment="1">
      <alignment vertical="center"/>
    </xf>
    <xf numFmtId="0" fontId="19" fillId="19" borderId="44" xfId="0" quotePrefix="1" applyFont="1" applyFill="1" applyBorder="1" applyAlignment="1">
      <alignment horizontal="left" vertical="center"/>
    </xf>
    <xf numFmtId="41" fontId="19" fillId="30" borderId="3" xfId="0" applyNumberFormat="1" applyFont="1" applyFill="1" applyBorder="1" applyAlignment="1">
      <alignment vertical="center"/>
    </xf>
    <xf numFmtId="0" fontId="24" fillId="2" borderId="32" xfId="0" applyFont="1" applyFill="1" applyBorder="1" applyAlignment="1"/>
    <xf numFmtId="2" fontId="24" fillId="2" borderId="32" xfId="0" applyNumberFormat="1" applyFont="1" applyFill="1" applyBorder="1" applyAlignment="1"/>
    <xf numFmtId="165" fontId="24" fillId="2" borderId="32" xfId="45" applyNumberFormat="1" applyFont="1" applyFill="1" applyBorder="1" applyAlignment="1"/>
    <xf numFmtId="0" fontId="18" fillId="0" borderId="44" xfId="0" quotePrefix="1" applyFont="1" applyBorder="1" applyAlignment="1">
      <alignment horizontal="left" vertical="center"/>
    </xf>
    <xf numFmtId="0" fontId="18" fillId="0" borderId="3" xfId="0" applyFont="1" applyBorder="1" applyAlignment="1"/>
    <xf numFmtId="41" fontId="19" fillId="0" borderId="3" xfId="0" applyNumberFormat="1" applyFont="1" applyBorder="1" applyAlignment="1">
      <alignment vertical="center"/>
    </xf>
    <xf numFmtId="165" fontId="18" fillId="0" borderId="32" xfId="45" applyNumberFormat="1" applyFont="1" applyFill="1" applyBorder="1" applyAlignment="1"/>
    <xf numFmtId="0" fontId="18" fillId="0" borderId="4" xfId="0" quotePrefix="1" applyFont="1" applyBorder="1" applyAlignment="1">
      <alignment horizontal="left" vertical="center"/>
    </xf>
    <xf numFmtId="41" fontId="18" fillId="0" borderId="2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41" fontId="18" fillId="0" borderId="0" xfId="0" applyNumberFormat="1" applyFont="1" applyBorder="1" applyAlignment="1">
      <alignment vertical="center"/>
    </xf>
    <xf numFmtId="0" fontId="24" fillId="2" borderId="0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top" wrapText="1" indent="1"/>
    </xf>
    <xf numFmtId="3" fontId="20" fillId="2" borderId="0" xfId="0" applyNumberFormat="1" applyFont="1" applyFill="1" applyBorder="1" applyAlignment="1">
      <alignment vertical="center"/>
    </xf>
    <xf numFmtId="0" fontId="24" fillId="3" borderId="2" xfId="0" applyFont="1" applyFill="1" applyBorder="1" applyAlignment="1">
      <alignment horizontal="left" vertical="center"/>
    </xf>
    <xf numFmtId="3" fontId="20" fillId="3" borderId="2" xfId="0" applyNumberFormat="1" applyFont="1" applyFill="1" applyBorder="1" applyAlignment="1">
      <alignment vertical="center"/>
    </xf>
    <xf numFmtId="0" fontId="19" fillId="30" borderId="5" xfId="0" applyFont="1" applyFill="1" applyBorder="1" applyAlignment="1">
      <alignment horizontal="left" vertical="center"/>
    </xf>
    <xf numFmtId="41" fontId="19" fillId="30" borderId="2" xfId="0" applyNumberFormat="1" applyFont="1" applyFill="1" applyBorder="1" applyAlignment="1">
      <alignment vertical="center"/>
    </xf>
    <xf numFmtId="0" fontId="18" fillId="0" borderId="1" xfId="0" applyFont="1" applyBorder="1" applyAlignment="1"/>
    <xf numFmtId="165" fontId="18" fillId="2" borderId="32" xfId="45" applyNumberFormat="1" applyFont="1" applyFill="1" applyBorder="1" applyAlignment="1"/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 wrapText="1"/>
    </xf>
    <xf numFmtId="0" fontId="18" fillId="0" borderId="2" xfId="0" quotePrefix="1" applyFont="1" applyBorder="1" applyAlignment="1">
      <alignment horizontal="left" vertical="center"/>
    </xf>
    <xf numFmtId="0" fontId="19" fillId="0" borderId="2" xfId="0" applyFont="1" applyBorder="1" applyAlignment="1">
      <alignment horizontal="center"/>
    </xf>
    <xf numFmtId="0" fontId="18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indent="2"/>
    </xf>
    <xf numFmtId="165" fontId="24" fillId="0" borderId="0" xfId="45" applyNumberFormat="1" applyFont="1" applyBorder="1" applyAlignment="1">
      <alignment vertical="center"/>
    </xf>
    <xf numFmtId="166" fontId="24" fillId="0" borderId="0" xfId="0" applyNumberFormat="1" applyFont="1" applyBorder="1" applyAlignment="1"/>
    <xf numFmtId="43" fontId="24" fillId="0" borderId="0" xfId="0" applyNumberFormat="1" applyFont="1" applyBorder="1" applyAlignment="1"/>
    <xf numFmtId="0" fontId="20" fillId="21" borderId="2" xfId="0" applyFont="1" applyFill="1" applyBorder="1" applyAlignment="1">
      <alignment horizontal="center"/>
    </xf>
    <xf numFmtId="2" fontId="20" fillId="21" borderId="2" xfId="0" applyNumberFormat="1" applyFont="1" applyFill="1" applyBorder="1" applyAlignment="1">
      <alignment horizontal="center"/>
    </xf>
    <xf numFmtId="0" fontId="19" fillId="30" borderId="2" xfId="0" quotePrefix="1" applyFont="1" applyFill="1" applyBorder="1" applyAlignment="1">
      <alignment horizontal="left" vertical="center"/>
    </xf>
    <xf numFmtId="0" fontId="20" fillId="0" borderId="31" xfId="0" applyFont="1" applyBorder="1" applyAlignment="1">
      <alignment horizontal="center"/>
    </xf>
    <xf numFmtId="2" fontId="20" fillId="0" borderId="31" xfId="0" applyNumberFormat="1" applyFont="1" applyBorder="1" applyAlignment="1">
      <alignment horizontal="center"/>
    </xf>
    <xf numFmtId="165" fontId="20" fillId="0" borderId="31" xfId="45" applyNumberFormat="1" applyFont="1" applyBorder="1" applyAlignment="1">
      <alignment horizontal="center"/>
    </xf>
    <xf numFmtId="0" fontId="19" fillId="30" borderId="44" xfId="0" quotePrefix="1" applyFont="1" applyFill="1" applyBorder="1" applyAlignment="1">
      <alignment horizontal="left" vertical="center"/>
    </xf>
    <xf numFmtId="0" fontId="20" fillId="0" borderId="35" xfId="0" applyFont="1" applyBorder="1" applyAlignment="1">
      <alignment horizontal="center"/>
    </xf>
    <xf numFmtId="2" fontId="20" fillId="0" borderId="35" xfId="0" applyNumberFormat="1" applyFont="1" applyBorder="1" applyAlignment="1">
      <alignment horizontal="center"/>
    </xf>
    <xf numFmtId="165" fontId="20" fillId="0" borderId="35" xfId="45" applyNumberFormat="1" applyFont="1" applyBorder="1" applyAlignment="1">
      <alignment horizontal="center"/>
    </xf>
    <xf numFmtId="41" fontId="19" fillId="0" borderId="2" xfId="0" applyNumberFormat="1" applyFont="1" applyBorder="1" applyAlignment="1">
      <alignment vertical="center"/>
    </xf>
    <xf numFmtId="165" fontId="20" fillId="0" borderId="32" xfId="45" applyNumberFormat="1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166" fontId="24" fillId="2" borderId="32" xfId="0" applyNumberFormat="1" applyFont="1" applyFill="1" applyBorder="1" applyAlignment="1"/>
    <xf numFmtId="41" fontId="24" fillId="2" borderId="32" xfId="0" applyNumberFormat="1" applyFont="1" applyFill="1" applyBorder="1" applyAlignment="1"/>
    <xf numFmtId="0" fontId="18" fillId="0" borderId="2" xfId="0" applyFont="1" applyBorder="1" applyAlignment="1">
      <alignment horizontal="left" vertical="center"/>
    </xf>
    <xf numFmtId="166" fontId="20" fillId="0" borderId="2" xfId="0" applyNumberFormat="1" applyFont="1" applyBorder="1" applyAlignment="1">
      <alignment vertical="center"/>
    </xf>
    <xf numFmtId="2" fontId="20" fillId="0" borderId="2" xfId="0" applyNumberFormat="1" applyFont="1" applyBorder="1" applyAlignment="1">
      <alignment vertical="center"/>
    </xf>
    <xf numFmtId="165" fontId="20" fillId="0" borderId="2" xfId="45" applyNumberFormat="1" applyFont="1" applyBorder="1" applyAlignment="1">
      <alignment vertical="center"/>
    </xf>
    <xf numFmtId="0" fontId="24" fillId="2" borderId="0" xfId="0" applyFont="1" applyFill="1" applyAlignment="1"/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/>
    <xf numFmtId="2" fontId="24" fillId="0" borderId="0" xfId="0" applyNumberFormat="1" applyFont="1" applyAlignment="1">
      <alignment vertical="center"/>
    </xf>
    <xf numFmtId="165" fontId="24" fillId="0" borderId="0" xfId="45" applyNumberFormat="1" applyFont="1" applyAlignment="1">
      <alignment vertical="center"/>
    </xf>
    <xf numFmtId="0" fontId="24" fillId="21" borderId="2" xfId="0" applyFont="1" applyFill="1" applyBorder="1" applyAlignment="1">
      <alignment vertical="center"/>
    </xf>
    <xf numFmtId="0" fontId="23" fillId="21" borderId="2" xfId="0" applyFont="1" applyFill="1" applyBorder="1" applyAlignment="1">
      <alignment horizontal="left" wrapText="1"/>
    </xf>
    <xf numFmtId="0" fontId="24" fillId="21" borderId="2" xfId="0" applyFont="1" applyFill="1" applyBorder="1" applyAlignment="1"/>
    <xf numFmtId="2" fontId="24" fillId="21" borderId="2" xfId="0" applyNumberFormat="1" applyFont="1" applyFill="1" applyBorder="1" applyAlignment="1"/>
    <xf numFmtId="165" fontId="24" fillId="21" borderId="2" xfId="45" applyNumberFormat="1" applyFont="1" applyFill="1" applyBorder="1" applyAlignment="1"/>
    <xf numFmtId="0" fontId="20" fillId="33" borderId="3" xfId="0" applyFont="1" applyFill="1" applyBorder="1" applyAlignment="1">
      <alignment horizontal="center"/>
    </xf>
    <xf numFmtId="2" fontId="20" fillId="33" borderId="3" xfId="0" applyNumberFormat="1" applyFont="1" applyFill="1" applyBorder="1" applyAlignment="1">
      <alignment horizontal="center"/>
    </xf>
    <xf numFmtId="165" fontId="20" fillId="33" borderId="3" xfId="45" applyNumberFormat="1" applyFont="1" applyFill="1" applyBorder="1" applyAlignment="1">
      <alignment horizontal="center"/>
    </xf>
    <xf numFmtId="0" fontId="20" fillId="33" borderId="4" xfId="0" applyFont="1" applyFill="1" applyBorder="1" applyAlignment="1">
      <alignment horizontal="center"/>
    </xf>
    <xf numFmtId="2" fontId="20" fillId="33" borderId="4" xfId="0" applyNumberFormat="1" applyFont="1" applyFill="1" applyBorder="1" applyAlignment="1">
      <alignment horizontal="center"/>
    </xf>
    <xf numFmtId="165" fontId="20" fillId="33" borderId="4" xfId="45" applyNumberFormat="1" applyFont="1" applyFill="1" applyBorder="1" applyAlignment="1">
      <alignment horizontal="center"/>
    </xf>
    <xf numFmtId="0" fontId="20" fillId="30" borderId="47" xfId="0" applyFont="1" applyFill="1" applyBorder="1" applyAlignment="1">
      <alignment horizontal="left" vertical="center"/>
    </xf>
    <xf numFmtId="0" fontId="20" fillId="30" borderId="47" xfId="0" applyFont="1" applyFill="1" applyBorder="1" applyAlignment="1"/>
    <xf numFmtId="165" fontId="20" fillId="30" borderId="47" xfId="45" applyNumberFormat="1" applyFont="1" applyFill="1" applyBorder="1" applyAlignment="1">
      <alignment horizontal="right" vertical="center"/>
    </xf>
    <xf numFmtId="0" fontId="20" fillId="0" borderId="48" xfId="0" applyFont="1" applyBorder="1" applyAlignment="1"/>
    <xf numFmtId="165" fontId="20" fillId="0" borderId="48" xfId="45" applyNumberFormat="1" applyFont="1" applyBorder="1" applyAlignment="1">
      <alignment horizontal="right" vertical="center"/>
    </xf>
    <xf numFmtId="0" fontId="24" fillId="0" borderId="48" xfId="0" applyFont="1" applyBorder="1" applyAlignment="1">
      <alignment wrapText="1"/>
    </xf>
    <xf numFmtId="0" fontId="20" fillId="30" borderId="2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 wrapText="1"/>
    </xf>
    <xf numFmtId="165" fontId="24" fillId="0" borderId="2" xfId="45" applyNumberFormat="1" applyFont="1" applyBorder="1" applyAlignment="1">
      <alignment horizontal="right" vertical="center"/>
    </xf>
    <xf numFmtId="43" fontId="24" fillId="0" borderId="2" xfId="0" applyNumberFormat="1" applyFont="1" applyBorder="1" applyAlignment="1"/>
    <xf numFmtId="0" fontId="24" fillId="0" borderId="0" xfId="0" applyFont="1" applyBorder="1" applyAlignment="1">
      <alignment horizontal="left" indent="3"/>
    </xf>
    <xf numFmtId="165" fontId="24" fillId="0" borderId="0" xfId="45" applyNumberFormat="1" applyFont="1" applyBorder="1" applyAlignment="1">
      <alignment horizontal="right" vertical="center"/>
    </xf>
    <xf numFmtId="0" fontId="20" fillId="33" borderId="1" xfId="0" applyFont="1" applyFill="1" applyBorder="1" applyAlignment="1">
      <alignment horizontal="center"/>
    </xf>
    <xf numFmtId="165" fontId="24" fillId="0" borderId="48" xfId="45" applyNumberFormat="1" applyFont="1" applyBorder="1" applyAlignment="1">
      <alignment horizontal="right" vertical="center"/>
    </xf>
    <xf numFmtId="0" fontId="20" fillId="30" borderId="49" xfId="0" applyFont="1" applyFill="1" applyBorder="1" applyAlignment="1">
      <alignment horizontal="left" vertical="center"/>
    </xf>
    <xf numFmtId="0" fontId="24" fillId="0" borderId="50" xfId="0" applyFont="1" applyBorder="1" applyAlignment="1">
      <alignment horizontal="left" wrapText="1"/>
    </xf>
    <xf numFmtId="165" fontId="24" fillId="0" borderId="50" xfId="45" applyNumberFormat="1" applyFont="1" applyBorder="1" applyAlignment="1">
      <alignment horizontal="right" vertical="center"/>
    </xf>
    <xf numFmtId="0" fontId="24" fillId="0" borderId="42" xfId="0" applyFont="1" applyBorder="1" applyAlignment="1"/>
    <xf numFmtId="0" fontId="24" fillId="0" borderId="48" xfId="0" applyFont="1" applyBorder="1" applyAlignment="1">
      <alignment vertical="center"/>
    </xf>
    <xf numFmtId="2" fontId="24" fillId="0" borderId="32" xfId="0" applyNumberFormat="1" applyFont="1" applyFill="1" applyBorder="1" applyAlignment="1"/>
    <xf numFmtId="43" fontId="24" fillId="0" borderId="32" xfId="0" applyNumberFormat="1" applyFont="1" applyBorder="1" applyAlignment="1"/>
    <xf numFmtId="0" fontId="24" fillId="0" borderId="2" xfId="0" applyFont="1" applyBorder="1" applyAlignment="1">
      <alignment horizontal="left" wrapText="1"/>
    </xf>
    <xf numFmtId="165" fontId="24" fillId="0" borderId="2" xfId="45" applyNumberFormat="1" applyFont="1" applyBorder="1" applyAlignment="1">
      <alignment horizontal="center" vertical="center"/>
    </xf>
    <xf numFmtId="0" fontId="20" fillId="33" borderId="53" xfId="0" applyFont="1" applyFill="1" applyBorder="1" applyAlignment="1">
      <alignment horizontal="center"/>
    </xf>
    <xf numFmtId="0" fontId="20" fillId="33" borderId="54" xfId="0" applyFont="1" applyFill="1" applyBorder="1" applyAlignment="1">
      <alignment horizontal="center"/>
    </xf>
    <xf numFmtId="0" fontId="20" fillId="33" borderId="55" xfId="0" applyFont="1" applyFill="1" applyBorder="1" applyAlignment="1">
      <alignment horizontal="center"/>
    </xf>
    <xf numFmtId="0" fontId="20" fillId="19" borderId="47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20" fillId="0" borderId="48" xfId="0" applyFont="1" applyBorder="1" applyAlignment="1">
      <alignment vertical="center"/>
    </xf>
    <xf numFmtId="0" fontId="24" fillId="0" borderId="2" xfId="0" applyFont="1" applyBorder="1" applyAlignment="1">
      <alignment horizontal="left" wrapText="1" indent="2"/>
    </xf>
    <xf numFmtId="43" fontId="24" fillId="0" borderId="2" xfId="45" applyFont="1" applyBorder="1" applyAlignment="1"/>
    <xf numFmtId="0" fontId="20" fillId="0" borderId="47" xfId="0" applyFont="1" applyFill="1" applyBorder="1" applyAlignment="1">
      <alignment horizontal="left" vertical="center"/>
    </xf>
    <xf numFmtId="165" fontId="20" fillId="0" borderId="47" xfId="45" applyNumberFormat="1" applyFont="1" applyFill="1" applyBorder="1" applyAlignment="1">
      <alignment horizontal="right" vertical="center"/>
    </xf>
    <xf numFmtId="0" fontId="24" fillId="0" borderId="50" xfId="0" applyFont="1" applyBorder="1" applyAlignment="1">
      <alignment horizontal="left" vertical="center" wrapText="1"/>
    </xf>
    <xf numFmtId="0" fontId="24" fillId="0" borderId="56" xfId="0" applyFont="1" applyBorder="1" applyAlignment="1">
      <alignment vertical="center"/>
    </xf>
    <xf numFmtId="165" fontId="20" fillId="19" borderId="47" xfId="45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19" fillId="19" borderId="47" xfId="0" applyFont="1" applyFill="1" applyBorder="1" applyAlignment="1">
      <alignment horizontal="left" vertical="center"/>
    </xf>
    <xf numFmtId="0" fontId="24" fillId="0" borderId="48" xfId="0" applyFont="1" applyBorder="1" applyAlignment="1">
      <alignment horizontal="left" wrapText="1"/>
    </xf>
    <xf numFmtId="0" fontId="19" fillId="19" borderId="49" xfId="0" applyFont="1" applyFill="1" applyBorder="1" applyAlignment="1">
      <alignment horizontal="left" vertical="center"/>
    </xf>
    <xf numFmtId="0" fontId="24" fillId="33" borderId="45" xfId="0" applyFont="1" applyFill="1" applyBorder="1" applyAlignment="1">
      <alignment horizontal="left" vertical="center"/>
    </xf>
    <xf numFmtId="165" fontId="24" fillId="33" borderId="45" xfId="0" applyNumberFormat="1" applyFont="1" applyFill="1" applyBorder="1" applyAlignment="1">
      <alignment horizontal="center" vertical="center"/>
    </xf>
    <xf numFmtId="0" fontId="19" fillId="33" borderId="1" xfId="0" applyFont="1" applyFill="1" applyBorder="1" applyAlignment="1">
      <alignment horizontal="center"/>
    </xf>
    <xf numFmtId="0" fontId="19" fillId="33" borderId="3" xfId="0" applyFont="1" applyFill="1" applyBorder="1" applyAlignment="1">
      <alignment horizontal="center"/>
    </xf>
    <xf numFmtId="2" fontId="19" fillId="33" borderId="3" xfId="0" applyNumberFormat="1" applyFont="1" applyFill="1" applyBorder="1" applyAlignment="1">
      <alignment horizontal="center"/>
    </xf>
    <xf numFmtId="165" fontId="19" fillId="33" borderId="3" xfId="45" applyNumberFormat="1" applyFont="1" applyFill="1" applyBorder="1" applyAlignment="1">
      <alignment horizontal="center"/>
    </xf>
    <xf numFmtId="0" fontId="19" fillId="33" borderId="4" xfId="0" applyFont="1" applyFill="1" applyBorder="1" applyAlignment="1">
      <alignment horizontal="center"/>
    </xf>
    <xf numFmtId="2" fontId="19" fillId="33" borderId="4" xfId="0" applyNumberFormat="1" applyFont="1" applyFill="1" applyBorder="1" applyAlignment="1">
      <alignment horizontal="center"/>
    </xf>
    <xf numFmtId="165" fontId="19" fillId="33" borderId="4" xfId="45" applyNumberFormat="1" applyFont="1" applyFill="1" applyBorder="1" applyAlignment="1">
      <alignment horizontal="center"/>
    </xf>
    <xf numFmtId="0" fontId="26" fillId="30" borderId="47" xfId="0" applyFont="1" applyFill="1" applyBorder="1" applyAlignment="1">
      <alignment horizontal="left" vertical="center"/>
    </xf>
    <xf numFmtId="165" fontId="19" fillId="30" borderId="47" xfId="45" applyNumberFormat="1" applyFont="1" applyFill="1" applyBorder="1" applyAlignment="1">
      <alignment horizontal="right" vertical="center"/>
    </xf>
    <xf numFmtId="0" fontId="18" fillId="0" borderId="31" xfId="0" applyFont="1" applyBorder="1" applyAlignment="1"/>
    <xf numFmtId="2" fontId="18" fillId="0" borderId="31" xfId="0" applyNumberFormat="1" applyFont="1" applyBorder="1" applyAlignment="1"/>
    <xf numFmtId="165" fontId="18" fillId="0" borderId="31" xfId="45" applyNumberFormat="1" applyFont="1" applyBorder="1" applyAlignment="1"/>
    <xf numFmtId="0" fontId="33" fillId="0" borderId="48" xfId="0" applyFont="1" applyBorder="1" applyAlignment="1">
      <alignment vertical="center"/>
    </xf>
    <xf numFmtId="165" fontId="19" fillId="0" borderId="48" xfId="45" applyNumberFormat="1" applyFont="1" applyBorder="1" applyAlignment="1">
      <alignment horizontal="right" vertical="center"/>
    </xf>
    <xf numFmtId="0" fontId="18" fillId="0" borderId="32" xfId="0" applyFont="1" applyBorder="1" applyAlignment="1"/>
    <xf numFmtId="2" fontId="18" fillId="0" borderId="32" xfId="0" applyNumberFormat="1" applyFont="1" applyBorder="1" applyAlignment="1"/>
    <xf numFmtId="0" fontId="26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" fontId="19" fillId="0" borderId="2" xfId="0" applyNumberFormat="1" applyFont="1" applyBorder="1" applyAlignment="1"/>
    <xf numFmtId="2" fontId="19" fillId="0" borderId="2" xfId="0" applyNumberFormat="1" applyFont="1" applyFill="1" applyBorder="1" applyAlignment="1"/>
    <xf numFmtId="2" fontId="19" fillId="0" borderId="2" xfId="0" applyNumberFormat="1" applyFont="1" applyBorder="1" applyAlignment="1"/>
    <xf numFmtId="165" fontId="19" fillId="0" borderId="2" xfId="45" applyNumberFormat="1" applyFont="1" applyBorder="1" applyAlignment="1"/>
    <xf numFmtId="2" fontId="18" fillId="0" borderId="2" xfId="0" applyNumberFormat="1" applyFont="1" applyFill="1" applyBorder="1" applyAlignment="1"/>
    <xf numFmtId="3" fontId="19" fillId="0" borderId="2" xfId="0" applyNumberFormat="1" applyFont="1" applyBorder="1" applyAlignment="1"/>
    <xf numFmtId="0" fontId="19" fillId="0" borderId="2" xfId="0" applyFont="1" applyBorder="1" applyAlignment="1"/>
    <xf numFmtId="165" fontId="24" fillId="22" borderId="32" xfId="45" applyNumberFormat="1" applyFont="1" applyFill="1" applyBorder="1" applyAlignment="1"/>
    <xf numFmtId="165" fontId="18" fillId="0" borderId="48" xfId="45" applyNumberFormat="1" applyFont="1" applyBorder="1" applyAlignment="1">
      <alignment horizontal="right" vertical="center"/>
    </xf>
    <xf numFmtId="165" fontId="18" fillId="22" borderId="32" xfId="45" applyNumberFormat="1" applyFont="1" applyFill="1" applyBorder="1" applyAlignment="1"/>
    <xf numFmtId="165" fontId="18" fillId="0" borderId="32" xfId="0" applyNumberFormat="1" applyFont="1" applyBorder="1" applyAlignment="1"/>
    <xf numFmtId="0" fontId="20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2" fontId="20" fillId="0" borderId="0" xfId="0" applyNumberFormat="1" applyFont="1" applyAlignment="1"/>
    <xf numFmtId="0" fontId="24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vertical="center"/>
    </xf>
    <xf numFmtId="0" fontId="27" fillId="0" borderId="0" xfId="0" applyFont="1" applyAlignment="1"/>
    <xf numFmtId="2" fontId="2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2" fontId="20" fillId="19" borderId="0" xfId="0" applyNumberFormat="1" applyFont="1" applyFill="1" applyAlignment="1"/>
    <xf numFmtId="0" fontId="20" fillId="20" borderId="57" xfId="1" quotePrefix="1" applyFont="1" applyFill="1" applyBorder="1" applyAlignment="1">
      <alignment horizontal="left" vertical="center"/>
    </xf>
    <xf numFmtId="3" fontId="20" fillId="20" borderId="58" xfId="1" applyNumberFormat="1" applyFont="1" applyFill="1" applyBorder="1" applyAlignment="1">
      <alignment vertical="center"/>
    </xf>
    <xf numFmtId="0" fontId="20" fillId="34" borderId="4" xfId="0" quotePrefix="1" applyFont="1" applyFill="1" applyBorder="1" applyAlignment="1">
      <alignment wrapText="1"/>
    </xf>
    <xf numFmtId="0" fontId="31" fillId="20" borderId="47" xfId="1" quotePrefix="1" applyFont="1" applyFill="1" applyBorder="1" applyAlignment="1">
      <alignment horizontal="left" vertical="center" wrapText="1"/>
    </xf>
    <xf numFmtId="0" fontId="20" fillId="30" borderId="59" xfId="1" quotePrefix="1" applyFont="1" applyFill="1" applyBorder="1" applyAlignment="1">
      <alignment horizontal="left" vertical="center"/>
    </xf>
    <xf numFmtId="0" fontId="20" fillId="19" borderId="0" xfId="1" quotePrefix="1" applyFont="1" applyFill="1" applyBorder="1" applyAlignment="1">
      <alignment horizontal="center" vertical="center"/>
    </xf>
    <xf numFmtId="0" fontId="24" fillId="2" borderId="0" xfId="1" quotePrefix="1" applyFont="1" applyFill="1" applyBorder="1" applyAlignment="1">
      <alignment horizontal="left" vertical="center"/>
    </xf>
    <xf numFmtId="165" fontId="20" fillId="20" borderId="2" xfId="2" quotePrefix="1" applyNumberFormat="1" applyFont="1" applyFill="1" applyBorder="1" applyAlignment="1">
      <alignment horizontal="left" vertical="center" wrapText="1"/>
    </xf>
    <xf numFmtId="165" fontId="20" fillId="22" borderId="2" xfId="2" quotePrefix="1" applyNumberFormat="1" applyFont="1" applyFill="1" applyBorder="1" applyAlignment="1">
      <alignment horizontal="left" vertical="center" wrapText="1"/>
    </xf>
    <xf numFmtId="165" fontId="20" fillId="30" borderId="22" xfId="2" quotePrefix="1" applyNumberFormat="1" applyFont="1" applyFill="1" applyBorder="1" applyAlignment="1">
      <alignment horizontal="left" vertical="center"/>
    </xf>
    <xf numFmtId="0" fontId="20" fillId="30" borderId="22" xfId="1" quotePrefix="1" applyFont="1" applyFill="1" applyBorder="1" applyAlignment="1">
      <alignment horizontal="left" vertical="center"/>
    </xf>
    <xf numFmtId="4" fontId="24" fillId="30" borderId="7" xfId="1" applyNumberFormat="1" applyFont="1" applyFill="1" applyBorder="1" applyAlignment="1"/>
    <xf numFmtId="3" fontId="24" fillId="0" borderId="4" xfId="1" applyNumberFormat="1" applyFont="1" applyBorder="1" applyAlignment="1">
      <alignment vertical="center"/>
    </xf>
    <xf numFmtId="3" fontId="20" fillId="20" borderId="47" xfId="2" applyNumberFormat="1" applyFont="1" applyFill="1" applyBorder="1" applyAlignment="1">
      <alignment vertical="center"/>
    </xf>
    <xf numFmtId="165" fontId="20" fillId="20" borderId="57" xfId="2" quotePrefix="1" applyNumberFormat="1" applyFont="1" applyFill="1" applyBorder="1" applyAlignment="1">
      <alignment horizontal="left" vertical="center"/>
    </xf>
    <xf numFmtId="165" fontId="20" fillId="21" borderId="1" xfId="2" quotePrefix="1" applyNumberFormat="1" applyFont="1" applyFill="1" applyBorder="1" applyAlignment="1">
      <alignment horizontal="left" vertical="center" wrapText="1"/>
    </xf>
    <xf numFmtId="165" fontId="20" fillId="20" borderId="57" xfId="2" quotePrefix="1" applyNumberFormat="1" applyFont="1" applyFill="1" applyBorder="1" applyAlignment="1">
      <alignment horizontal="left" vertical="center" wrapText="1"/>
    </xf>
    <xf numFmtId="165" fontId="20" fillId="30" borderId="2" xfId="2" quotePrefix="1" applyNumberFormat="1" applyFont="1" applyFill="1" applyBorder="1" applyAlignment="1">
      <alignment horizontal="left" vertical="center" wrapText="1"/>
    </xf>
    <xf numFmtId="165" fontId="24" fillId="19" borderId="2" xfId="2" quotePrefix="1" applyNumberFormat="1" applyFont="1" applyFill="1" applyBorder="1" applyAlignment="1">
      <alignment horizontal="left" vertical="center" wrapText="1"/>
    </xf>
    <xf numFmtId="165" fontId="20" fillId="20" borderId="47" xfId="2" quotePrefix="1" applyNumberFormat="1" applyFont="1" applyFill="1" applyBorder="1" applyAlignment="1">
      <alignment horizontal="left" vertical="center" wrapText="1"/>
    </xf>
    <xf numFmtId="0" fontId="20" fillId="0" borderId="1" xfId="1" quotePrefix="1" applyFont="1" applyBorder="1" applyAlignment="1"/>
    <xf numFmtId="3" fontId="19" fillId="0" borderId="1" xfId="1" applyNumberFormat="1" applyFont="1" applyBorder="1" applyAlignment="1">
      <alignment vertical="center"/>
    </xf>
    <xf numFmtId="0" fontId="20" fillId="21" borderId="27" xfId="1" quotePrefix="1" applyFont="1" applyFill="1" applyBorder="1" applyAlignment="1">
      <alignment vertical="center" wrapText="1"/>
    </xf>
    <xf numFmtId="3" fontId="20" fillId="21" borderId="29" xfId="1" applyNumberFormat="1" applyFont="1" applyFill="1" applyBorder="1" applyAlignment="1">
      <alignment vertical="center"/>
    </xf>
    <xf numFmtId="0" fontId="20" fillId="19" borderId="0" xfId="1" quotePrefix="1" applyFont="1" applyFill="1" applyBorder="1" applyAlignment="1">
      <alignment horizontal="left" vertical="center"/>
    </xf>
    <xf numFmtId="165" fontId="20" fillId="19" borderId="0" xfId="2" quotePrefix="1" applyNumberFormat="1" applyFont="1" applyFill="1" applyBorder="1" applyAlignment="1">
      <alignment vertical="center"/>
    </xf>
    <xf numFmtId="165" fontId="20" fillId="19" borderId="0" xfId="2" quotePrefix="1" applyNumberFormat="1" applyFont="1" applyFill="1" applyBorder="1" applyAlignment="1">
      <alignment horizontal="center" vertical="center"/>
    </xf>
    <xf numFmtId="165" fontId="24" fillId="0" borderId="0" xfId="2" quotePrefix="1" applyNumberFormat="1" applyFont="1" applyBorder="1" applyAlignment="1">
      <alignment horizontal="left" vertical="center"/>
    </xf>
    <xf numFmtId="0" fontId="24" fillId="0" borderId="0" xfId="1" quotePrefix="1" applyFont="1" applyBorder="1" applyAlignment="1">
      <alignment horizontal="left" vertical="center"/>
    </xf>
    <xf numFmtId="3" fontId="20" fillId="20" borderId="47" xfId="1" applyNumberFormat="1" applyFont="1" applyFill="1" applyBorder="1" applyAlignment="1">
      <alignment vertical="center"/>
    </xf>
    <xf numFmtId="0" fontId="20" fillId="34" borderId="51" xfId="0" quotePrefix="1" applyFont="1" applyFill="1" applyBorder="1" applyAlignment="1">
      <alignment wrapText="1"/>
    </xf>
    <xf numFmtId="0" fontId="20" fillId="21" borderId="47" xfId="1" quotePrefix="1" applyFont="1" applyFill="1" applyBorder="1" applyAlignment="1">
      <alignment horizontal="left" vertical="center"/>
    </xf>
    <xf numFmtId="165" fontId="24" fillId="19" borderId="2" xfId="2" quotePrefix="1" applyNumberFormat="1" applyFont="1" applyFill="1" applyBorder="1" applyAlignment="1">
      <alignment vertical="center" wrapText="1"/>
    </xf>
    <xf numFmtId="3" fontId="24" fillId="0" borderId="2" xfId="2" applyNumberFormat="1" applyFont="1" applyBorder="1" applyAlignment="1">
      <alignment horizontal="right" vertical="center"/>
    </xf>
    <xf numFmtId="0" fontId="18" fillId="19" borderId="2" xfId="1" quotePrefix="1" applyFont="1" applyFill="1" applyBorder="1" applyAlignment="1">
      <alignment horizontal="left" vertical="center"/>
    </xf>
    <xf numFmtId="41" fontId="24" fillId="0" borderId="2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6" fontId="24" fillId="2" borderId="2" xfId="1" applyNumberFormat="1" applyFont="1" applyFill="1" applyBorder="1" applyAlignment="1">
      <alignment vertical="center"/>
    </xf>
    <xf numFmtId="166" fontId="24" fillId="0" borderId="2" xfId="1" applyNumberFormat="1" applyFont="1" applyBorder="1" applyAlignment="1">
      <alignment vertical="center"/>
    </xf>
    <xf numFmtId="2" fontId="24" fillId="0" borderId="2" xfId="1" applyNumberFormat="1" applyFont="1" applyBorder="1" applyAlignment="1">
      <alignment horizontal="right" vertical="center"/>
    </xf>
    <xf numFmtId="4" fontId="24" fillId="2" borderId="2" xfId="1" applyNumberFormat="1" applyFont="1" applyFill="1" applyBorder="1" applyAlignment="1">
      <alignment vertical="center"/>
    </xf>
    <xf numFmtId="165" fontId="24" fillId="0" borderId="0" xfId="2" applyNumberFormat="1" applyFont="1" applyBorder="1" applyAlignment="1">
      <alignment vertical="center"/>
    </xf>
    <xf numFmtId="3" fontId="24" fillId="0" borderId="0" xfId="1" applyNumberFormat="1" applyFont="1" applyBorder="1" applyAlignment="1">
      <alignment horizontal="center"/>
    </xf>
    <xf numFmtId="3" fontId="24" fillId="19" borderId="2" xfId="2" applyNumberFormat="1" applyFont="1" applyFill="1" applyBorder="1" applyAlignment="1">
      <alignment horizontal="right" vertical="center"/>
    </xf>
    <xf numFmtId="165" fontId="18" fillId="0" borderId="2" xfId="2" applyNumberFormat="1" applyFont="1" applyBorder="1" applyAlignment="1">
      <alignment vertical="center"/>
    </xf>
    <xf numFmtId="3" fontId="20" fillId="0" borderId="2" xfId="1" applyNumberFormat="1" applyFont="1" applyBorder="1" applyAlignment="1">
      <alignment vertical="center"/>
    </xf>
    <xf numFmtId="3" fontId="24" fillId="0" borderId="2" xfId="1" applyNumberFormat="1" applyFont="1" applyBorder="1" applyAlignment="1">
      <alignment horizontal="right" vertical="center"/>
    </xf>
    <xf numFmtId="165" fontId="20" fillId="34" borderId="2" xfId="2" quotePrefix="1" applyNumberFormat="1" applyFont="1" applyFill="1" applyBorder="1" applyAlignment="1">
      <alignment horizontal="left" vertical="center" wrapText="1"/>
    </xf>
    <xf numFmtId="3" fontId="24" fillId="19" borderId="0" xfId="1" applyNumberFormat="1" applyFont="1" applyFill="1" applyBorder="1" applyAlignment="1"/>
    <xf numFmtId="3" fontId="34" fillId="0" borderId="0" xfId="1" applyNumberFormat="1" applyFont="1" applyBorder="1" applyAlignment="1"/>
    <xf numFmtId="2" fontId="35" fillId="19" borderId="0" xfId="1" applyNumberFormat="1" applyFont="1" applyFill="1" applyAlignment="1"/>
    <xf numFmtId="165" fontId="24" fillId="19" borderId="1" xfId="2" quotePrefix="1" applyNumberFormat="1" applyFont="1" applyFill="1" applyBorder="1" applyAlignment="1">
      <alignment horizontal="left" vertical="center" wrapText="1"/>
    </xf>
    <xf numFmtId="4" fontId="24" fillId="19" borderId="2" xfId="1" applyNumberFormat="1" applyFont="1" applyFill="1" applyBorder="1" applyAlignment="1">
      <alignment vertical="center"/>
    </xf>
    <xf numFmtId="2" fontId="24" fillId="19" borderId="2" xfId="1" applyNumberFormat="1" applyFont="1" applyFill="1" applyBorder="1" applyAlignment="1">
      <alignment vertical="center"/>
    </xf>
    <xf numFmtId="3" fontId="24" fillId="19" borderId="2" xfId="1" applyNumberFormat="1" applyFont="1" applyFill="1" applyBorder="1" applyAlignment="1">
      <alignment vertical="center"/>
    </xf>
    <xf numFmtId="3" fontId="24" fillId="19" borderId="2" xfId="1" applyNumberFormat="1" applyFont="1" applyFill="1" applyBorder="1" applyAlignment="1"/>
    <xf numFmtId="0" fontId="22" fillId="0" borderId="5" xfId="1" quotePrefix="1" applyFont="1" applyBorder="1" applyAlignment="1">
      <alignment horizontal="left" vertical="center"/>
    </xf>
    <xf numFmtId="165" fontId="24" fillId="0" borderId="5" xfId="2" quotePrefix="1" applyNumberFormat="1" applyFont="1" applyBorder="1" applyAlignment="1">
      <alignment horizontal="left" vertical="center" wrapText="1"/>
    </xf>
    <xf numFmtId="0" fontId="18" fillId="0" borderId="22" xfId="1" quotePrefix="1" applyFont="1" applyBorder="1" applyAlignment="1">
      <alignment horizontal="left" vertical="center"/>
    </xf>
    <xf numFmtId="0" fontId="18" fillId="0" borderId="5" xfId="1" quotePrefix="1" applyFont="1" applyBorder="1" applyAlignment="1">
      <alignment horizontal="left" vertical="center"/>
    </xf>
    <xf numFmtId="0" fontId="24" fillId="0" borderId="24" xfId="1" quotePrefix="1" applyFont="1" applyBorder="1" applyAlignment="1">
      <alignment horizontal="left" vertical="center"/>
    </xf>
    <xf numFmtId="0" fontId="18" fillId="0" borderId="2" xfId="1" quotePrefix="1" applyFont="1" applyBorder="1" applyAlignment="1">
      <alignment horizontal="left" vertical="center" wrapText="1"/>
    </xf>
    <xf numFmtId="41" fontId="24" fillId="0" borderId="4" xfId="5" applyNumberFormat="1" applyFont="1" applyBorder="1" applyAlignment="1">
      <alignment vertical="center"/>
    </xf>
    <xf numFmtId="166" fontId="24" fillId="0" borderId="4" xfId="1" applyNumberFormat="1" applyFont="1" applyBorder="1" applyAlignment="1">
      <alignment vertical="center"/>
    </xf>
    <xf numFmtId="165" fontId="24" fillId="19" borderId="4" xfId="2" applyNumberFormat="1" applyFont="1" applyFill="1" applyBorder="1" applyAlignment="1"/>
    <xf numFmtId="165" fontId="24" fillId="0" borderId="4" xfId="2" quotePrefix="1" applyNumberFormat="1" applyFont="1" applyBorder="1" applyAlignment="1">
      <alignment horizontal="left" vertical="center" wrapText="1"/>
    </xf>
    <xf numFmtId="0" fontId="24" fillId="0" borderId="5" xfId="1" quotePrefix="1" applyFont="1" applyBorder="1" applyAlignment="1">
      <alignment vertical="center"/>
    </xf>
    <xf numFmtId="165" fontId="24" fillId="19" borderId="2" xfId="2" applyNumberFormat="1" applyFont="1" applyFill="1" applyBorder="1" applyAlignment="1">
      <alignment horizontal="center" vertical="center"/>
    </xf>
    <xf numFmtId="165" fontId="24" fillId="19" borderId="4" xfId="2" applyNumberFormat="1" applyFont="1" applyFill="1" applyBorder="1" applyAlignment="1">
      <alignment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20" fillId="28" borderId="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/>
    </xf>
    <xf numFmtId="165" fontId="20" fillId="0" borderId="4" xfId="2" applyNumberFormat="1" applyFont="1" applyBorder="1" applyAlignment="1">
      <alignment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20" fillId="28" borderId="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/>
    </xf>
    <xf numFmtId="3" fontId="0" fillId="0" borderId="0" xfId="0" applyNumberFormat="1"/>
    <xf numFmtId="3" fontId="36" fillId="0" borderId="2" xfId="0" applyNumberFormat="1" applyFont="1" applyBorder="1"/>
    <xf numFmtId="3" fontId="2" fillId="0" borderId="2" xfId="1" applyNumberFormat="1" applyFont="1" applyBorder="1" applyAlignment="1"/>
    <xf numFmtId="0" fontId="24" fillId="19" borderId="0" xfId="1" applyFont="1" applyFill="1" applyBorder="1" applyAlignment="1"/>
    <xf numFmtId="0" fontId="0" fillId="19" borderId="0" xfId="0" applyFill="1"/>
    <xf numFmtId="0" fontId="24" fillId="0" borderId="34" xfId="1" quotePrefix="1" applyFont="1" applyBorder="1" applyAlignment="1">
      <alignment horizontal="left" vertical="center"/>
    </xf>
    <xf numFmtId="3" fontId="24" fillId="0" borderId="44" xfId="1" applyNumberFormat="1" applyFont="1" applyBorder="1" applyAlignment="1">
      <alignment vertical="center"/>
    </xf>
    <xf numFmtId="4" fontId="24" fillId="19" borderId="7" xfId="1" applyNumberFormat="1" applyFont="1" applyFill="1" applyBorder="1" applyAlignment="1"/>
    <xf numFmtId="0" fontId="24" fillId="19" borderId="0" xfId="1" quotePrefix="1" applyFont="1" applyFill="1" applyBorder="1" applyAlignment="1">
      <alignment horizontal="left" vertical="center"/>
    </xf>
    <xf numFmtId="3" fontId="24" fillId="19" borderId="4" xfId="1" applyNumberFormat="1" applyFont="1" applyFill="1" applyBorder="1" applyAlignment="1">
      <alignment vertical="center"/>
    </xf>
    <xf numFmtId="4" fontId="24" fillId="34" borderId="2" xfId="1" applyNumberFormat="1" applyFont="1" applyFill="1" applyBorder="1" applyAlignment="1">
      <alignment vertical="center"/>
    </xf>
    <xf numFmtId="2" fontId="24" fillId="34" borderId="2" xfId="1" applyNumberFormat="1" applyFont="1" applyFill="1" applyBorder="1" applyAlignment="1">
      <alignment vertical="center"/>
    </xf>
    <xf numFmtId="165" fontId="24" fillId="34" borderId="2" xfId="2" applyNumberFormat="1" applyFont="1" applyFill="1" applyBorder="1" applyAlignment="1"/>
    <xf numFmtId="3" fontId="24" fillId="34" borderId="2" xfId="1" applyNumberFormat="1" applyFont="1" applyFill="1" applyBorder="1" applyAlignment="1">
      <alignment vertical="center"/>
    </xf>
    <xf numFmtId="3" fontId="24" fillId="34" borderId="2" xfId="1" applyNumberFormat="1" applyFont="1" applyFill="1" applyBorder="1" applyAlignment="1"/>
    <xf numFmtId="3" fontId="24" fillId="34" borderId="0" xfId="1" applyNumberFormat="1" applyFont="1" applyFill="1" applyBorder="1" applyAlignment="1"/>
    <xf numFmtId="0" fontId="24" fillId="34" borderId="0" xfId="1" applyFont="1" applyFill="1" applyBorder="1" applyAlignment="1"/>
    <xf numFmtId="0" fontId="0" fillId="34" borderId="0" xfId="0" applyFill="1"/>
    <xf numFmtId="3" fontId="20" fillId="34" borderId="4" xfId="1" applyNumberFormat="1" applyFont="1" applyFill="1" applyBorder="1" applyAlignment="1">
      <alignment vertical="center"/>
    </xf>
    <xf numFmtId="0" fontId="24" fillId="19" borderId="22" xfId="1" quotePrefix="1" applyFont="1" applyFill="1" applyBorder="1" applyAlignment="1">
      <alignment horizontal="left" vertical="center"/>
    </xf>
    <xf numFmtId="0" fontId="20" fillId="34" borderId="2" xfId="1" quotePrefix="1" applyFont="1" applyFill="1" applyBorder="1" applyAlignment="1">
      <alignment horizontal="left" vertical="center"/>
    </xf>
    <xf numFmtId="3" fontId="20" fillId="34" borderId="2" xfId="1" applyNumberFormat="1" applyFont="1" applyFill="1" applyBorder="1" applyAlignment="1">
      <alignment vertical="center"/>
    </xf>
    <xf numFmtId="0" fontId="24" fillId="19" borderId="23" xfId="1" quotePrefix="1" applyFont="1" applyFill="1" applyBorder="1" applyAlignment="1">
      <alignment horizontal="left" vertical="center"/>
    </xf>
    <xf numFmtId="0" fontId="20" fillId="34" borderId="2" xfId="1" quotePrefix="1" applyFont="1" applyFill="1" applyBorder="1" applyAlignment="1">
      <alignment horizontal="left" vertical="center" wrapText="1"/>
    </xf>
    <xf numFmtId="165" fontId="24" fillId="0" borderId="5" xfId="2" quotePrefix="1" applyNumberFormat="1" applyFont="1" applyBorder="1" applyAlignment="1">
      <alignment horizontal="left" vertical="center"/>
    </xf>
    <xf numFmtId="2" fontId="24" fillId="0" borderId="23" xfId="1" applyNumberFormat="1" applyFont="1" applyBorder="1" applyAlignment="1">
      <alignment vertical="center"/>
    </xf>
    <xf numFmtId="0" fontId="24" fillId="0" borderId="4" xfId="1" applyFont="1" applyBorder="1" applyAlignment="1">
      <alignment vertical="center"/>
    </xf>
    <xf numFmtId="41" fontId="19" fillId="0" borderId="2" xfId="1" applyNumberFormat="1" applyFont="1" applyBorder="1" applyAlignment="1">
      <alignment horizontal="center" vertical="center"/>
    </xf>
    <xf numFmtId="165" fontId="20" fillId="0" borderId="2" xfId="2" applyNumberFormat="1" applyFont="1" applyBorder="1" applyAlignment="1">
      <alignment horizontal="left" vertical="center"/>
    </xf>
    <xf numFmtId="165" fontId="20" fillId="0" borderId="2" xfId="2" applyNumberFormat="1" applyFont="1" applyBorder="1" applyAlignment="1">
      <alignment horizontal="right" vertical="center"/>
    </xf>
    <xf numFmtId="165" fontId="19" fillId="0" borderId="2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20" fillId="28" borderId="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/>
    </xf>
    <xf numFmtId="2" fontId="24" fillId="0" borderId="23" xfId="1" applyNumberFormat="1" applyFont="1" applyBorder="1" applyAlignment="1">
      <alignment horizontal="right" vertical="center"/>
    </xf>
    <xf numFmtId="0" fontId="24" fillId="0" borderId="4" xfId="1" applyFont="1" applyBorder="1" applyAlignment="1">
      <alignment horizontal="left" vertical="center"/>
    </xf>
    <xf numFmtId="41" fontId="20" fillId="0" borderId="2" xfId="1" applyNumberFormat="1" applyFont="1" applyBorder="1" applyAlignment="1"/>
    <xf numFmtId="0" fontId="20" fillId="0" borderId="4" xfId="1" applyFont="1" applyBorder="1" applyAlignment="1">
      <alignment vertical="center"/>
    </xf>
    <xf numFmtId="165" fontId="20" fillId="0" borderId="2" xfId="2" applyNumberFormat="1" applyFont="1" applyBorder="1" applyAlignment="1">
      <alignment horizontal="center" vertical="center"/>
    </xf>
    <xf numFmtId="0" fontId="24" fillId="19" borderId="24" xfId="1" quotePrefix="1" applyFont="1" applyFill="1" applyBorder="1" applyAlignment="1">
      <alignment horizontal="left" vertical="center"/>
    </xf>
    <xf numFmtId="41" fontId="20" fillId="0" borderId="2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20" fillId="28" borderId="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/>
    </xf>
    <xf numFmtId="165" fontId="20" fillId="2" borderId="2" xfId="2" applyNumberFormat="1" applyFont="1" applyFill="1" applyBorder="1" applyAlignment="1">
      <alignment vertical="center"/>
    </xf>
    <xf numFmtId="0" fontId="20" fillId="0" borderId="7" xfId="1" applyFont="1" applyBorder="1" applyAlignment="1">
      <alignment horizontal="center"/>
    </xf>
    <xf numFmtId="0" fontId="20" fillId="28" borderId="3" xfId="1" applyFont="1" applyFill="1" applyBorder="1" applyAlignment="1">
      <alignment horizontal="center" vertical="center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2" fontId="18" fillId="0" borderId="23" xfId="1" applyNumberFormat="1" applyFont="1" applyBorder="1" applyAlignment="1">
      <alignment vertical="center"/>
    </xf>
    <xf numFmtId="0" fontId="18" fillId="0" borderId="4" xfId="1" applyFont="1" applyBorder="1" applyAlignment="1"/>
    <xf numFmtId="0" fontId="20" fillId="19" borderId="2" xfId="1" applyFont="1" applyFill="1" applyBorder="1" applyAlignment="1">
      <alignment horizontal="left" vertical="center"/>
    </xf>
    <xf numFmtId="0" fontId="20" fillId="0" borderId="7" xfId="1" applyFont="1" applyBorder="1" applyAlignment="1">
      <alignment horizontal="center"/>
    </xf>
    <xf numFmtId="0" fontId="20" fillId="28" borderId="3" xfId="1" applyFont="1" applyFill="1" applyBorder="1" applyAlignment="1">
      <alignment horizontal="center" vertical="center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7" xfId="1" applyFont="1" applyBorder="1" applyAlignment="1">
      <alignment horizontal="center"/>
    </xf>
    <xf numFmtId="0" fontId="20" fillId="28" borderId="3" xfId="1" applyFont="1" applyFill="1" applyBorder="1" applyAlignment="1">
      <alignment horizontal="center" vertical="center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20" fillId="28" borderId="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20" fillId="28" borderId="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/>
    </xf>
    <xf numFmtId="0" fontId="20" fillId="0" borderId="7" xfId="1" applyFont="1" applyBorder="1" applyAlignment="1">
      <alignment horizontal="center"/>
    </xf>
    <xf numFmtId="0" fontId="20" fillId="28" borderId="3" xfId="1" applyFont="1" applyFill="1" applyBorder="1" applyAlignment="1">
      <alignment horizontal="center" vertical="center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20" fillId="28" borderId="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20" fillId="28" borderId="3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/>
    </xf>
    <xf numFmtId="3" fontId="24" fillId="0" borderId="7" xfId="2" applyNumberFormat="1" applyFont="1" applyBorder="1" applyAlignment="1"/>
    <xf numFmtId="3" fontId="20" fillId="21" borderId="4" xfId="2" applyNumberFormat="1" applyFont="1" applyFill="1" applyBorder="1" applyAlignment="1">
      <alignment vertical="center"/>
    </xf>
    <xf numFmtId="41" fontId="20" fillId="19" borderId="2" xfId="2" applyNumberFormat="1" applyFont="1" applyFill="1" applyBorder="1" applyAlignment="1">
      <alignment vertical="center"/>
    </xf>
    <xf numFmtId="165" fontId="24" fillId="0" borderId="7" xfId="2" quotePrefix="1" applyNumberFormat="1" applyFont="1" applyBorder="1" applyAlignment="1">
      <alignment horizontal="left" vertical="center"/>
    </xf>
    <xf numFmtId="0" fontId="24" fillId="0" borderId="7" xfId="1" quotePrefix="1" applyFont="1" applyBorder="1" applyAlignment="1">
      <alignment horizontal="left" vertical="center" wrapText="1"/>
    </xf>
    <xf numFmtId="165" fontId="24" fillId="0" borderId="22" xfId="2" quotePrefix="1" applyNumberFormat="1" applyFont="1" applyBorder="1" applyAlignment="1">
      <alignment horizontal="left" vertical="center" wrapText="1"/>
    </xf>
    <xf numFmtId="0" fontId="24" fillId="19" borderId="4" xfId="0" quotePrefix="1" applyFont="1" applyFill="1" applyBorder="1" applyAlignment="1">
      <alignment wrapText="1"/>
    </xf>
    <xf numFmtId="0" fontId="20" fillId="0" borderId="7" xfId="1" applyFont="1" applyBorder="1" applyAlignment="1">
      <alignment horizontal="center"/>
    </xf>
    <xf numFmtId="0" fontId="20" fillId="28" borderId="3" xfId="1" applyFont="1" applyFill="1" applyBorder="1" applyAlignment="1">
      <alignment horizontal="center" vertical="center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0" fontId="20" fillId="0" borderId="7" xfId="1" applyFont="1" applyBorder="1" applyAlignment="1">
      <alignment horizontal="center"/>
    </xf>
    <xf numFmtId="0" fontId="20" fillId="28" borderId="3" xfId="1" applyFont="1" applyFill="1" applyBorder="1" applyAlignment="1">
      <alignment horizontal="center" vertical="center"/>
    </xf>
    <xf numFmtId="0" fontId="20" fillId="26" borderId="1" xfId="1" applyFont="1" applyFill="1" applyBorder="1" applyAlignment="1">
      <alignment horizontal="center" vertic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8" fillId="33" borderId="49" xfId="0" applyFont="1" applyFill="1" applyBorder="1" applyAlignment="1">
      <alignment horizontal="center" vertical="center"/>
    </xf>
    <xf numFmtId="0" fontId="18" fillId="33" borderId="45" xfId="0" applyFont="1" applyFill="1" applyBorder="1" applyAlignment="1">
      <alignment horizontal="center" vertical="center"/>
    </xf>
    <xf numFmtId="0" fontId="18" fillId="33" borderId="46" xfId="0" applyFont="1" applyFill="1" applyBorder="1" applyAlignment="1">
      <alignment horizontal="center" vertical="center"/>
    </xf>
    <xf numFmtId="0" fontId="24" fillId="33" borderId="49" xfId="0" applyFont="1" applyFill="1" applyBorder="1" applyAlignment="1">
      <alignment horizontal="center" vertical="center" wrapText="1"/>
    </xf>
    <xf numFmtId="0" fontId="24" fillId="33" borderId="45" xfId="0" applyFont="1" applyFill="1" applyBorder="1" applyAlignment="1">
      <alignment horizontal="center" vertical="center" wrapText="1"/>
    </xf>
    <xf numFmtId="0" fontId="24" fillId="33" borderId="46" xfId="0" applyFont="1" applyFill="1" applyBorder="1" applyAlignment="1">
      <alignment horizontal="center" vertical="center" wrapText="1"/>
    </xf>
    <xf numFmtId="0" fontId="19" fillId="33" borderId="2" xfId="0" applyFont="1" applyFill="1" applyBorder="1" applyAlignment="1">
      <alignment horizontal="center"/>
    </xf>
    <xf numFmtId="2" fontId="19" fillId="33" borderId="2" xfId="0" applyNumberFormat="1" applyFont="1" applyFill="1" applyBorder="1" applyAlignment="1">
      <alignment horizontal="center"/>
    </xf>
    <xf numFmtId="166" fontId="19" fillId="33" borderId="2" xfId="45" applyNumberFormat="1" applyFont="1" applyFill="1" applyBorder="1" applyAlignment="1">
      <alignment horizontal="center"/>
    </xf>
    <xf numFmtId="0" fontId="19" fillId="33" borderId="1" xfId="0" applyFont="1" applyFill="1" applyBorder="1" applyAlignment="1">
      <alignment horizontal="center" vertical="center"/>
    </xf>
    <xf numFmtId="0" fontId="19" fillId="33" borderId="4" xfId="0" applyFont="1" applyFill="1" applyBorder="1" applyAlignment="1">
      <alignment horizontal="center" vertical="center"/>
    </xf>
    <xf numFmtId="0" fontId="24" fillId="33" borderId="49" xfId="0" applyFont="1" applyFill="1" applyBorder="1" applyAlignment="1">
      <alignment horizontal="center" vertical="center"/>
    </xf>
    <xf numFmtId="0" fontId="24" fillId="33" borderId="45" xfId="0" applyFont="1" applyFill="1" applyBorder="1" applyAlignment="1">
      <alignment horizontal="center" vertical="center"/>
    </xf>
    <xf numFmtId="0" fontId="24" fillId="33" borderId="46" xfId="0" applyFont="1" applyFill="1" applyBorder="1" applyAlignment="1">
      <alignment horizontal="center" vertical="center"/>
    </xf>
    <xf numFmtId="0" fontId="20" fillId="33" borderId="51" xfId="0" applyFont="1" applyFill="1" applyBorder="1" applyAlignment="1">
      <alignment horizontal="center"/>
    </xf>
    <xf numFmtId="2" fontId="20" fillId="33" borderId="51" xfId="0" applyNumberFormat="1" applyFont="1" applyFill="1" applyBorder="1" applyAlignment="1">
      <alignment horizontal="center"/>
    </xf>
    <xf numFmtId="166" fontId="20" fillId="33" borderId="51" xfId="45" applyNumberFormat="1" applyFont="1" applyFill="1" applyBorder="1" applyAlignment="1">
      <alignment horizontal="center"/>
    </xf>
    <xf numFmtId="0" fontId="20" fillId="33" borderId="52" xfId="0" applyFont="1" applyFill="1" applyBorder="1" applyAlignment="1">
      <alignment horizontal="center" vertical="center"/>
    </xf>
    <xf numFmtId="0" fontId="20" fillId="33" borderId="4" xfId="0" applyFont="1" applyFill="1" applyBorder="1" applyAlignment="1">
      <alignment horizontal="center" vertical="center"/>
    </xf>
    <xf numFmtId="0" fontId="33" fillId="33" borderId="49" xfId="0" applyFont="1" applyFill="1" applyBorder="1" applyAlignment="1">
      <alignment horizontal="center" vertical="center"/>
    </xf>
    <xf numFmtId="0" fontId="33" fillId="33" borderId="45" xfId="0" applyFont="1" applyFill="1" applyBorder="1" applyAlignment="1">
      <alignment horizontal="center" vertical="center"/>
    </xf>
    <xf numFmtId="0" fontId="33" fillId="33" borderId="46" xfId="0" applyFont="1" applyFill="1" applyBorder="1" applyAlignment="1">
      <alignment horizontal="center" vertical="center"/>
    </xf>
    <xf numFmtId="0" fontId="20" fillId="33" borderId="2" xfId="0" applyFont="1" applyFill="1" applyBorder="1" applyAlignment="1">
      <alignment horizontal="center"/>
    </xf>
    <xf numFmtId="2" fontId="20" fillId="33" borderId="2" xfId="0" applyNumberFormat="1" applyFont="1" applyFill="1" applyBorder="1" applyAlignment="1">
      <alignment horizontal="center"/>
    </xf>
    <xf numFmtId="166" fontId="20" fillId="33" borderId="2" xfId="45" applyNumberFormat="1" applyFont="1" applyFill="1" applyBorder="1" applyAlignment="1">
      <alignment horizontal="center"/>
    </xf>
    <xf numFmtId="0" fontId="20" fillId="33" borderId="1" xfId="0" applyFont="1" applyFill="1" applyBorder="1" applyAlignment="1">
      <alignment horizontal="center" vertical="center"/>
    </xf>
    <xf numFmtId="0" fontId="20" fillId="33" borderId="4" xfId="0" applyFont="1" applyFill="1" applyBorder="1" applyAlignment="1">
      <alignment horizontal="center"/>
    </xf>
    <xf numFmtId="2" fontId="20" fillId="33" borderId="4" xfId="0" applyNumberFormat="1" applyFont="1" applyFill="1" applyBorder="1" applyAlignment="1">
      <alignment horizontal="center"/>
    </xf>
    <xf numFmtId="166" fontId="20" fillId="33" borderId="4" xfId="45" applyNumberFormat="1" applyFont="1" applyFill="1" applyBorder="1" applyAlignment="1">
      <alignment horizontal="center"/>
    </xf>
    <xf numFmtId="0" fontId="20" fillId="33" borderId="3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4" xfId="0" applyFont="1" applyFill="1" applyBorder="1" applyAlignment="1">
      <alignment horizontal="center" vertical="center"/>
    </xf>
    <xf numFmtId="0" fontId="20" fillId="21" borderId="3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 wrapText="1"/>
    </xf>
    <xf numFmtId="0" fontId="19" fillId="21" borderId="3" xfId="0" applyFont="1" applyFill="1" applyBorder="1" applyAlignment="1">
      <alignment horizontal="center" vertical="center" wrapText="1"/>
    </xf>
    <xf numFmtId="0" fontId="19" fillId="21" borderId="4" xfId="0" applyFont="1" applyFill="1" applyBorder="1" applyAlignment="1">
      <alignment horizontal="center" vertical="center" wrapText="1"/>
    </xf>
    <xf numFmtId="0" fontId="20" fillId="21" borderId="2" xfId="0" applyFont="1" applyFill="1" applyBorder="1" applyAlignment="1">
      <alignment horizontal="center"/>
    </xf>
    <xf numFmtId="2" fontId="20" fillId="21" borderId="2" xfId="0" applyNumberFormat="1" applyFont="1" applyFill="1" applyBorder="1" applyAlignment="1">
      <alignment horizontal="center"/>
    </xf>
    <xf numFmtId="166" fontId="20" fillId="21" borderId="2" xfId="45" applyNumberFormat="1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21" borderId="2" xfId="0" applyFont="1" applyFill="1" applyBorder="1" applyAlignment="1">
      <alignment horizontal="center" vertical="center"/>
    </xf>
    <xf numFmtId="0" fontId="20" fillId="21" borderId="3" xfId="0" applyFont="1" applyFill="1" applyBorder="1" applyAlignment="1">
      <alignment horizontal="center" vertical="center" wrapText="1"/>
    </xf>
    <xf numFmtId="0" fontId="20" fillId="21" borderId="1" xfId="0" applyFont="1" applyFill="1" applyBorder="1" applyAlignment="1">
      <alignment horizontal="center" vertical="center" wrapText="1"/>
    </xf>
    <xf numFmtId="0" fontId="20" fillId="21" borderId="4" xfId="0" applyFont="1" applyFill="1" applyBorder="1" applyAlignment="1">
      <alignment horizontal="center" vertical="center" wrapText="1"/>
    </xf>
    <xf numFmtId="41" fontId="20" fillId="21" borderId="1" xfId="46" applyNumberFormat="1" applyFont="1" applyFill="1" applyBorder="1" applyAlignment="1">
      <alignment horizontal="center" vertical="center"/>
    </xf>
    <xf numFmtId="41" fontId="20" fillId="21" borderId="3" xfId="46" applyNumberFormat="1" applyFont="1" applyFill="1" applyBorder="1" applyAlignment="1">
      <alignment horizontal="center" vertical="center"/>
    </xf>
    <xf numFmtId="41" fontId="20" fillId="21" borderId="4" xfId="46" applyNumberFormat="1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21" borderId="5" xfId="0" applyFont="1" applyFill="1" applyBorder="1" applyAlignment="1">
      <alignment horizontal="center"/>
    </xf>
    <xf numFmtId="0" fontId="20" fillId="21" borderId="6" xfId="0" applyFont="1" applyFill="1" applyBorder="1" applyAlignment="1">
      <alignment horizontal="center"/>
    </xf>
    <xf numFmtId="0" fontId="20" fillId="21" borderId="7" xfId="0" applyFont="1" applyFill="1" applyBorder="1" applyAlignment="1">
      <alignment horizontal="center"/>
    </xf>
    <xf numFmtId="166" fontId="20" fillId="21" borderId="5" xfId="45" applyNumberFormat="1" applyFont="1" applyFill="1" applyBorder="1" applyAlignment="1">
      <alignment horizontal="center"/>
    </xf>
    <xf numFmtId="166" fontId="20" fillId="21" borderId="6" xfId="45" applyNumberFormat="1" applyFont="1" applyFill="1" applyBorder="1" applyAlignment="1">
      <alignment horizontal="center"/>
    </xf>
    <xf numFmtId="166" fontId="20" fillId="21" borderId="7" xfId="45" applyNumberFormat="1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21" borderId="20" xfId="0" applyFont="1" applyFill="1" applyBorder="1" applyAlignment="1">
      <alignment horizontal="center" vertical="center"/>
    </xf>
    <xf numFmtId="0" fontId="21" fillId="21" borderId="21" xfId="0" applyFont="1" applyFill="1" applyBorder="1" applyAlignment="1">
      <alignment horizontal="center" vertical="center"/>
    </xf>
    <xf numFmtId="0" fontId="21" fillId="21" borderId="38" xfId="0" applyFont="1" applyFill="1" applyBorder="1" applyAlignment="1">
      <alignment horizontal="center" vertical="center"/>
    </xf>
    <xf numFmtId="0" fontId="21" fillId="21" borderId="17" xfId="0" applyFont="1" applyFill="1" applyBorder="1" applyAlignment="1">
      <alignment horizontal="center" vertical="center" wrapText="1"/>
    </xf>
    <xf numFmtId="0" fontId="21" fillId="21" borderId="18" xfId="0" applyFont="1" applyFill="1" applyBorder="1" applyAlignment="1">
      <alignment horizontal="center" vertical="center" wrapText="1"/>
    </xf>
    <xf numFmtId="0" fontId="21" fillId="21" borderId="19" xfId="0" applyFont="1" applyFill="1" applyBorder="1" applyAlignment="1">
      <alignment horizontal="center" vertical="center" wrapText="1"/>
    </xf>
    <xf numFmtId="165" fontId="20" fillId="0" borderId="2" xfId="45" applyNumberFormat="1" applyFont="1" applyBorder="1" applyAlignment="1">
      <alignment horizontal="center"/>
    </xf>
    <xf numFmtId="0" fontId="24" fillId="21" borderId="1" xfId="0" applyFont="1" applyFill="1" applyBorder="1" applyAlignment="1">
      <alignment horizontal="center" vertical="center"/>
    </xf>
    <xf numFmtId="0" fontId="24" fillId="21" borderId="3" xfId="0" applyFont="1" applyFill="1" applyBorder="1" applyAlignment="1">
      <alignment horizontal="center" vertical="center"/>
    </xf>
    <xf numFmtId="0" fontId="24" fillId="21" borderId="4" xfId="0" applyFont="1" applyFill="1" applyBorder="1" applyAlignment="1">
      <alignment horizontal="center" vertical="center"/>
    </xf>
    <xf numFmtId="0" fontId="24" fillId="21" borderId="1" xfId="0" applyFont="1" applyFill="1" applyBorder="1" applyAlignment="1">
      <alignment horizontal="center" vertical="center" wrapText="1"/>
    </xf>
    <xf numFmtId="0" fontId="24" fillId="21" borderId="3" xfId="0" applyFont="1" applyFill="1" applyBorder="1" applyAlignment="1">
      <alignment horizontal="center" vertical="center" wrapText="1"/>
    </xf>
    <xf numFmtId="0" fontId="24" fillId="21" borderId="4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66" fontId="20" fillId="0" borderId="0" xfId="45" applyNumberFormat="1" applyFont="1" applyAlignment="1">
      <alignment horizontal="center" vertical="center"/>
    </xf>
    <xf numFmtId="165" fontId="20" fillId="0" borderId="1" xfId="45" applyNumberFormat="1" applyFont="1" applyBorder="1" applyAlignment="1">
      <alignment horizontal="center" vertical="center"/>
    </xf>
    <xf numFmtId="165" fontId="20" fillId="0" borderId="3" xfId="45" applyNumberFormat="1" applyFont="1" applyBorder="1" applyAlignment="1">
      <alignment horizontal="center" vertical="center"/>
    </xf>
    <xf numFmtId="165" fontId="20" fillId="0" borderId="4" xfId="45" applyNumberFormat="1" applyFont="1" applyBorder="1" applyAlignment="1">
      <alignment horizontal="center" vertical="center"/>
    </xf>
    <xf numFmtId="2" fontId="20" fillId="0" borderId="2" xfId="45" applyNumberFormat="1" applyFont="1" applyBorder="1" applyAlignment="1">
      <alignment horizontal="center"/>
    </xf>
    <xf numFmtId="166" fontId="20" fillId="0" borderId="2" xfId="45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2" fontId="20" fillId="0" borderId="2" xfId="0" applyNumberFormat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2" fontId="20" fillId="0" borderId="0" xfId="1" applyNumberFormat="1" applyFont="1" applyAlignment="1">
      <alignment horizontal="center" vertical="center"/>
    </xf>
    <xf numFmtId="166" fontId="20" fillId="0" borderId="0" xfId="2" applyNumberFormat="1" applyFont="1" applyAlignment="1">
      <alignment horizontal="center" vertical="center"/>
    </xf>
    <xf numFmtId="0" fontId="20" fillId="29" borderId="1" xfId="1" applyFont="1" applyFill="1" applyBorder="1" applyAlignment="1">
      <alignment horizontal="center" vertical="center"/>
    </xf>
    <xf numFmtId="0" fontId="20" fillId="29" borderId="3" xfId="1" applyFont="1" applyFill="1" applyBorder="1" applyAlignment="1">
      <alignment horizontal="center" vertical="center"/>
    </xf>
    <xf numFmtId="0" fontId="20" fillId="29" borderId="4" xfId="1" applyFont="1" applyFill="1" applyBorder="1" applyAlignment="1">
      <alignment horizontal="center" vertical="center"/>
    </xf>
    <xf numFmtId="0" fontId="20" fillId="29" borderId="2" xfId="1" applyFont="1" applyFill="1" applyBorder="1" applyAlignment="1">
      <alignment horizontal="center"/>
    </xf>
    <xf numFmtId="2" fontId="20" fillId="29" borderId="2" xfId="1" applyNumberFormat="1" applyFont="1" applyFill="1" applyBorder="1" applyAlignment="1">
      <alignment horizontal="center"/>
    </xf>
    <xf numFmtId="166" fontId="20" fillId="29" borderId="2" xfId="2" applyNumberFormat="1" applyFont="1" applyFill="1" applyBorder="1" applyAlignment="1">
      <alignment horizontal="center"/>
    </xf>
    <xf numFmtId="0" fontId="20" fillId="0" borderId="22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165" fontId="20" fillId="29" borderId="1" xfId="2" applyNumberFormat="1" applyFont="1" applyFill="1" applyBorder="1" applyAlignment="1">
      <alignment horizontal="center" vertical="center"/>
    </xf>
    <xf numFmtId="165" fontId="20" fillId="29" borderId="3" xfId="2" applyNumberFormat="1" applyFont="1" applyFill="1" applyBorder="1" applyAlignment="1">
      <alignment horizontal="center" vertical="center"/>
    </xf>
    <xf numFmtId="165" fontId="20" fillId="29" borderId="4" xfId="2" applyNumberFormat="1" applyFont="1" applyFill="1" applyBorder="1" applyAlignment="1">
      <alignment horizontal="center" vertical="center"/>
    </xf>
    <xf numFmtId="165" fontId="20" fillId="29" borderId="1" xfId="2" applyNumberFormat="1" applyFont="1" applyFill="1" applyBorder="1" applyAlignment="1">
      <alignment horizontal="center" vertical="center" wrapText="1"/>
    </xf>
    <xf numFmtId="165" fontId="20" fillId="29" borderId="3" xfId="2" applyNumberFormat="1" applyFont="1" applyFill="1" applyBorder="1" applyAlignment="1">
      <alignment horizontal="center" vertical="center" wrapText="1"/>
    </xf>
    <xf numFmtId="165" fontId="20" fillId="29" borderId="4" xfId="2" applyNumberFormat="1" applyFont="1" applyFill="1" applyBorder="1" applyAlignment="1">
      <alignment horizontal="center" vertical="center" wrapText="1"/>
    </xf>
    <xf numFmtId="165" fontId="20" fillId="29" borderId="2" xfId="2" applyNumberFormat="1" applyFont="1" applyFill="1" applyBorder="1" applyAlignment="1">
      <alignment horizontal="center"/>
    </xf>
    <xf numFmtId="2" fontId="20" fillId="29" borderId="2" xfId="2" applyNumberFormat="1" applyFont="1" applyFill="1" applyBorder="1" applyAlignment="1">
      <alignment horizontal="center"/>
    </xf>
    <xf numFmtId="0" fontId="20" fillId="23" borderId="1" xfId="1" applyFont="1" applyFill="1" applyBorder="1" applyAlignment="1">
      <alignment horizontal="center" vertical="center"/>
    </xf>
    <xf numFmtId="0" fontId="20" fillId="23" borderId="3" xfId="1" applyFont="1" applyFill="1" applyBorder="1" applyAlignment="1">
      <alignment horizontal="center" vertical="center"/>
    </xf>
    <xf numFmtId="0" fontId="20" fillId="23" borderId="4" xfId="1" applyFont="1" applyFill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20" fillId="23" borderId="2" xfId="1" applyFont="1" applyFill="1" applyBorder="1" applyAlignment="1">
      <alignment horizontal="center" vertical="center"/>
    </xf>
    <xf numFmtId="0" fontId="20" fillId="23" borderId="2" xfId="1" applyFont="1" applyFill="1" applyBorder="1" applyAlignment="1">
      <alignment horizontal="center" vertical="center" wrapText="1"/>
    </xf>
    <xf numFmtId="0" fontId="20" fillId="23" borderId="2" xfId="1" applyFont="1" applyFill="1" applyBorder="1" applyAlignment="1">
      <alignment horizontal="center"/>
    </xf>
    <xf numFmtId="2" fontId="20" fillId="23" borderId="2" xfId="1" applyNumberFormat="1" applyFont="1" applyFill="1" applyBorder="1" applyAlignment="1">
      <alignment horizontal="center"/>
    </xf>
    <xf numFmtId="166" fontId="20" fillId="23" borderId="2" xfId="2" applyNumberFormat="1" applyFont="1" applyFill="1" applyBorder="1" applyAlignment="1">
      <alignment horizontal="center"/>
    </xf>
    <xf numFmtId="165" fontId="20" fillId="0" borderId="5" xfId="2" applyNumberFormat="1" applyFont="1" applyBorder="1" applyAlignment="1">
      <alignment horizontal="center"/>
    </xf>
    <xf numFmtId="165" fontId="20" fillId="0" borderId="6" xfId="2" applyNumberFormat="1" applyFont="1" applyBorder="1" applyAlignment="1">
      <alignment horizontal="center"/>
    </xf>
    <xf numFmtId="165" fontId="20" fillId="0" borderId="7" xfId="2" applyNumberFormat="1" applyFont="1" applyBorder="1" applyAlignment="1">
      <alignment horizontal="center"/>
    </xf>
    <xf numFmtId="0" fontId="19" fillId="23" borderId="1" xfId="1" applyFont="1" applyFill="1" applyBorder="1" applyAlignment="1">
      <alignment horizontal="center" vertical="center" wrapText="1"/>
    </xf>
    <xf numFmtId="0" fontId="19" fillId="23" borderId="3" xfId="1" applyFont="1" applyFill="1" applyBorder="1" applyAlignment="1">
      <alignment horizontal="center" vertical="center" wrapText="1"/>
    </xf>
    <xf numFmtId="0" fontId="19" fillId="23" borderId="4" xfId="1" applyFont="1" applyFill="1" applyBorder="1" applyAlignment="1">
      <alignment horizontal="center" vertical="center" wrapText="1"/>
    </xf>
    <xf numFmtId="0" fontId="19" fillId="24" borderId="1" xfId="1" applyFont="1" applyFill="1" applyBorder="1" applyAlignment="1">
      <alignment horizontal="center" vertical="center" wrapText="1"/>
    </xf>
    <xf numFmtId="0" fontId="19" fillId="24" borderId="3" xfId="1" applyFont="1" applyFill="1" applyBorder="1" applyAlignment="1">
      <alignment horizontal="center" vertical="center" wrapText="1"/>
    </xf>
    <xf numFmtId="0" fontId="19" fillId="24" borderId="4" xfId="1" applyFont="1" applyFill="1" applyBorder="1" applyAlignment="1">
      <alignment horizontal="center" vertical="center" wrapText="1"/>
    </xf>
    <xf numFmtId="0" fontId="20" fillId="24" borderId="2" xfId="1" applyFont="1" applyFill="1" applyBorder="1" applyAlignment="1">
      <alignment horizontal="center"/>
    </xf>
    <xf numFmtId="2" fontId="20" fillId="24" borderId="2" xfId="1" applyNumberFormat="1" applyFont="1" applyFill="1" applyBorder="1" applyAlignment="1">
      <alignment horizontal="center"/>
    </xf>
    <xf numFmtId="166" fontId="20" fillId="24" borderId="2" xfId="2" applyNumberFormat="1" applyFont="1" applyFill="1" applyBorder="1" applyAlignment="1">
      <alignment horizontal="center"/>
    </xf>
    <xf numFmtId="0" fontId="20" fillId="24" borderId="1" xfId="1" applyFont="1" applyFill="1" applyBorder="1" applyAlignment="1">
      <alignment horizontal="center" vertical="center"/>
    </xf>
    <xf numFmtId="0" fontId="20" fillId="24" borderId="3" xfId="1" applyFont="1" applyFill="1" applyBorder="1" applyAlignment="1">
      <alignment horizontal="center" vertical="center"/>
    </xf>
    <xf numFmtId="0" fontId="20" fillId="24" borderId="2" xfId="1" applyFont="1" applyFill="1" applyBorder="1" applyAlignment="1">
      <alignment horizontal="center" vertical="center"/>
    </xf>
    <xf numFmtId="0" fontId="20" fillId="24" borderId="2" xfId="1" applyFont="1" applyFill="1" applyBorder="1" applyAlignment="1">
      <alignment horizontal="center" vertical="center" wrapText="1"/>
    </xf>
    <xf numFmtId="0" fontId="19" fillId="24" borderId="2" xfId="1" applyFont="1" applyFill="1" applyBorder="1" applyAlignment="1">
      <alignment horizontal="center" vertical="center"/>
    </xf>
    <xf numFmtId="0" fontId="19" fillId="24" borderId="2" xfId="1" applyFont="1" applyFill="1" applyBorder="1" applyAlignment="1">
      <alignment horizontal="center"/>
    </xf>
    <xf numFmtId="2" fontId="19" fillId="24" borderId="2" xfId="1" applyNumberFormat="1" applyFont="1" applyFill="1" applyBorder="1" applyAlignment="1">
      <alignment horizontal="center"/>
    </xf>
    <xf numFmtId="166" fontId="19" fillId="24" borderId="2" xfId="2" applyNumberFormat="1" applyFont="1" applyFill="1" applyBorder="1" applyAlignment="1">
      <alignment horizontal="center"/>
    </xf>
    <xf numFmtId="0" fontId="19" fillId="24" borderId="1" xfId="1" applyFont="1" applyFill="1" applyBorder="1" applyAlignment="1">
      <alignment horizontal="center" vertical="center"/>
    </xf>
    <xf numFmtId="0" fontId="20" fillId="26" borderId="2" xfId="1" applyFont="1" applyFill="1" applyBorder="1" applyAlignment="1">
      <alignment horizontal="center" vertical="center"/>
    </xf>
    <xf numFmtId="0" fontId="20" fillId="26" borderId="1" xfId="1" applyFont="1" applyFill="1" applyBorder="1" applyAlignment="1">
      <alignment horizontal="center" vertical="center"/>
    </xf>
    <xf numFmtId="0" fontId="20" fillId="26" borderId="2" xfId="1" applyFont="1" applyFill="1" applyBorder="1" applyAlignment="1">
      <alignment horizontal="center" vertical="center" wrapText="1"/>
    </xf>
    <xf numFmtId="0" fontId="20" fillId="26" borderId="2" xfId="1" applyFont="1" applyFill="1" applyBorder="1" applyAlignment="1">
      <alignment horizontal="center"/>
    </xf>
    <xf numFmtId="166" fontId="20" fillId="26" borderId="2" xfId="2" applyNumberFormat="1" applyFont="1" applyFill="1" applyBorder="1" applyAlignment="1">
      <alignment horizontal="center"/>
    </xf>
    <xf numFmtId="0" fontId="20" fillId="26" borderId="3" xfId="1" applyFont="1" applyFill="1" applyBorder="1" applyAlignment="1">
      <alignment horizontal="center" vertical="center"/>
    </xf>
    <xf numFmtId="0" fontId="20" fillId="26" borderId="4" xfId="1" applyFont="1" applyFill="1" applyBorder="1" applyAlignment="1">
      <alignment horizontal="center" vertical="center"/>
    </xf>
    <xf numFmtId="0" fontId="20" fillId="26" borderId="1" xfId="1" applyFont="1" applyFill="1" applyBorder="1" applyAlignment="1">
      <alignment horizontal="center" vertical="center" wrapText="1"/>
    </xf>
    <xf numFmtId="0" fontId="20" fillId="26" borderId="3" xfId="1" applyFont="1" applyFill="1" applyBorder="1" applyAlignment="1">
      <alignment horizontal="center" vertical="center" wrapText="1"/>
    </xf>
    <xf numFmtId="0" fontId="20" fillId="26" borderId="4" xfId="1" applyFont="1" applyFill="1" applyBorder="1" applyAlignment="1">
      <alignment horizontal="center" vertical="center" wrapText="1"/>
    </xf>
    <xf numFmtId="0" fontId="20" fillId="26" borderId="5" xfId="1" applyFont="1" applyFill="1" applyBorder="1" applyAlignment="1">
      <alignment horizontal="center"/>
    </xf>
    <xf numFmtId="0" fontId="20" fillId="26" borderId="6" xfId="1" applyFont="1" applyFill="1" applyBorder="1" applyAlignment="1">
      <alignment horizontal="center"/>
    </xf>
    <xf numFmtId="0" fontId="20" fillId="26" borderId="7" xfId="1" applyFont="1" applyFill="1" applyBorder="1" applyAlignment="1">
      <alignment horizontal="center"/>
    </xf>
    <xf numFmtId="166" fontId="20" fillId="26" borderId="5" xfId="2" applyNumberFormat="1" applyFont="1" applyFill="1" applyBorder="1" applyAlignment="1">
      <alignment horizontal="center"/>
    </xf>
    <xf numFmtId="166" fontId="20" fillId="26" borderId="6" xfId="2" applyNumberFormat="1" applyFont="1" applyFill="1" applyBorder="1" applyAlignment="1">
      <alignment horizontal="center"/>
    </xf>
    <xf numFmtId="166" fontId="20" fillId="26" borderId="7" xfId="2" applyNumberFormat="1" applyFont="1" applyFill="1" applyBorder="1" applyAlignment="1">
      <alignment horizontal="center"/>
    </xf>
    <xf numFmtId="0" fontId="20" fillId="25" borderId="2" xfId="1" applyFont="1" applyFill="1" applyBorder="1" applyAlignment="1">
      <alignment horizontal="center" vertical="center"/>
    </xf>
    <xf numFmtId="0" fontId="20" fillId="25" borderId="2" xfId="1" applyFont="1" applyFill="1" applyBorder="1" applyAlignment="1">
      <alignment horizontal="center" vertical="center" wrapText="1"/>
    </xf>
    <xf numFmtId="0" fontId="20" fillId="25" borderId="2" xfId="1" applyFont="1" applyFill="1" applyBorder="1" applyAlignment="1">
      <alignment horizontal="center"/>
    </xf>
    <xf numFmtId="2" fontId="20" fillId="25" borderId="2" xfId="1" applyNumberFormat="1" applyFont="1" applyFill="1" applyBorder="1" applyAlignment="1">
      <alignment horizontal="center"/>
    </xf>
    <xf numFmtId="166" fontId="20" fillId="25" borderId="2" xfId="2" applyNumberFormat="1" applyFont="1" applyFill="1" applyBorder="1" applyAlignment="1">
      <alignment horizontal="center"/>
    </xf>
    <xf numFmtId="0" fontId="20" fillId="25" borderId="1" xfId="1" applyFont="1" applyFill="1" applyBorder="1" applyAlignment="1">
      <alignment horizontal="center" vertical="center"/>
    </xf>
    <xf numFmtId="0" fontId="20" fillId="25" borderId="3" xfId="1" applyFont="1" applyFill="1" applyBorder="1" applyAlignment="1">
      <alignment horizontal="center" vertical="center"/>
    </xf>
    <xf numFmtId="0" fontId="20" fillId="25" borderId="4" xfId="1" applyFont="1" applyFill="1" applyBorder="1" applyAlignment="1">
      <alignment horizontal="center" vertical="center"/>
    </xf>
    <xf numFmtId="0" fontId="19" fillId="25" borderId="2" xfId="1" applyFont="1" applyFill="1" applyBorder="1" applyAlignment="1">
      <alignment horizontal="center" vertical="center"/>
    </xf>
    <xf numFmtId="0" fontId="19" fillId="25" borderId="2" xfId="1" applyFont="1" applyFill="1" applyBorder="1" applyAlignment="1">
      <alignment horizontal="center"/>
    </xf>
    <xf numFmtId="2" fontId="19" fillId="25" borderId="2" xfId="1" applyNumberFormat="1" applyFont="1" applyFill="1" applyBorder="1" applyAlignment="1">
      <alignment horizontal="center"/>
    </xf>
    <xf numFmtId="166" fontId="19" fillId="25" borderId="2" xfId="2" applyNumberFormat="1" applyFont="1" applyFill="1" applyBorder="1" applyAlignment="1">
      <alignment horizontal="center"/>
    </xf>
    <xf numFmtId="0" fontId="19" fillId="25" borderId="1" xfId="1" applyFont="1" applyFill="1" applyBorder="1" applyAlignment="1">
      <alignment horizontal="center" vertical="center"/>
    </xf>
    <xf numFmtId="0" fontId="19" fillId="25" borderId="1" xfId="1" applyFont="1" applyFill="1" applyBorder="1" applyAlignment="1">
      <alignment horizontal="center" vertical="center" wrapText="1"/>
    </xf>
    <xf numFmtId="0" fontId="19" fillId="25" borderId="3" xfId="1" applyFont="1" applyFill="1" applyBorder="1" applyAlignment="1">
      <alignment horizontal="center" vertical="center" wrapText="1"/>
    </xf>
    <xf numFmtId="0" fontId="19" fillId="25" borderId="4" xfId="1" applyFont="1" applyFill="1" applyBorder="1" applyAlignment="1">
      <alignment horizontal="center" vertical="center" wrapText="1"/>
    </xf>
    <xf numFmtId="0" fontId="20" fillId="27" borderId="2" xfId="1" applyFont="1" applyFill="1" applyBorder="1" applyAlignment="1">
      <alignment horizontal="center" vertical="center"/>
    </xf>
    <xf numFmtId="0" fontId="20" fillId="27" borderId="2" xfId="1" applyFont="1" applyFill="1" applyBorder="1" applyAlignment="1">
      <alignment horizontal="center" vertical="center" wrapText="1"/>
    </xf>
    <xf numFmtId="0" fontId="20" fillId="27" borderId="2" xfId="1" applyFont="1" applyFill="1" applyBorder="1" applyAlignment="1">
      <alignment horizontal="center"/>
    </xf>
    <xf numFmtId="166" fontId="20" fillId="27" borderId="2" xfId="2" applyNumberFormat="1" applyFont="1" applyFill="1" applyBorder="1" applyAlignment="1">
      <alignment horizontal="center"/>
    </xf>
    <xf numFmtId="0" fontId="20" fillId="27" borderId="1" xfId="1" applyFont="1" applyFill="1" applyBorder="1" applyAlignment="1">
      <alignment horizontal="center" vertical="center"/>
    </xf>
    <xf numFmtId="0" fontId="20" fillId="27" borderId="3" xfId="1" applyFont="1" applyFill="1" applyBorder="1" applyAlignment="1">
      <alignment horizontal="center" vertical="center"/>
    </xf>
    <xf numFmtId="0" fontId="20" fillId="27" borderId="4" xfId="1" applyFont="1" applyFill="1" applyBorder="1" applyAlignment="1">
      <alignment horizontal="center" vertical="center"/>
    </xf>
    <xf numFmtId="0" fontId="20" fillId="27" borderId="1" xfId="1" applyFont="1" applyFill="1" applyBorder="1" applyAlignment="1">
      <alignment horizontal="center" vertical="center" wrapText="1"/>
    </xf>
    <xf numFmtId="0" fontId="20" fillId="27" borderId="3" xfId="1" applyFont="1" applyFill="1" applyBorder="1" applyAlignment="1">
      <alignment horizontal="center" vertical="center" wrapText="1"/>
    </xf>
    <xf numFmtId="0" fontId="20" fillId="27" borderId="4" xfId="1" applyFont="1" applyFill="1" applyBorder="1" applyAlignment="1">
      <alignment horizontal="center" vertical="center" wrapText="1"/>
    </xf>
    <xf numFmtId="41" fontId="20" fillId="27" borderId="1" xfId="5" applyNumberFormat="1" applyFont="1" applyFill="1" applyBorder="1" applyAlignment="1">
      <alignment horizontal="center" vertical="center"/>
    </xf>
    <xf numFmtId="41" fontId="20" fillId="27" borderId="3" xfId="5" applyNumberFormat="1" applyFont="1" applyFill="1" applyBorder="1" applyAlignment="1">
      <alignment horizontal="center" vertical="center"/>
    </xf>
    <xf numFmtId="41" fontId="20" fillId="27" borderId="4" xfId="5" applyNumberFormat="1" applyFont="1" applyFill="1" applyBorder="1" applyAlignment="1">
      <alignment horizontal="center" vertical="center"/>
    </xf>
    <xf numFmtId="2" fontId="20" fillId="27" borderId="2" xfId="1" applyNumberFormat="1" applyFont="1" applyFill="1" applyBorder="1" applyAlignment="1">
      <alignment horizontal="center"/>
    </xf>
    <xf numFmtId="0" fontId="20" fillId="28" borderId="2" xfId="1" applyFont="1" applyFill="1" applyBorder="1" applyAlignment="1">
      <alignment horizontal="center" vertical="center"/>
    </xf>
    <xf numFmtId="0" fontId="20" fillId="28" borderId="2" xfId="1" applyFont="1" applyFill="1" applyBorder="1" applyAlignment="1">
      <alignment horizontal="center" vertical="center" wrapText="1"/>
    </xf>
    <xf numFmtId="0" fontId="20" fillId="28" borderId="2" xfId="1" applyFont="1" applyFill="1" applyBorder="1" applyAlignment="1">
      <alignment horizontal="center"/>
    </xf>
    <xf numFmtId="2" fontId="20" fillId="28" borderId="2" xfId="1" applyNumberFormat="1" applyFont="1" applyFill="1" applyBorder="1" applyAlignment="1">
      <alignment horizontal="center"/>
    </xf>
    <xf numFmtId="166" fontId="20" fillId="28" borderId="2" xfId="2" applyNumberFormat="1" applyFont="1" applyFill="1" applyBorder="1" applyAlignment="1">
      <alignment horizontal="center"/>
    </xf>
    <xf numFmtId="0" fontId="20" fillId="28" borderId="1" xfId="1" applyFont="1" applyFill="1" applyBorder="1" applyAlignment="1">
      <alignment horizontal="center" vertical="center"/>
    </xf>
    <xf numFmtId="0" fontId="21" fillId="28" borderId="20" xfId="1" applyFont="1" applyFill="1" applyBorder="1" applyAlignment="1">
      <alignment horizontal="center" vertical="center"/>
    </xf>
    <xf numFmtId="0" fontId="21" fillId="28" borderId="21" xfId="1" applyFont="1" applyFill="1" applyBorder="1" applyAlignment="1">
      <alignment horizontal="center" vertical="center"/>
    </xf>
    <xf numFmtId="0" fontId="21" fillId="28" borderId="25" xfId="1" applyFont="1" applyFill="1" applyBorder="1" applyAlignment="1">
      <alignment horizontal="center" vertical="center"/>
    </xf>
    <xf numFmtId="0" fontId="21" fillId="28" borderId="17" xfId="1" applyFont="1" applyFill="1" applyBorder="1" applyAlignment="1">
      <alignment horizontal="center" vertical="center" wrapText="1"/>
    </xf>
    <xf numFmtId="0" fontId="21" fillId="28" borderId="18" xfId="1" applyFont="1" applyFill="1" applyBorder="1" applyAlignment="1">
      <alignment horizontal="center" vertical="center" wrapText="1"/>
    </xf>
    <xf numFmtId="0" fontId="21" fillId="28" borderId="19" xfId="1" applyFont="1" applyFill="1" applyBorder="1" applyAlignment="1">
      <alignment horizontal="center" vertical="center" wrapText="1"/>
    </xf>
    <xf numFmtId="0" fontId="20" fillId="28" borderId="5" xfId="1" applyFont="1" applyFill="1" applyBorder="1" applyAlignment="1">
      <alignment horizontal="center"/>
    </xf>
    <xf numFmtId="0" fontId="20" fillId="28" borderId="6" xfId="1" applyFont="1" applyFill="1" applyBorder="1" applyAlignment="1">
      <alignment horizontal="center"/>
    </xf>
    <xf numFmtId="0" fontId="20" fillId="28" borderId="7" xfId="1" applyFont="1" applyFill="1" applyBorder="1" applyAlignment="1">
      <alignment horizontal="center"/>
    </xf>
    <xf numFmtId="166" fontId="20" fillId="28" borderId="5" xfId="2" applyNumberFormat="1" applyFont="1" applyFill="1" applyBorder="1" applyAlignment="1">
      <alignment horizontal="center"/>
    </xf>
    <xf numFmtId="166" fontId="20" fillId="28" borderId="6" xfId="2" applyNumberFormat="1" applyFont="1" applyFill="1" applyBorder="1" applyAlignment="1">
      <alignment horizontal="center"/>
    </xf>
    <xf numFmtId="166" fontId="20" fillId="28" borderId="7" xfId="2" applyNumberFormat="1" applyFont="1" applyFill="1" applyBorder="1" applyAlignment="1">
      <alignment horizontal="center"/>
    </xf>
    <xf numFmtId="0" fontId="20" fillId="28" borderId="3" xfId="1" applyFont="1" applyFill="1" applyBorder="1" applyAlignment="1">
      <alignment horizontal="center" vertical="center"/>
    </xf>
    <xf numFmtId="0" fontId="20" fillId="0" borderId="5" xfId="1" applyFont="1" applyBorder="1" applyAlignment="1">
      <alignment horizontal="center"/>
    </xf>
    <xf numFmtId="0" fontId="20" fillId="0" borderId="6" xfId="1" applyFont="1" applyBorder="1" applyAlignment="1">
      <alignment horizontal="center"/>
    </xf>
    <xf numFmtId="0" fontId="20" fillId="0" borderId="7" xfId="1" applyFont="1" applyBorder="1" applyAlignment="1">
      <alignment horizontal="center"/>
    </xf>
    <xf numFmtId="0" fontId="20" fillId="27" borderId="5" xfId="1" applyFont="1" applyFill="1" applyBorder="1" applyAlignment="1">
      <alignment horizontal="center"/>
    </xf>
    <xf numFmtId="0" fontId="20" fillId="27" borderId="6" xfId="1" applyFont="1" applyFill="1" applyBorder="1" applyAlignment="1">
      <alignment horizontal="center"/>
    </xf>
    <xf numFmtId="0" fontId="20" fillId="27" borderId="7" xfId="1" applyFont="1" applyFill="1" applyBorder="1" applyAlignment="1">
      <alignment horizontal="center"/>
    </xf>
    <xf numFmtId="166" fontId="20" fillId="27" borderId="5" xfId="2" applyNumberFormat="1" applyFont="1" applyFill="1" applyBorder="1" applyAlignment="1">
      <alignment horizontal="center"/>
    </xf>
    <xf numFmtId="166" fontId="20" fillId="27" borderId="6" xfId="2" applyNumberFormat="1" applyFont="1" applyFill="1" applyBorder="1" applyAlignment="1">
      <alignment horizontal="center"/>
    </xf>
    <xf numFmtId="166" fontId="20" fillId="27" borderId="7" xfId="2" applyNumberFormat="1" applyFont="1" applyFill="1" applyBorder="1" applyAlignment="1">
      <alignment horizontal="center"/>
    </xf>
    <xf numFmtId="0" fontId="20" fillId="0" borderId="24" xfId="1" applyFont="1" applyBorder="1" applyAlignment="1">
      <alignment horizontal="center" vertical="center" wrapText="1"/>
    </xf>
  </cellXfs>
  <cellStyles count="47">
    <cellStyle name="20% - Accent1 2" xfId="6"/>
    <cellStyle name="20% - Accent2 2" xfId="8"/>
    <cellStyle name="20% - Accent3 2" xfId="4"/>
    <cellStyle name="20% - Accent4 2" xfId="9"/>
    <cellStyle name="20% - Accent5 2" xfId="10"/>
    <cellStyle name="20% - Accent6 2" xfId="12"/>
    <cellStyle name="40% - Accent1 2" xfId="3"/>
    <cellStyle name="40% - Accent2 2" xfId="14"/>
    <cellStyle name="40% - Accent3 2" xfId="16"/>
    <cellStyle name="40% - Accent4 2" xfId="18"/>
    <cellStyle name="40% - Accent5 2" xfId="19"/>
    <cellStyle name="40% - Accent6 2" xfId="20"/>
    <cellStyle name="60% - Accent1 2" xfId="11"/>
    <cellStyle name="60% - Accent2 2" xfId="13"/>
    <cellStyle name="60% - Accent3 2" xfId="21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7"/>
    <cellStyle name="CExplanatory Text" xfId="34"/>
    <cellStyle name="Check Cell 2" xfId="35"/>
    <cellStyle name="Comma" xfId="45" builtinId="3"/>
    <cellStyle name="Comma [0]" xfId="46" builtinId="6"/>
    <cellStyle name="Comma [0] 2" xfId="5"/>
    <cellStyle name="Comma 2" xfId="2"/>
    <cellStyle name="Good 2" xfId="22"/>
    <cellStyle name="Heading 1 2" xfId="38"/>
    <cellStyle name="Heading 2 2" xfId="36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2" xfId="1"/>
    <cellStyle name="Note 2" xfId="37"/>
    <cellStyle name="Output 2" xfId="23"/>
    <cellStyle name="Title 2" xfId="15"/>
    <cellStyle name="Total 2" xfId="44"/>
    <cellStyle name="Warning Tex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13"/>
  <sheetViews>
    <sheetView topLeftCell="A10" workbookViewId="0">
      <selection activeCell="J22" sqref="J22"/>
    </sheetView>
  </sheetViews>
  <sheetFormatPr defaultColWidth="9" defaultRowHeight="12.75" x14ac:dyDescent="0.2"/>
  <cols>
    <col min="1" max="1" width="15.42578125" style="506" customWidth="1"/>
    <col min="2" max="2" width="57" style="323" bestFit="1" customWidth="1"/>
    <col min="3" max="3" width="16.140625" style="506" customWidth="1"/>
    <col min="4" max="4" width="8.7109375" style="323" customWidth="1"/>
    <col min="5" max="5" width="8.7109375" style="423" customWidth="1"/>
    <col min="6" max="6" width="9.7109375" style="423" customWidth="1"/>
    <col min="7" max="7" width="22.7109375" style="424" bestFit="1" customWidth="1"/>
    <col min="8" max="8" width="8.7109375" style="423" customWidth="1"/>
    <col min="9" max="9" width="9.7109375" style="423" customWidth="1"/>
    <col min="10" max="10" width="16.5703125" style="323" customWidth="1"/>
    <col min="11" max="11" width="11.5703125" style="323" bestFit="1" customWidth="1"/>
    <col min="12" max="12" width="13.42578125" style="323" bestFit="1" customWidth="1"/>
    <col min="13" max="13" width="15.85546875" style="323" customWidth="1"/>
    <col min="14" max="14" width="9.85546875" style="323" bestFit="1" customWidth="1"/>
    <col min="15" max="15" width="10.42578125" style="323" bestFit="1" customWidth="1"/>
    <col min="16" max="16" width="9.85546875" style="323" bestFit="1" customWidth="1"/>
    <col min="17" max="16384" width="9" style="323"/>
  </cols>
  <sheetData>
    <row r="1" spans="1:18" x14ac:dyDescent="0.2">
      <c r="A1" s="1023" t="s">
        <v>0</v>
      </c>
      <c r="B1" s="1023"/>
      <c r="C1" s="1023"/>
      <c r="D1" s="1023"/>
      <c r="E1" s="1024"/>
      <c r="F1" s="1024"/>
      <c r="G1" s="1025"/>
      <c r="H1" s="1024"/>
      <c r="I1" s="1024"/>
      <c r="J1" s="1023"/>
      <c r="K1" s="1023"/>
    </row>
    <row r="2" spans="1:18" x14ac:dyDescent="0.2">
      <c r="A2" s="1023" t="s">
        <v>257</v>
      </c>
      <c r="B2" s="1023"/>
      <c r="C2" s="1023"/>
      <c r="D2" s="1023"/>
      <c r="E2" s="1024"/>
      <c r="F2" s="1024"/>
      <c r="G2" s="1025"/>
      <c r="H2" s="1024"/>
      <c r="I2" s="1024"/>
      <c r="J2" s="1023"/>
      <c r="K2" s="1023"/>
    </row>
    <row r="3" spans="1:18" x14ac:dyDescent="0.2">
      <c r="A3" s="1023" t="s">
        <v>258</v>
      </c>
      <c r="B3" s="1023"/>
      <c r="C3" s="1023"/>
      <c r="D3" s="1023"/>
      <c r="E3" s="1024"/>
      <c r="F3" s="1024"/>
      <c r="G3" s="1025"/>
      <c r="H3" s="1024"/>
      <c r="I3" s="1024"/>
      <c r="J3" s="1023"/>
      <c r="K3" s="1023"/>
    </row>
    <row r="4" spans="1:18" ht="17.25" customHeight="1" x14ac:dyDescent="0.2">
      <c r="A4" s="324" t="s">
        <v>1</v>
      </c>
      <c r="B4" s="324"/>
      <c r="C4" s="324"/>
      <c r="D4" s="324"/>
      <c r="E4" s="325"/>
      <c r="F4" s="325"/>
      <c r="G4" s="326"/>
      <c r="H4" s="325"/>
      <c r="I4" s="325"/>
      <c r="J4" s="324"/>
      <c r="K4" s="324"/>
    </row>
    <row r="5" spans="1:18" s="328" customFormat="1" x14ac:dyDescent="0.2">
      <c r="A5" s="1031" t="s">
        <v>2</v>
      </c>
      <c r="B5" s="1031" t="s">
        <v>3</v>
      </c>
      <c r="C5" s="1031" t="s">
        <v>4</v>
      </c>
      <c r="D5" s="1034" t="s">
        <v>5</v>
      </c>
      <c r="E5" s="1035"/>
      <c r="F5" s="1035"/>
      <c r="G5" s="1030" t="s">
        <v>6</v>
      </c>
      <c r="H5" s="1035"/>
      <c r="I5" s="1035"/>
      <c r="J5" s="1031" t="s">
        <v>7</v>
      </c>
      <c r="K5" s="327" t="s">
        <v>8</v>
      </c>
    </row>
    <row r="6" spans="1:18" s="328" customFormat="1" x14ac:dyDescent="0.2">
      <c r="A6" s="1032"/>
      <c r="B6" s="1032"/>
      <c r="C6" s="1032"/>
      <c r="D6" s="329" t="s">
        <v>9</v>
      </c>
      <c r="E6" s="330" t="s">
        <v>10</v>
      </c>
      <c r="F6" s="330" t="s">
        <v>11</v>
      </c>
      <c r="G6" s="331" t="s">
        <v>12</v>
      </c>
      <c r="H6" s="330" t="s">
        <v>13</v>
      </c>
      <c r="I6" s="330" t="s">
        <v>11</v>
      </c>
      <c r="J6" s="1033"/>
      <c r="K6" s="329"/>
    </row>
    <row r="7" spans="1:18" s="328" customFormat="1" x14ac:dyDescent="0.2">
      <c r="A7" s="1033"/>
      <c r="B7" s="1033"/>
      <c r="C7" s="1033"/>
      <c r="D7" s="332" t="s">
        <v>14</v>
      </c>
      <c r="E7" s="333" t="s">
        <v>14</v>
      </c>
      <c r="F7" s="333" t="s">
        <v>14</v>
      </c>
      <c r="G7" s="334" t="s">
        <v>15</v>
      </c>
      <c r="H7" s="333" t="s">
        <v>14</v>
      </c>
      <c r="I7" s="333" t="s">
        <v>14</v>
      </c>
      <c r="J7" s="332" t="s">
        <v>15</v>
      </c>
      <c r="K7" s="332"/>
    </row>
    <row r="8" spans="1:18" x14ac:dyDescent="0.2">
      <c r="A8" s="335">
        <v>5.2</v>
      </c>
      <c r="B8" s="336" t="s">
        <v>16</v>
      </c>
      <c r="C8" s="337" t="e">
        <f>+#REF!+#REF!+C9+C76</f>
        <v>#REF!</v>
      </c>
      <c r="D8" s="338"/>
      <c r="E8" s="339"/>
      <c r="F8" s="339"/>
      <c r="G8" s="340"/>
      <c r="H8" s="339"/>
      <c r="I8" s="339"/>
      <c r="J8" s="338"/>
      <c r="K8" s="338"/>
      <c r="L8" s="341"/>
      <c r="M8" s="341"/>
      <c r="N8" s="341"/>
      <c r="O8" s="341"/>
      <c r="P8" s="341"/>
      <c r="Q8" s="341"/>
      <c r="R8" s="328"/>
    </row>
    <row r="9" spans="1:18" ht="25.5" x14ac:dyDescent="0.2">
      <c r="A9" s="342" t="s">
        <v>259</v>
      </c>
      <c r="B9" s="343" t="s">
        <v>17</v>
      </c>
      <c r="C9" s="344">
        <f>C10+C20+C36+C49+C57</f>
        <v>13175364732</v>
      </c>
      <c r="D9" s="345"/>
      <c r="E9" s="346"/>
      <c r="F9" s="346"/>
      <c r="G9" s="347"/>
      <c r="H9" s="346"/>
      <c r="I9" s="346"/>
      <c r="J9" s="348"/>
      <c r="K9" s="349"/>
      <c r="L9" s="341"/>
      <c r="M9" s="341"/>
      <c r="N9" s="341"/>
      <c r="O9" s="341"/>
      <c r="P9" s="341"/>
      <c r="Q9" s="341"/>
      <c r="R9" s="328"/>
    </row>
    <row r="10" spans="1:18" x14ac:dyDescent="0.2">
      <c r="A10" s="342"/>
      <c r="B10" s="350" t="s">
        <v>260</v>
      </c>
      <c r="C10" s="344">
        <f>C11</f>
        <v>73320000</v>
      </c>
      <c r="D10" s="345"/>
      <c r="E10" s="346"/>
      <c r="F10" s="346"/>
      <c r="G10" s="347"/>
      <c r="H10" s="346"/>
      <c r="I10" s="346"/>
      <c r="J10" s="348"/>
      <c r="K10" s="349"/>
      <c r="L10" s="341"/>
      <c r="M10" s="341"/>
      <c r="N10" s="341"/>
      <c r="O10" s="341"/>
      <c r="P10" s="341"/>
      <c r="Q10" s="341"/>
      <c r="R10" s="328"/>
    </row>
    <row r="11" spans="1:18" ht="25.5" x14ac:dyDescent="0.2">
      <c r="A11" s="342"/>
      <c r="B11" s="351" t="s">
        <v>18</v>
      </c>
      <c r="C11" s="344">
        <f>C12+C13+C14+C15+C16+C17+C18+C19</f>
        <v>73320000</v>
      </c>
      <c r="D11" s="345"/>
      <c r="E11" s="346"/>
      <c r="F11" s="346"/>
      <c r="G11" s="347"/>
      <c r="H11" s="346"/>
      <c r="I11" s="346"/>
      <c r="J11" s="348"/>
      <c r="K11" s="349"/>
      <c r="L11" s="341"/>
      <c r="M11" s="341"/>
      <c r="N11" s="341"/>
      <c r="O11" s="341"/>
      <c r="P11" s="341"/>
      <c r="Q11" s="341"/>
      <c r="R11" s="328"/>
    </row>
    <row r="12" spans="1:18" x14ac:dyDescent="0.2">
      <c r="A12" s="342" t="s">
        <v>261</v>
      </c>
      <c r="B12" s="352" t="s">
        <v>19</v>
      </c>
      <c r="C12" s="353">
        <v>15240000</v>
      </c>
      <c r="D12" s="345">
        <f>C12/C11*100</f>
        <v>20.785597381342061</v>
      </c>
      <c r="E12" s="346">
        <f>G12/C12*100</f>
        <v>59.645669291338585</v>
      </c>
      <c r="F12" s="346">
        <f>(D12*E12)/100</f>
        <v>12.39770867430442</v>
      </c>
      <c r="G12" s="347">
        <f>3030000+1010000+3030000+2020000</f>
        <v>9090000</v>
      </c>
      <c r="H12" s="346">
        <f>+G12/C12*100</f>
        <v>59.645669291338585</v>
      </c>
      <c r="I12" s="346">
        <f>(D12*H12)/100</f>
        <v>12.39770867430442</v>
      </c>
      <c r="J12" s="348">
        <f>C12-G12</f>
        <v>6150000</v>
      </c>
      <c r="K12" s="349"/>
      <c r="L12" s="341"/>
      <c r="M12" s="341"/>
      <c r="N12" s="341"/>
      <c r="O12" s="341"/>
      <c r="P12" s="341"/>
      <c r="Q12" s="341"/>
      <c r="R12" s="328"/>
    </row>
    <row r="13" spans="1:18" x14ac:dyDescent="0.2">
      <c r="A13" s="342" t="s">
        <v>262</v>
      </c>
      <c r="B13" s="352" t="s">
        <v>263</v>
      </c>
      <c r="C13" s="353">
        <v>2880000</v>
      </c>
      <c r="D13" s="345">
        <f>C13/C11*100</f>
        <v>3.927986906710311</v>
      </c>
      <c r="E13" s="346">
        <f t="shared" ref="E13:E67" si="0">G13/C13*100</f>
        <v>100</v>
      </c>
      <c r="F13" s="346">
        <f t="shared" ref="F13:F65" si="1">(D13*E13)/100</f>
        <v>3.927986906710311</v>
      </c>
      <c r="G13" s="347">
        <f>2000000+880000</f>
        <v>2880000</v>
      </c>
      <c r="H13" s="346">
        <f t="shared" ref="H13:H65" si="2">+G13/C13*100</f>
        <v>100</v>
      </c>
      <c r="I13" s="346">
        <f t="shared" ref="I13:I67" si="3">(D13*H13)/100</f>
        <v>3.927986906710311</v>
      </c>
      <c r="J13" s="348">
        <f t="shared" ref="J13:J67" si="4">C13-G13</f>
        <v>0</v>
      </c>
      <c r="K13" s="349"/>
      <c r="L13" s="341"/>
      <c r="M13" s="341"/>
      <c r="N13" s="341"/>
      <c r="O13" s="341"/>
      <c r="P13" s="341"/>
      <c r="Q13" s="341"/>
      <c r="R13" s="328"/>
    </row>
    <row r="14" spans="1:18" x14ac:dyDescent="0.2">
      <c r="A14" s="342" t="s">
        <v>20</v>
      </c>
      <c r="B14" s="352" t="s">
        <v>21</v>
      </c>
      <c r="C14" s="353">
        <v>4701000</v>
      </c>
      <c r="D14" s="345">
        <f>C14/C11*100</f>
        <v>6.4116202945990182</v>
      </c>
      <c r="E14" s="346">
        <f t="shared" si="0"/>
        <v>100</v>
      </c>
      <c r="F14" s="346">
        <f t="shared" si="1"/>
        <v>6.4116202945990173</v>
      </c>
      <c r="G14" s="347">
        <f>3201000+1500000</f>
        <v>4701000</v>
      </c>
      <c r="H14" s="346">
        <f t="shared" si="2"/>
        <v>100</v>
      </c>
      <c r="I14" s="346">
        <f t="shared" si="3"/>
        <v>6.4116202945990173</v>
      </c>
      <c r="J14" s="348">
        <f t="shared" si="4"/>
        <v>0</v>
      </c>
      <c r="K14" s="349"/>
      <c r="L14" s="341"/>
      <c r="M14" s="341"/>
      <c r="N14" s="341"/>
      <c r="O14" s="341"/>
      <c r="P14" s="341"/>
      <c r="Q14" s="341"/>
      <c r="R14" s="328"/>
    </row>
    <row r="15" spans="1:18" x14ac:dyDescent="0.2">
      <c r="A15" s="342" t="s">
        <v>264</v>
      </c>
      <c r="B15" s="352" t="s">
        <v>22</v>
      </c>
      <c r="C15" s="353">
        <v>30499000</v>
      </c>
      <c r="D15" s="345">
        <f>C15/C10*100</f>
        <v>41.597108565193672</v>
      </c>
      <c r="E15" s="346">
        <f t="shared" si="0"/>
        <v>100</v>
      </c>
      <c r="F15" s="346">
        <f t="shared" si="1"/>
        <v>41.597108565193679</v>
      </c>
      <c r="G15" s="347">
        <f>3225000+2580000+19250000+5444000</f>
        <v>30499000</v>
      </c>
      <c r="H15" s="346">
        <f t="shared" si="2"/>
        <v>100</v>
      </c>
      <c r="I15" s="346">
        <f t="shared" si="3"/>
        <v>41.597108565193679</v>
      </c>
      <c r="J15" s="348">
        <f t="shared" si="4"/>
        <v>0</v>
      </c>
      <c r="K15" s="349"/>
      <c r="L15" s="341"/>
      <c r="M15" s="341"/>
      <c r="N15" s="341"/>
      <c r="O15" s="341"/>
      <c r="P15" s="341"/>
      <c r="Q15" s="341"/>
      <c r="R15" s="328"/>
    </row>
    <row r="16" spans="1:18" ht="25.5" x14ac:dyDescent="0.2">
      <c r="A16" s="342" t="s">
        <v>265</v>
      </c>
      <c r="B16" s="354" t="s">
        <v>266</v>
      </c>
      <c r="C16" s="353">
        <v>0</v>
      </c>
      <c r="D16" s="345">
        <f>C16/C11*100</f>
        <v>0</v>
      </c>
      <c r="E16" s="346" t="e">
        <f t="shared" si="0"/>
        <v>#DIV/0!</v>
      </c>
      <c r="F16" s="346" t="e">
        <f t="shared" si="1"/>
        <v>#DIV/0!</v>
      </c>
      <c r="G16" s="347">
        <v>0</v>
      </c>
      <c r="H16" s="346" t="e">
        <f t="shared" si="2"/>
        <v>#DIV/0!</v>
      </c>
      <c r="I16" s="346" t="e">
        <f t="shared" si="3"/>
        <v>#DIV/0!</v>
      </c>
      <c r="J16" s="348">
        <f t="shared" si="4"/>
        <v>0</v>
      </c>
      <c r="K16" s="349"/>
      <c r="L16" s="341"/>
      <c r="M16" s="341"/>
      <c r="N16" s="341"/>
      <c r="O16" s="341"/>
      <c r="P16" s="341"/>
      <c r="Q16" s="341"/>
      <c r="R16" s="328"/>
    </row>
    <row r="17" spans="1:18" x14ac:dyDescent="0.2">
      <c r="A17" s="342" t="s">
        <v>267</v>
      </c>
      <c r="B17" s="352" t="s">
        <v>23</v>
      </c>
      <c r="C17" s="353">
        <v>0</v>
      </c>
      <c r="D17" s="345">
        <f>C17/C11*100</f>
        <v>0</v>
      </c>
      <c r="E17" s="346" t="e">
        <f t="shared" si="0"/>
        <v>#DIV/0!</v>
      </c>
      <c r="F17" s="346" t="e">
        <f t="shared" si="1"/>
        <v>#DIV/0!</v>
      </c>
      <c r="G17" s="347">
        <v>0</v>
      </c>
      <c r="H17" s="346" t="e">
        <f t="shared" si="2"/>
        <v>#DIV/0!</v>
      </c>
      <c r="I17" s="346" t="e">
        <f t="shared" si="3"/>
        <v>#DIV/0!</v>
      </c>
      <c r="J17" s="348">
        <f t="shared" si="4"/>
        <v>0</v>
      </c>
      <c r="K17" s="349"/>
      <c r="L17" s="341"/>
      <c r="M17" s="341"/>
      <c r="N17" s="341"/>
      <c r="O17" s="341"/>
      <c r="P17" s="341"/>
      <c r="Q17" s="341"/>
      <c r="R17" s="328"/>
    </row>
    <row r="18" spans="1:18" x14ac:dyDescent="0.2">
      <c r="A18" s="342" t="s">
        <v>268</v>
      </c>
      <c r="B18" s="352" t="s">
        <v>269</v>
      </c>
      <c r="C18" s="353">
        <v>11000000</v>
      </c>
      <c r="D18" s="345">
        <f>C18/C11*100</f>
        <v>15.002727768685215</v>
      </c>
      <c r="E18" s="346">
        <f t="shared" si="0"/>
        <v>90.454545454545453</v>
      </c>
      <c r="F18" s="346">
        <f t="shared" si="1"/>
        <v>13.570649208947081</v>
      </c>
      <c r="G18" s="347">
        <v>9950000</v>
      </c>
      <c r="H18" s="346">
        <f t="shared" si="2"/>
        <v>90.454545454545453</v>
      </c>
      <c r="I18" s="346">
        <f t="shared" si="3"/>
        <v>13.570649208947081</v>
      </c>
      <c r="J18" s="348">
        <f t="shared" si="4"/>
        <v>1050000</v>
      </c>
      <c r="K18" s="349"/>
      <c r="L18" s="341"/>
      <c r="M18" s="341"/>
      <c r="N18" s="341"/>
      <c r="O18" s="341"/>
      <c r="P18" s="341"/>
      <c r="Q18" s="341"/>
      <c r="R18" s="328"/>
    </row>
    <row r="19" spans="1:18" x14ac:dyDescent="0.2">
      <c r="A19" s="342" t="s">
        <v>270</v>
      </c>
      <c r="B19" s="352" t="s">
        <v>271</v>
      </c>
      <c r="C19" s="353">
        <v>9000000</v>
      </c>
      <c r="D19" s="345">
        <f>C19/C11*100</f>
        <v>12.274959083469723</v>
      </c>
      <c r="E19" s="346">
        <f t="shared" si="0"/>
        <v>100</v>
      </c>
      <c r="F19" s="346">
        <f t="shared" si="1"/>
        <v>12.274959083469723</v>
      </c>
      <c r="G19" s="347">
        <v>9000000</v>
      </c>
      <c r="H19" s="346">
        <f t="shared" si="2"/>
        <v>100</v>
      </c>
      <c r="I19" s="346">
        <f t="shared" si="3"/>
        <v>12.274959083469723</v>
      </c>
      <c r="J19" s="348">
        <f t="shared" si="4"/>
        <v>0</v>
      </c>
      <c r="K19" s="349"/>
      <c r="L19" s="341"/>
      <c r="M19" s="341"/>
      <c r="N19" s="341"/>
      <c r="O19" s="341"/>
      <c r="P19" s="341"/>
      <c r="Q19" s="341"/>
      <c r="R19" s="328"/>
    </row>
    <row r="20" spans="1:18" x14ac:dyDescent="0.2">
      <c r="A20" s="355"/>
      <c r="B20" s="356" t="s">
        <v>24</v>
      </c>
      <c r="C20" s="357">
        <f>C21+C31</f>
        <v>12394545000</v>
      </c>
      <c r="D20" s="345"/>
      <c r="E20" s="346"/>
      <c r="F20" s="346"/>
      <c r="G20" s="358"/>
      <c r="H20" s="346"/>
      <c r="I20" s="346"/>
      <c r="J20" s="348"/>
      <c r="K20" s="349"/>
      <c r="L20" s="341"/>
      <c r="M20" s="341"/>
      <c r="N20" s="341"/>
      <c r="O20" s="341"/>
      <c r="P20" s="341"/>
      <c r="Q20" s="341"/>
      <c r="R20" s="328"/>
    </row>
    <row r="21" spans="1:18" x14ac:dyDescent="0.2">
      <c r="A21" s="355"/>
      <c r="B21" s="359" t="s">
        <v>25</v>
      </c>
      <c r="C21" s="357">
        <f>SUM(C22:C30)</f>
        <v>10746358000</v>
      </c>
      <c r="D21" s="345"/>
      <c r="E21" s="346"/>
      <c r="F21" s="346"/>
      <c r="G21" s="358"/>
      <c r="H21" s="346"/>
      <c r="I21" s="346"/>
      <c r="J21" s="348"/>
      <c r="K21" s="349"/>
      <c r="L21" s="341"/>
      <c r="M21" s="341"/>
      <c r="N21" s="341"/>
      <c r="O21" s="341"/>
      <c r="P21" s="341"/>
      <c r="Q21" s="341"/>
      <c r="R21" s="328"/>
    </row>
    <row r="22" spans="1:18" x14ac:dyDescent="0.2">
      <c r="A22" s="355" t="s">
        <v>26</v>
      </c>
      <c r="B22" s="360" t="s">
        <v>27</v>
      </c>
      <c r="C22" s="361">
        <v>4595171500</v>
      </c>
      <c r="D22" s="345">
        <f>C22/C21*100</f>
        <v>42.76026817643708</v>
      </c>
      <c r="E22" s="346">
        <f t="shared" si="0"/>
        <v>90.577888115818965</v>
      </c>
      <c r="F22" s="346">
        <f t="shared" si="1"/>
        <v>38.731347866877321</v>
      </c>
      <c r="G22" s="362">
        <f>325652200+326264600+325685100+322182800+5665600+308551600+322182800+319108200+319108200+319769300+319977300+315609400+4461800+309058300+4461800+310008500+4461800</f>
        <v>4162209300</v>
      </c>
      <c r="H22" s="346">
        <f t="shared" si="2"/>
        <v>90.577888115818965</v>
      </c>
      <c r="I22" s="346">
        <f t="shared" si="3"/>
        <v>38.731347866877321</v>
      </c>
      <c r="J22" s="348">
        <f t="shared" si="4"/>
        <v>432962200</v>
      </c>
      <c r="K22" s="349"/>
      <c r="L22" s="363">
        <v>4119433287</v>
      </c>
      <c r="M22" s="341">
        <v>3491442887</v>
      </c>
      <c r="N22" s="341">
        <f>G22-M22</f>
        <v>670766413</v>
      </c>
      <c r="O22" s="341">
        <v>9678676</v>
      </c>
      <c r="P22" s="341">
        <f>N22-O22</f>
        <v>661087737</v>
      </c>
      <c r="Q22" s="341"/>
      <c r="R22" s="328"/>
    </row>
    <row r="23" spans="1:18" ht="15" x14ac:dyDescent="0.25">
      <c r="A23" s="355" t="s">
        <v>28</v>
      </c>
      <c r="B23" s="360" t="s">
        <v>29</v>
      </c>
      <c r="C23" s="364">
        <v>443368614</v>
      </c>
      <c r="D23" s="345">
        <f t="shared" ref="D23:D29" si="5">C23/C22*100</f>
        <v>9.6485759889483997</v>
      </c>
      <c r="E23" s="346">
        <f t="shared" si="0"/>
        <v>89.304720608843098</v>
      </c>
      <c r="F23" s="346">
        <f t="shared" si="1"/>
        <v>8.6166338296622875</v>
      </c>
      <c r="G23" s="358">
        <f>31952146+31997956+31365290+30324642+690930+29719058+30324642+30300746+30300746+30350674+30097218+30097218+29161400+29266436</f>
        <v>395949102</v>
      </c>
      <c r="H23" s="346">
        <f t="shared" si="2"/>
        <v>89.304720608843098</v>
      </c>
      <c r="I23" s="346">
        <f t="shared" si="3"/>
        <v>8.6166338296622875</v>
      </c>
      <c r="J23" s="348">
        <f t="shared" si="4"/>
        <v>47419512</v>
      </c>
      <c r="K23" s="349"/>
      <c r="L23" s="365">
        <v>395319880.75999999</v>
      </c>
      <c r="M23" s="341"/>
      <c r="N23" s="341"/>
      <c r="O23" s="341"/>
      <c r="P23" s="341"/>
      <c r="Q23" s="341"/>
      <c r="R23" s="328"/>
    </row>
    <row r="24" spans="1:18" ht="15" x14ac:dyDescent="0.25">
      <c r="A24" s="355" t="s">
        <v>30</v>
      </c>
      <c r="B24" s="360" t="s">
        <v>31</v>
      </c>
      <c r="C24" s="364">
        <v>303620000</v>
      </c>
      <c r="D24" s="345">
        <f t="shared" si="5"/>
        <v>68.480264595364432</v>
      </c>
      <c r="E24" s="346">
        <f t="shared" si="0"/>
        <v>90.945919241156716</v>
      </c>
      <c r="F24" s="346">
        <f t="shared" si="1"/>
        <v>62.280006135030568</v>
      </c>
      <c r="G24" s="358">
        <f>21460000+21460000+21460000+20970000+19940000+20970000+21410000+21410000+21410000+21410000+20920000+490000+20920000+490000+20920000+490000</f>
        <v>276130000</v>
      </c>
      <c r="H24" s="346">
        <f t="shared" si="2"/>
        <v>90.945919241156716</v>
      </c>
      <c r="I24" s="346">
        <f t="shared" si="3"/>
        <v>62.280006135030568</v>
      </c>
      <c r="J24" s="348">
        <f t="shared" si="4"/>
        <v>27490000</v>
      </c>
      <c r="K24" s="349"/>
      <c r="L24" s="341"/>
      <c r="M24" s="341"/>
      <c r="N24" s="363">
        <v>42162712</v>
      </c>
      <c r="O24" s="341" t="s">
        <v>272</v>
      </c>
      <c r="P24" s="341"/>
      <c r="Q24" s="341"/>
      <c r="R24" s="328"/>
    </row>
    <row r="25" spans="1:18" ht="15" x14ac:dyDescent="0.25">
      <c r="A25" s="355" t="s">
        <v>32</v>
      </c>
      <c r="B25" s="360" t="s">
        <v>33</v>
      </c>
      <c r="C25" s="366">
        <v>17640000</v>
      </c>
      <c r="D25" s="345">
        <f t="shared" si="5"/>
        <v>5.8098939463803436</v>
      </c>
      <c r="E25" s="346">
        <f t="shared" si="0"/>
        <v>92.857142857142861</v>
      </c>
      <c r="F25" s="346">
        <f t="shared" si="1"/>
        <v>5.3949015216388911</v>
      </c>
      <c r="G25" s="358">
        <f>1260000+1260000+1260000+1260000+1260000+1260000+1260000+1260000+1260000+1260000+1260000+1260000+1260000</f>
        <v>16380000</v>
      </c>
      <c r="H25" s="346">
        <f t="shared" si="2"/>
        <v>92.857142857142861</v>
      </c>
      <c r="I25" s="346">
        <f t="shared" si="3"/>
        <v>5.3949015216388911</v>
      </c>
      <c r="J25" s="348">
        <f t="shared" si="4"/>
        <v>1260000</v>
      </c>
      <c r="K25" s="349"/>
      <c r="L25" s="341"/>
      <c r="M25" s="341"/>
      <c r="N25" s="341">
        <f>N24-N22</f>
        <v>-628603701</v>
      </c>
      <c r="O25" s="341"/>
      <c r="P25" s="341"/>
      <c r="Q25" s="341"/>
      <c r="R25" s="328"/>
    </row>
    <row r="26" spans="1:18" ht="15" x14ac:dyDescent="0.25">
      <c r="A26" s="355" t="s">
        <v>34</v>
      </c>
      <c r="B26" s="360" t="s">
        <v>35</v>
      </c>
      <c r="C26" s="366">
        <v>126935000</v>
      </c>
      <c r="D26" s="345">
        <f t="shared" si="5"/>
        <v>719.5861678004535</v>
      </c>
      <c r="E26" s="346">
        <f t="shared" si="0"/>
        <v>89.939732934178906</v>
      </c>
      <c r="F26" s="346">
        <f t="shared" si="1"/>
        <v>647.19387755102036</v>
      </c>
      <c r="G26" s="358">
        <f>9105000+9105000+8925000+8925000+8740000+8925000+8740000+8740000+8740000+8740000+8740000+8370000+8370000</f>
        <v>114165000</v>
      </c>
      <c r="H26" s="346">
        <f t="shared" si="2"/>
        <v>89.939732934178906</v>
      </c>
      <c r="I26" s="346">
        <f t="shared" si="3"/>
        <v>647.19387755102036</v>
      </c>
      <c r="J26" s="348">
        <f t="shared" si="4"/>
        <v>12770000</v>
      </c>
      <c r="K26" s="349"/>
      <c r="L26" s="341"/>
      <c r="M26" s="341"/>
      <c r="N26" s="341"/>
      <c r="O26" s="341"/>
      <c r="P26" s="341"/>
      <c r="Q26" s="341"/>
      <c r="R26" s="328"/>
    </row>
    <row r="27" spans="1:18" ht="15" x14ac:dyDescent="0.25">
      <c r="A27" s="355" t="s">
        <v>36</v>
      </c>
      <c r="B27" s="360" t="s">
        <v>37</v>
      </c>
      <c r="C27" s="364">
        <v>283958900</v>
      </c>
      <c r="D27" s="345">
        <f t="shared" si="5"/>
        <v>223.70417930436838</v>
      </c>
      <c r="E27" s="346">
        <f t="shared" si="0"/>
        <v>89.619969650537456</v>
      </c>
      <c r="F27" s="346">
        <f t="shared" si="1"/>
        <v>200.48361759955881</v>
      </c>
      <c r="G27" s="358">
        <f>20422440+20422440+19987920+19553400+19118880+19553400+19553400+19553400+19553400+19480980+19408560+72420+18829200+72420+18829200+72420</f>
        <v>254483880</v>
      </c>
      <c r="H27" s="346">
        <f t="shared" si="2"/>
        <v>89.619969650537456</v>
      </c>
      <c r="I27" s="346">
        <f t="shared" si="3"/>
        <v>200.48361759955881</v>
      </c>
      <c r="J27" s="348">
        <f t="shared" si="4"/>
        <v>29475020</v>
      </c>
      <c r="K27" s="349"/>
      <c r="L27" s="363">
        <v>253832100</v>
      </c>
      <c r="M27" s="341"/>
      <c r="N27" s="341"/>
      <c r="O27" s="341"/>
      <c r="P27" s="341"/>
      <c r="Q27" s="341"/>
      <c r="R27" s="328"/>
    </row>
    <row r="28" spans="1:18" ht="15" x14ac:dyDescent="0.25">
      <c r="A28" s="355" t="s">
        <v>38</v>
      </c>
      <c r="B28" s="360" t="s">
        <v>39</v>
      </c>
      <c r="C28" s="364">
        <v>7067707</v>
      </c>
      <c r="D28" s="345">
        <f t="shared" si="5"/>
        <v>2.4889894276953459</v>
      </c>
      <c r="E28" s="346">
        <f t="shared" si="0"/>
        <v>99.208526895639565</v>
      </c>
      <c r="F28" s="346">
        <f t="shared" si="1"/>
        <v>2.4692897458047627</v>
      </c>
      <c r="G28" s="358">
        <f>67333+70387+83663+80296+69058+3457950+69058+2767400+69058+69058+66004+3054+66004+3054+67337+3054</f>
        <v>7011768</v>
      </c>
      <c r="H28" s="346">
        <f t="shared" si="2"/>
        <v>99.208526895639565</v>
      </c>
      <c r="I28" s="346">
        <f t="shared" si="3"/>
        <v>2.4692897458047627</v>
      </c>
      <c r="J28" s="348">
        <f t="shared" si="4"/>
        <v>55939</v>
      </c>
      <c r="K28" s="349"/>
      <c r="L28" s="341"/>
      <c r="M28" s="341"/>
      <c r="N28" s="341"/>
      <c r="O28" s="341"/>
      <c r="P28" s="341"/>
      <c r="Q28" s="341"/>
      <c r="R28" s="328"/>
    </row>
    <row r="29" spans="1:18" ht="15" x14ac:dyDescent="0.25">
      <c r="A29" s="355" t="s">
        <v>40</v>
      </c>
      <c r="B29" s="360" t="s">
        <v>41</v>
      </c>
      <c r="C29" s="364">
        <v>59616</v>
      </c>
      <c r="D29" s="345">
        <f t="shared" si="5"/>
        <v>0.84349846421194319</v>
      </c>
      <c r="E29" s="346">
        <f t="shared" si="0"/>
        <v>91.836084272678477</v>
      </c>
      <c r="F29" s="346">
        <f t="shared" si="1"/>
        <v>0.77463596043242888</v>
      </c>
      <c r="G29" s="358">
        <f>3913+3941+4182+3983+787+3826+5158+3965+5254+3928+3912+3821+98+3775+98+4010+98</f>
        <v>54749</v>
      </c>
      <c r="H29" s="346">
        <f t="shared" si="2"/>
        <v>91.836084272678477</v>
      </c>
      <c r="I29" s="346">
        <f t="shared" si="3"/>
        <v>0.77463596043242888</v>
      </c>
      <c r="J29" s="348">
        <f t="shared" si="4"/>
        <v>4867</v>
      </c>
      <c r="K29" s="349"/>
      <c r="L29" s="341"/>
      <c r="M29" s="341"/>
      <c r="N29" s="341"/>
      <c r="O29" s="341"/>
      <c r="P29" s="341"/>
      <c r="Q29" s="341"/>
      <c r="R29" s="328"/>
    </row>
    <row r="30" spans="1:18" ht="15" x14ac:dyDescent="0.25">
      <c r="A30" s="355" t="s">
        <v>273</v>
      </c>
      <c r="B30" s="360" t="s">
        <v>42</v>
      </c>
      <c r="C30" s="364">
        <v>4968536663</v>
      </c>
      <c r="D30" s="345">
        <f>C30/C21*100</f>
        <v>46.234609557954428</v>
      </c>
      <c r="E30" s="346">
        <f t="shared" si="0"/>
        <v>81.757662155345159</v>
      </c>
      <c r="F30" s="346">
        <f>(D30*E30)/100</f>
        <v>37.800335881235306</v>
      </c>
      <c r="G30" s="358">
        <f>417268332+417268332+410506538+14250000+404127316+408841194+404577332+402992966+394656942+393647074+394023393</f>
        <v>4062159419</v>
      </c>
      <c r="H30" s="346">
        <f t="shared" si="2"/>
        <v>81.757662155345159</v>
      </c>
      <c r="I30" s="346">
        <f>(D30*H30)/100</f>
        <v>37.800335881235306</v>
      </c>
      <c r="J30" s="348">
        <f t="shared" si="4"/>
        <v>906377244</v>
      </c>
      <c r="K30" s="349"/>
      <c r="L30" s="341"/>
      <c r="M30" s="341"/>
      <c r="N30" s="341"/>
      <c r="O30" s="341"/>
      <c r="P30" s="341"/>
      <c r="Q30" s="341"/>
      <c r="R30" s="328"/>
    </row>
    <row r="31" spans="1:18" x14ac:dyDescent="0.2">
      <c r="A31" s="355"/>
      <c r="B31" s="367" t="s">
        <v>43</v>
      </c>
      <c r="C31" s="357">
        <f>C32+C33+C35</f>
        <v>1648187000</v>
      </c>
      <c r="D31" s="345"/>
      <c r="E31" s="346"/>
      <c r="F31" s="346"/>
      <c r="G31" s="358"/>
      <c r="H31" s="346"/>
      <c r="I31" s="346"/>
      <c r="J31" s="348"/>
      <c r="K31" s="349"/>
      <c r="L31" s="341"/>
      <c r="M31" s="341"/>
      <c r="N31" s="341"/>
      <c r="O31" s="341"/>
      <c r="P31" s="341"/>
      <c r="Q31" s="341"/>
      <c r="R31" s="328"/>
    </row>
    <row r="32" spans="1:18" x14ac:dyDescent="0.2">
      <c r="A32" s="355" t="s">
        <v>44</v>
      </c>
      <c r="B32" s="352" t="s">
        <v>45</v>
      </c>
      <c r="C32" s="368">
        <v>149040000</v>
      </c>
      <c r="D32" s="345">
        <f>C32/C31*100</f>
        <v>9.0426632414889809</v>
      </c>
      <c r="E32" s="346">
        <f t="shared" si="0"/>
        <v>79.133118625872243</v>
      </c>
      <c r="F32" s="346">
        <f t="shared" si="1"/>
        <v>7.1557414298256194</v>
      </c>
      <c r="G32" s="358">
        <f>9480000+17000000+17400000+3160000+3750000+13050000+5730000+12750000+1250000+1250000+12520000+1250000+12750000+6600000</f>
        <v>117940000</v>
      </c>
      <c r="H32" s="346">
        <f t="shared" si="2"/>
        <v>79.133118625872243</v>
      </c>
      <c r="I32" s="346">
        <f t="shared" si="3"/>
        <v>7.1557414298256194</v>
      </c>
      <c r="J32" s="348">
        <f t="shared" si="4"/>
        <v>31100000</v>
      </c>
      <c r="K32" s="349"/>
      <c r="L32" s="341"/>
      <c r="M32" s="341"/>
      <c r="N32" s="341"/>
      <c r="O32" s="341"/>
      <c r="P32" s="341"/>
      <c r="Q32" s="341"/>
      <c r="R32" s="328"/>
    </row>
    <row r="33" spans="1:18" x14ac:dyDescent="0.2">
      <c r="A33" s="355" t="s">
        <v>46</v>
      </c>
      <c r="B33" s="352" t="s">
        <v>47</v>
      </c>
      <c r="C33" s="368">
        <v>1380500000</v>
      </c>
      <c r="D33" s="345">
        <f t="shared" ref="D33:D34" si="6">C33/C32*100</f>
        <v>926.26140633387001</v>
      </c>
      <c r="E33" s="369">
        <f t="shared" si="0"/>
        <v>89.188699746468671</v>
      </c>
      <c r="F33" s="346">
        <f t="shared" si="1"/>
        <v>826.12050456253348</v>
      </c>
      <c r="G33" s="370">
        <f>18200000+2400000+68475000+18200000+68475000+2400000+18200000+68475000+68475000+18200000+5500000+45000000+20950000+68475000+68475000+20950000+68475000+20950000+68475000+20950000+9100000+2300000+68475000+136950000+124250000+130475000</f>
        <v>1231250000</v>
      </c>
      <c r="H33" s="346">
        <f t="shared" si="2"/>
        <v>89.188699746468671</v>
      </c>
      <c r="I33" s="346">
        <f t="shared" si="3"/>
        <v>826.12050456253348</v>
      </c>
      <c r="J33" s="348">
        <f t="shared" si="4"/>
        <v>149250000</v>
      </c>
      <c r="K33" s="349"/>
      <c r="L33" s="341"/>
      <c r="M33" s="341"/>
      <c r="N33" s="341"/>
      <c r="O33" s="341"/>
      <c r="P33" s="341"/>
      <c r="Q33" s="341"/>
      <c r="R33" s="328"/>
    </row>
    <row r="34" spans="1:18" x14ac:dyDescent="0.2">
      <c r="A34" s="355" t="s">
        <v>48</v>
      </c>
      <c r="B34" s="352" t="s">
        <v>49</v>
      </c>
      <c r="C34" s="368">
        <v>307200000</v>
      </c>
      <c r="D34" s="345">
        <f t="shared" si="6"/>
        <v>22.252806954002175</v>
      </c>
      <c r="E34" s="369">
        <f t="shared" si="0"/>
        <v>0</v>
      </c>
      <c r="F34" s="346">
        <f t="shared" si="1"/>
        <v>0</v>
      </c>
      <c r="G34" s="370"/>
      <c r="H34" s="346">
        <f t="shared" si="2"/>
        <v>0</v>
      </c>
      <c r="I34" s="346">
        <f t="shared" si="3"/>
        <v>0</v>
      </c>
      <c r="J34" s="348">
        <f t="shared" si="4"/>
        <v>307200000</v>
      </c>
      <c r="K34" s="349"/>
      <c r="L34" s="341"/>
      <c r="M34" s="341"/>
      <c r="N34" s="341"/>
      <c r="O34" s="341"/>
      <c r="P34" s="341"/>
      <c r="Q34" s="341"/>
      <c r="R34" s="328"/>
    </row>
    <row r="35" spans="1:18" x14ac:dyDescent="0.2">
      <c r="A35" s="355" t="s">
        <v>50</v>
      </c>
      <c r="B35" s="352" t="s">
        <v>51</v>
      </c>
      <c r="C35" s="368">
        <v>118647000</v>
      </c>
      <c r="D35" s="345"/>
      <c r="E35" s="369"/>
      <c r="F35" s="346"/>
      <c r="G35" s="370">
        <f>25208471+7636158+22096467+16494432</f>
        <v>71435528</v>
      </c>
      <c r="H35" s="346"/>
      <c r="I35" s="346"/>
      <c r="J35" s="348"/>
      <c r="K35" s="349"/>
      <c r="L35" s="341"/>
      <c r="M35" s="341"/>
      <c r="N35" s="341"/>
      <c r="O35" s="341"/>
      <c r="P35" s="341"/>
      <c r="Q35" s="341"/>
      <c r="R35" s="328"/>
    </row>
    <row r="36" spans="1:18" x14ac:dyDescent="0.2">
      <c r="A36" s="355"/>
      <c r="B36" s="356" t="s">
        <v>52</v>
      </c>
      <c r="C36" s="357">
        <f>C37+C39+C42+C44+C46</f>
        <v>147257750</v>
      </c>
      <c r="D36" s="345">
        <f>C36/C35*100</f>
        <v>124.11417903528957</v>
      </c>
      <c r="E36" s="369">
        <f t="shared" si="0"/>
        <v>0</v>
      </c>
      <c r="F36" s="346">
        <f t="shared" si="1"/>
        <v>0</v>
      </c>
      <c r="G36" s="358"/>
      <c r="H36" s="346">
        <f t="shared" si="2"/>
        <v>0</v>
      </c>
      <c r="I36" s="346">
        <f t="shared" si="3"/>
        <v>0</v>
      </c>
      <c r="J36" s="348">
        <f t="shared" si="4"/>
        <v>147257750</v>
      </c>
      <c r="K36" s="349"/>
      <c r="L36" s="341"/>
      <c r="M36" s="341"/>
      <c r="N36" s="341"/>
      <c r="O36" s="341"/>
      <c r="P36" s="341"/>
      <c r="Q36" s="341"/>
      <c r="R36" s="328"/>
    </row>
    <row r="37" spans="1:18" ht="25.5" x14ac:dyDescent="0.2">
      <c r="A37" s="355"/>
      <c r="B37" s="351" t="s">
        <v>53</v>
      </c>
      <c r="C37" s="357">
        <f>C38</f>
        <v>13479250</v>
      </c>
      <c r="D37" s="345">
        <f>C37/C36*100</f>
        <v>9.1535080496612231</v>
      </c>
      <c r="E37" s="369">
        <f t="shared" si="0"/>
        <v>0</v>
      </c>
      <c r="F37" s="346">
        <f t="shared" si="1"/>
        <v>0</v>
      </c>
      <c r="G37" s="358"/>
      <c r="H37" s="346">
        <f t="shared" si="2"/>
        <v>0</v>
      </c>
      <c r="I37" s="346">
        <f t="shared" si="3"/>
        <v>0</v>
      </c>
      <c r="J37" s="348">
        <f t="shared" si="4"/>
        <v>13479250</v>
      </c>
      <c r="K37" s="349"/>
      <c r="L37" s="341"/>
      <c r="M37" s="341"/>
      <c r="N37" s="341"/>
      <c r="O37" s="341"/>
      <c r="P37" s="341"/>
      <c r="Q37" s="341"/>
      <c r="R37" s="328"/>
    </row>
    <row r="38" spans="1:18" x14ac:dyDescent="0.2">
      <c r="A38" s="355" t="s">
        <v>54</v>
      </c>
      <c r="B38" s="352" t="s">
        <v>55</v>
      </c>
      <c r="C38" s="368">
        <v>13479250</v>
      </c>
      <c r="D38" s="345"/>
      <c r="E38" s="369"/>
      <c r="F38" s="346"/>
      <c r="G38" s="358">
        <f>6479000+4700000</f>
        <v>11179000</v>
      </c>
      <c r="H38" s="346"/>
      <c r="I38" s="346"/>
      <c r="J38" s="348"/>
      <c r="K38" s="349"/>
      <c r="L38" s="341"/>
      <c r="M38" s="341"/>
      <c r="N38" s="341"/>
      <c r="O38" s="341"/>
      <c r="P38" s="341"/>
      <c r="Q38" s="341"/>
      <c r="R38" s="328"/>
    </row>
    <row r="39" spans="1:18" x14ac:dyDescent="0.2">
      <c r="A39" s="355"/>
      <c r="B39" s="367" t="s">
        <v>56</v>
      </c>
      <c r="C39" s="357">
        <f>C40+C41</f>
        <v>29700000</v>
      </c>
      <c r="D39" s="345">
        <f>C39/C38*100</f>
        <v>220.33866869447482</v>
      </c>
      <c r="E39" s="369">
        <f t="shared" si="0"/>
        <v>0</v>
      </c>
      <c r="F39" s="346">
        <f t="shared" si="1"/>
        <v>0</v>
      </c>
      <c r="G39" s="358"/>
      <c r="H39" s="346">
        <f t="shared" si="2"/>
        <v>0</v>
      </c>
      <c r="I39" s="346">
        <f t="shared" si="3"/>
        <v>0</v>
      </c>
      <c r="J39" s="348">
        <f>C39-G39</f>
        <v>29700000</v>
      </c>
      <c r="K39" s="349"/>
      <c r="L39" s="341"/>
      <c r="M39" s="341"/>
      <c r="N39" s="341"/>
      <c r="O39" s="341"/>
      <c r="P39" s="341"/>
      <c r="Q39" s="341"/>
      <c r="R39" s="328"/>
    </row>
    <row r="40" spans="1:18" x14ac:dyDescent="0.2">
      <c r="A40" s="355" t="s">
        <v>57</v>
      </c>
      <c r="B40" s="352" t="s">
        <v>274</v>
      </c>
      <c r="C40" s="368">
        <v>7700000</v>
      </c>
      <c r="D40" s="345">
        <f>C40/C39*100</f>
        <v>25.925925925925924</v>
      </c>
      <c r="E40" s="369">
        <f t="shared" si="0"/>
        <v>100</v>
      </c>
      <c r="F40" s="346">
        <f t="shared" si="1"/>
        <v>25.92592592592592</v>
      </c>
      <c r="G40" s="358">
        <v>7700000</v>
      </c>
      <c r="H40" s="346">
        <f t="shared" si="2"/>
        <v>100</v>
      </c>
      <c r="I40" s="346">
        <f t="shared" si="3"/>
        <v>25.92592592592592</v>
      </c>
      <c r="J40" s="348">
        <f t="shared" si="4"/>
        <v>0</v>
      </c>
      <c r="K40" s="349"/>
      <c r="L40" s="341"/>
      <c r="M40" s="341"/>
      <c r="N40" s="341"/>
      <c r="O40" s="341"/>
      <c r="P40" s="341"/>
      <c r="Q40" s="341"/>
      <c r="R40" s="328"/>
    </row>
    <row r="41" spans="1:18" x14ac:dyDescent="0.2">
      <c r="A41" s="355" t="s">
        <v>275</v>
      </c>
      <c r="B41" s="352" t="s">
        <v>271</v>
      </c>
      <c r="C41" s="368">
        <v>22000000</v>
      </c>
      <c r="D41" s="345"/>
      <c r="E41" s="369"/>
      <c r="F41" s="346"/>
      <c r="G41" s="358">
        <v>22000000</v>
      </c>
      <c r="H41" s="346"/>
      <c r="I41" s="346"/>
      <c r="J41" s="348"/>
      <c r="K41" s="349"/>
      <c r="L41" s="341"/>
      <c r="M41" s="341"/>
      <c r="N41" s="341"/>
      <c r="O41" s="341"/>
      <c r="P41" s="341"/>
      <c r="Q41" s="341"/>
      <c r="R41" s="328"/>
    </row>
    <row r="42" spans="1:18" x14ac:dyDescent="0.2">
      <c r="A42" s="355"/>
      <c r="B42" s="367" t="s">
        <v>58</v>
      </c>
      <c r="C42" s="357">
        <f>C43</f>
        <v>9982500</v>
      </c>
      <c r="D42" s="345">
        <f>C42/C41*100</f>
        <v>45.375</v>
      </c>
      <c r="E42" s="369">
        <f t="shared" si="0"/>
        <v>0</v>
      </c>
      <c r="F42" s="346">
        <f t="shared" si="1"/>
        <v>0</v>
      </c>
      <c r="G42" s="358"/>
      <c r="H42" s="346">
        <f t="shared" si="2"/>
        <v>0</v>
      </c>
      <c r="I42" s="346">
        <f t="shared" si="3"/>
        <v>0</v>
      </c>
      <c r="J42" s="348">
        <f t="shared" si="4"/>
        <v>9982500</v>
      </c>
      <c r="K42" s="349"/>
      <c r="L42" s="341"/>
      <c r="M42" s="341"/>
      <c r="N42" s="341"/>
      <c r="O42" s="341"/>
      <c r="P42" s="341"/>
      <c r="Q42" s="341"/>
      <c r="R42" s="328"/>
    </row>
    <row r="43" spans="1:18" x14ac:dyDescent="0.2">
      <c r="A43" s="355" t="s">
        <v>59</v>
      </c>
      <c r="B43" s="352" t="s">
        <v>60</v>
      </c>
      <c r="C43" s="368">
        <v>9982500</v>
      </c>
      <c r="D43" s="345"/>
      <c r="E43" s="369"/>
      <c r="F43" s="346"/>
      <c r="G43" s="358">
        <f>5972500</f>
        <v>5972500</v>
      </c>
      <c r="H43" s="346"/>
      <c r="I43" s="346"/>
      <c r="J43" s="348"/>
      <c r="K43" s="349"/>
      <c r="L43" s="341"/>
      <c r="M43" s="341"/>
      <c r="N43" s="341"/>
      <c r="O43" s="341"/>
      <c r="P43" s="341"/>
      <c r="Q43" s="341"/>
      <c r="R43" s="328"/>
    </row>
    <row r="44" spans="1:18" x14ac:dyDescent="0.2">
      <c r="A44" s="355"/>
      <c r="B44" s="367" t="s">
        <v>61</v>
      </c>
      <c r="C44" s="357">
        <f>C45</f>
        <v>44700000</v>
      </c>
      <c r="D44" s="345">
        <f>C44/C43*100</f>
        <v>447.78362133734032</v>
      </c>
      <c r="E44" s="369">
        <f t="shared" si="0"/>
        <v>0</v>
      </c>
      <c r="F44" s="346">
        <f t="shared" si="1"/>
        <v>0</v>
      </c>
      <c r="G44" s="358"/>
      <c r="H44" s="346">
        <f t="shared" si="2"/>
        <v>0</v>
      </c>
      <c r="I44" s="346">
        <f t="shared" si="3"/>
        <v>0</v>
      </c>
      <c r="J44" s="348">
        <f t="shared" si="4"/>
        <v>44700000</v>
      </c>
      <c r="K44" s="349"/>
      <c r="L44" s="341"/>
      <c r="M44" s="341"/>
      <c r="N44" s="341"/>
      <c r="O44" s="341"/>
      <c r="P44" s="341"/>
      <c r="Q44" s="341"/>
      <c r="R44" s="328"/>
    </row>
    <row r="45" spans="1:18" x14ac:dyDescent="0.2">
      <c r="A45" s="342" t="s">
        <v>62</v>
      </c>
      <c r="B45" s="352" t="s">
        <v>63</v>
      </c>
      <c r="C45" s="368">
        <v>44700000</v>
      </c>
      <c r="D45" s="345"/>
      <c r="E45" s="369"/>
      <c r="F45" s="346"/>
      <c r="G45" s="358">
        <f>6675000+3087000+4885000+7990000+7910100</f>
        <v>30547100</v>
      </c>
      <c r="H45" s="346"/>
      <c r="I45" s="346"/>
      <c r="J45" s="348"/>
      <c r="K45" s="349"/>
      <c r="L45" s="341"/>
      <c r="M45" s="341"/>
      <c r="N45" s="341"/>
      <c r="O45" s="341"/>
      <c r="P45" s="341"/>
      <c r="Q45" s="341"/>
      <c r="R45" s="328"/>
    </row>
    <row r="46" spans="1:18" x14ac:dyDescent="0.2">
      <c r="A46" s="355"/>
      <c r="B46" s="367" t="s">
        <v>64</v>
      </c>
      <c r="C46" s="357">
        <f>C47+C48</f>
        <v>49396000</v>
      </c>
      <c r="D46" s="345">
        <f>C46/C45*100</f>
        <v>110.50559284116331</v>
      </c>
      <c r="E46" s="369">
        <f t="shared" si="0"/>
        <v>0</v>
      </c>
      <c r="F46" s="346">
        <f t="shared" si="1"/>
        <v>0</v>
      </c>
      <c r="G46" s="358"/>
      <c r="H46" s="346">
        <f t="shared" si="2"/>
        <v>0</v>
      </c>
      <c r="I46" s="346">
        <f t="shared" si="3"/>
        <v>0</v>
      </c>
      <c r="J46" s="348">
        <f t="shared" si="4"/>
        <v>49396000</v>
      </c>
      <c r="K46" s="349"/>
      <c r="L46" s="341"/>
      <c r="M46" s="341"/>
      <c r="N46" s="341"/>
      <c r="O46" s="341"/>
      <c r="P46" s="341"/>
      <c r="Q46" s="341"/>
      <c r="R46" s="328"/>
    </row>
    <row r="47" spans="1:18" x14ac:dyDescent="0.2">
      <c r="A47" s="355" t="s">
        <v>65</v>
      </c>
      <c r="B47" s="352" t="s">
        <v>23</v>
      </c>
      <c r="C47" s="368">
        <v>48996000</v>
      </c>
      <c r="D47" s="345">
        <f>C47/C46*100</f>
        <v>99.190217831403345</v>
      </c>
      <c r="E47" s="369">
        <f t="shared" si="0"/>
        <v>22.755735162054044</v>
      </c>
      <c r="F47" s="346">
        <f t="shared" si="1"/>
        <v>22.571463276378651</v>
      </c>
      <c r="G47" s="358">
        <f>5884000+5265400</f>
        <v>11149400</v>
      </c>
      <c r="H47" s="346">
        <f>+G47/C47*100</f>
        <v>22.755735162054044</v>
      </c>
      <c r="I47" s="346">
        <f t="shared" si="3"/>
        <v>22.571463276378651</v>
      </c>
      <c r="J47" s="348">
        <f t="shared" si="4"/>
        <v>37846600</v>
      </c>
      <c r="K47" s="349"/>
      <c r="L47" s="341"/>
      <c r="M47" s="341"/>
      <c r="N47" s="341"/>
      <c r="O47" s="341"/>
      <c r="P47" s="341"/>
      <c r="Q47" s="341"/>
      <c r="R47" s="328"/>
    </row>
    <row r="48" spans="1:18" x14ac:dyDescent="0.2">
      <c r="A48" s="355" t="s">
        <v>66</v>
      </c>
      <c r="B48" s="352" t="s">
        <v>67</v>
      </c>
      <c r="C48" s="368">
        <v>400000</v>
      </c>
      <c r="D48" s="345"/>
      <c r="E48" s="369"/>
      <c r="F48" s="346"/>
      <c r="G48" s="358">
        <v>0</v>
      </c>
      <c r="H48" s="346"/>
      <c r="I48" s="346"/>
      <c r="J48" s="348"/>
      <c r="K48" s="349"/>
      <c r="L48" s="341"/>
      <c r="M48" s="341"/>
      <c r="N48" s="341"/>
      <c r="O48" s="341"/>
      <c r="P48" s="341"/>
      <c r="Q48" s="341"/>
      <c r="R48" s="328"/>
    </row>
    <row r="49" spans="1:18" x14ac:dyDescent="0.2">
      <c r="A49" s="355"/>
      <c r="B49" s="371" t="s">
        <v>68</v>
      </c>
      <c r="C49" s="357">
        <f>C50+C54</f>
        <v>360479000</v>
      </c>
      <c r="D49" s="345"/>
      <c r="E49" s="369"/>
      <c r="F49" s="346"/>
      <c r="G49" s="358"/>
      <c r="H49" s="346"/>
      <c r="I49" s="346"/>
      <c r="J49" s="348"/>
      <c r="K49" s="349"/>
      <c r="L49" s="341"/>
      <c r="M49" s="341"/>
      <c r="N49" s="341"/>
      <c r="O49" s="341"/>
      <c r="P49" s="341"/>
      <c r="Q49" s="341"/>
      <c r="R49" s="328"/>
    </row>
    <row r="50" spans="1:18" x14ac:dyDescent="0.2">
      <c r="A50" s="355"/>
      <c r="B50" s="367" t="s">
        <v>69</v>
      </c>
      <c r="C50" s="357">
        <f>C51+C52+C53</f>
        <v>227400000</v>
      </c>
      <c r="D50" s="345">
        <f>C50/C49*100</f>
        <v>63.08273158769304</v>
      </c>
      <c r="E50" s="369">
        <f t="shared" si="0"/>
        <v>0</v>
      </c>
      <c r="F50" s="346">
        <f t="shared" si="1"/>
        <v>0</v>
      </c>
      <c r="G50" s="358"/>
      <c r="H50" s="346">
        <f t="shared" si="2"/>
        <v>0</v>
      </c>
      <c r="I50" s="346">
        <f t="shared" si="3"/>
        <v>0</v>
      </c>
      <c r="J50" s="348">
        <f t="shared" si="4"/>
        <v>227400000</v>
      </c>
      <c r="K50" s="349"/>
      <c r="L50" s="341"/>
      <c r="M50" s="341"/>
      <c r="N50" s="341"/>
      <c r="O50" s="341"/>
      <c r="P50" s="341"/>
      <c r="Q50" s="341"/>
      <c r="R50" s="328"/>
    </row>
    <row r="51" spans="1:18" x14ac:dyDescent="0.2">
      <c r="A51" s="355" t="s">
        <v>70</v>
      </c>
      <c r="B51" s="352" t="s">
        <v>71</v>
      </c>
      <c r="C51" s="368">
        <v>54000000</v>
      </c>
      <c r="D51" s="345">
        <f>C51/C49*100</f>
        <v>14.980068187051119</v>
      </c>
      <c r="E51" s="369">
        <f t="shared" si="0"/>
        <v>78.477722222222226</v>
      </c>
      <c r="F51" s="346">
        <f t="shared" si="1"/>
        <v>11.756016300533458</v>
      </c>
      <c r="G51" s="358">
        <f>3848229+3837002+3837971+3837262+3852900+3843336+3884359+3857417+3836547+3872901+3870046</f>
        <v>42377970</v>
      </c>
      <c r="H51" s="346">
        <f t="shared" si="2"/>
        <v>78.477722222222226</v>
      </c>
      <c r="I51" s="346">
        <f t="shared" si="3"/>
        <v>11.756016300533458</v>
      </c>
      <c r="J51" s="348">
        <f t="shared" si="4"/>
        <v>11622030</v>
      </c>
      <c r="K51" s="349"/>
      <c r="L51" s="341"/>
      <c r="M51" s="341"/>
      <c r="N51" s="341"/>
      <c r="O51" s="341"/>
      <c r="P51" s="341"/>
      <c r="Q51" s="341"/>
      <c r="R51" s="328"/>
    </row>
    <row r="52" spans="1:18" x14ac:dyDescent="0.2">
      <c r="A52" s="355" t="s">
        <v>72</v>
      </c>
      <c r="B52" s="352" t="s">
        <v>73</v>
      </c>
      <c r="C52" s="368">
        <v>39000000</v>
      </c>
      <c r="D52" s="345">
        <f>C52/C49*100</f>
        <v>10.818938135092475</v>
      </c>
      <c r="E52" s="369">
        <f t="shared" si="0"/>
        <v>44.344253846153848</v>
      </c>
      <c r="F52" s="346">
        <f t="shared" si="1"/>
        <v>4.7975773900837506</v>
      </c>
      <c r="G52" s="358">
        <f>1817325+979143+1677551+1761582+2101939+2218674+1223859+1008205+2148704+537385+1819892</f>
        <v>17294259</v>
      </c>
      <c r="H52" s="346">
        <f t="shared" si="2"/>
        <v>44.344253846153848</v>
      </c>
      <c r="I52" s="346">
        <f t="shared" si="3"/>
        <v>4.7975773900837506</v>
      </c>
      <c r="J52" s="348">
        <f t="shared" si="4"/>
        <v>21705741</v>
      </c>
      <c r="K52" s="349"/>
      <c r="L52" s="341"/>
      <c r="M52" s="341"/>
      <c r="N52" s="341"/>
      <c r="O52" s="341"/>
      <c r="P52" s="341"/>
      <c r="Q52" s="341"/>
      <c r="R52" s="328"/>
    </row>
    <row r="53" spans="1:18" x14ac:dyDescent="0.2">
      <c r="A53" s="355" t="s">
        <v>74</v>
      </c>
      <c r="B53" s="352" t="s">
        <v>75</v>
      </c>
      <c r="C53" s="368">
        <v>134400000</v>
      </c>
      <c r="D53" s="345"/>
      <c r="E53" s="369"/>
      <c r="F53" s="346"/>
      <c r="G53" s="358">
        <f>8428576+7875149+7224409+7355546+6991710+7258967+8822131+7808915+7204576+7589825+8788511</f>
        <v>85348315</v>
      </c>
      <c r="H53" s="346"/>
      <c r="I53" s="346"/>
      <c r="J53" s="348"/>
      <c r="K53" s="349"/>
      <c r="L53" s="341"/>
      <c r="M53" s="341"/>
      <c r="N53" s="341"/>
      <c r="O53" s="341"/>
      <c r="P53" s="341"/>
      <c r="Q53" s="341"/>
      <c r="R53" s="328"/>
    </row>
    <row r="54" spans="1:18" x14ac:dyDescent="0.2">
      <c r="A54" s="355"/>
      <c r="B54" s="367" t="s">
        <v>76</v>
      </c>
      <c r="C54" s="357">
        <f>C55+C56</f>
        <v>133079000</v>
      </c>
      <c r="D54" s="345">
        <f>C54/C53*100</f>
        <v>99.017113095238102</v>
      </c>
      <c r="E54" s="369">
        <f t="shared" si="0"/>
        <v>0</v>
      </c>
      <c r="F54" s="346">
        <f t="shared" si="1"/>
        <v>0</v>
      </c>
      <c r="G54" s="358">
        <v>0</v>
      </c>
      <c r="H54" s="346">
        <f t="shared" si="2"/>
        <v>0</v>
      </c>
      <c r="I54" s="346">
        <f t="shared" si="3"/>
        <v>0</v>
      </c>
      <c r="J54" s="348">
        <f>C54-G54</f>
        <v>133079000</v>
      </c>
      <c r="K54" s="349"/>
      <c r="L54" s="341"/>
      <c r="M54" s="341"/>
      <c r="N54" s="341"/>
      <c r="O54" s="341"/>
      <c r="P54" s="341"/>
      <c r="Q54" s="341"/>
      <c r="R54" s="328"/>
    </row>
    <row r="55" spans="1:18" x14ac:dyDescent="0.2">
      <c r="A55" s="355" t="s">
        <v>77</v>
      </c>
      <c r="B55" s="352" t="s">
        <v>22</v>
      </c>
      <c r="C55" s="368">
        <v>133079000</v>
      </c>
      <c r="D55" s="345">
        <f>C55/C53*100</f>
        <v>99.017113095238102</v>
      </c>
      <c r="E55" s="369">
        <f t="shared" si="0"/>
        <v>57.67175888006372</v>
      </c>
      <c r="F55" s="346">
        <f t="shared" si="1"/>
        <v>57.104910714285715</v>
      </c>
      <c r="G55" s="358">
        <f>19950000+23130000+23220000+5160000+5289000</f>
        <v>76749000</v>
      </c>
      <c r="H55" s="346">
        <f t="shared" si="2"/>
        <v>57.67175888006372</v>
      </c>
      <c r="I55" s="346">
        <f t="shared" si="3"/>
        <v>57.104910714285715</v>
      </c>
      <c r="J55" s="348">
        <f t="shared" si="4"/>
        <v>56330000</v>
      </c>
      <c r="K55" s="349"/>
      <c r="L55" s="341"/>
      <c r="M55" s="341">
        <v>76749000</v>
      </c>
      <c r="N55" s="341"/>
      <c r="O55" s="341">
        <f>G55-M55</f>
        <v>0</v>
      </c>
      <c r="P55" s="341"/>
      <c r="Q55" s="341"/>
      <c r="R55" s="328"/>
    </row>
    <row r="56" spans="1:18" ht="25.5" x14ac:dyDescent="0.2">
      <c r="A56" s="355" t="s">
        <v>78</v>
      </c>
      <c r="B56" s="354" t="s">
        <v>276</v>
      </c>
      <c r="C56" s="368">
        <v>0</v>
      </c>
      <c r="D56" s="345"/>
      <c r="E56" s="369"/>
      <c r="F56" s="346"/>
      <c r="G56" s="358">
        <v>0</v>
      </c>
      <c r="H56" s="346"/>
      <c r="I56" s="346"/>
      <c r="J56" s="348"/>
      <c r="K56" s="349"/>
      <c r="L56" s="341"/>
      <c r="M56" s="341"/>
      <c r="N56" s="341"/>
      <c r="O56" s="341"/>
      <c r="P56" s="341"/>
      <c r="Q56" s="341"/>
      <c r="R56" s="328"/>
    </row>
    <row r="57" spans="1:18" ht="25.5" x14ac:dyDescent="0.2">
      <c r="A57" s="355"/>
      <c r="B57" s="371" t="s">
        <v>79</v>
      </c>
      <c r="C57" s="357">
        <f>C58+C63+C65</f>
        <v>199762982</v>
      </c>
      <c r="D57" s="345"/>
      <c r="E57" s="369"/>
      <c r="F57" s="346"/>
      <c r="G57" s="358"/>
      <c r="H57" s="346"/>
      <c r="I57" s="346"/>
      <c r="J57" s="348"/>
      <c r="K57" s="349"/>
      <c r="L57" s="341"/>
      <c r="M57" s="341"/>
      <c r="N57" s="341"/>
      <c r="O57" s="341"/>
      <c r="P57" s="341"/>
      <c r="Q57" s="341"/>
      <c r="R57" s="328"/>
    </row>
    <row r="58" spans="1:18" ht="28.5" customHeight="1" x14ac:dyDescent="0.2">
      <c r="A58" s="355"/>
      <c r="B58" s="351" t="s">
        <v>277</v>
      </c>
      <c r="C58" s="357">
        <f>C59+C60+C61+C62</f>
        <v>87993982</v>
      </c>
      <c r="D58" s="345">
        <f>C58/C57*100</f>
        <v>44.049193258438642</v>
      </c>
      <c r="E58" s="369">
        <f t="shared" si="0"/>
        <v>0</v>
      </c>
      <c r="F58" s="346">
        <f t="shared" si="1"/>
        <v>0</v>
      </c>
      <c r="G58" s="358"/>
      <c r="H58" s="346">
        <f>+G58/C58*100</f>
        <v>0</v>
      </c>
      <c r="I58" s="346">
        <f t="shared" si="3"/>
        <v>0</v>
      </c>
      <c r="J58" s="348">
        <f t="shared" si="4"/>
        <v>87993982</v>
      </c>
      <c r="K58" s="349"/>
      <c r="L58" s="341"/>
      <c r="M58" s="341"/>
      <c r="N58" s="341"/>
      <c r="O58" s="341"/>
      <c r="P58" s="341"/>
      <c r="Q58" s="341"/>
      <c r="R58" s="328"/>
    </row>
    <row r="59" spans="1:18" x14ac:dyDescent="0.2">
      <c r="A59" s="355" t="s">
        <v>80</v>
      </c>
      <c r="B59" s="352" t="s">
        <v>81</v>
      </c>
      <c r="C59" s="368">
        <v>32190000</v>
      </c>
      <c r="D59" s="345">
        <f>C59/C57*100</f>
        <v>16.114096654804644</v>
      </c>
      <c r="E59" s="369">
        <f t="shared" si="0"/>
        <v>36.936936936936938</v>
      </c>
      <c r="F59" s="346">
        <f t="shared" si="1"/>
        <v>5.9520537193422562</v>
      </c>
      <c r="G59" s="358">
        <f>11890000</f>
        <v>11890000</v>
      </c>
      <c r="H59" s="346">
        <f t="shared" si="2"/>
        <v>36.936936936936938</v>
      </c>
      <c r="I59" s="346">
        <f t="shared" si="3"/>
        <v>5.9520537193422562</v>
      </c>
      <c r="J59" s="348">
        <f t="shared" si="4"/>
        <v>20300000</v>
      </c>
      <c r="K59" s="349"/>
      <c r="L59" s="341"/>
      <c r="M59" s="341"/>
      <c r="N59" s="341"/>
      <c r="O59" s="341"/>
      <c r="P59" s="341"/>
      <c r="Q59" s="341"/>
      <c r="R59" s="328"/>
    </row>
    <row r="60" spans="1:18" x14ac:dyDescent="0.2">
      <c r="A60" s="355" t="s">
        <v>82</v>
      </c>
      <c r="B60" s="352" t="s">
        <v>83</v>
      </c>
      <c r="C60" s="368">
        <v>19900000</v>
      </c>
      <c r="D60" s="345">
        <f>C60/C57*100</f>
        <v>9.9618056362414542</v>
      </c>
      <c r="E60" s="369">
        <f t="shared" si="0"/>
        <v>30.150753768844218</v>
      </c>
      <c r="F60" s="346">
        <f>(D60*E60)/100</f>
        <v>3.0035594883140062</v>
      </c>
      <c r="G60" s="358">
        <f>6000000</f>
        <v>6000000</v>
      </c>
      <c r="H60" s="346">
        <f t="shared" si="2"/>
        <v>30.150753768844218</v>
      </c>
      <c r="I60" s="346">
        <f t="shared" si="3"/>
        <v>3.0035594883140062</v>
      </c>
      <c r="J60" s="348">
        <f t="shared" si="4"/>
        <v>13900000</v>
      </c>
      <c r="K60" s="349"/>
      <c r="L60" s="341"/>
      <c r="M60" s="341"/>
      <c r="N60" s="341"/>
      <c r="O60" s="341"/>
      <c r="P60" s="341"/>
      <c r="Q60" s="341"/>
      <c r="R60" s="328"/>
    </row>
    <row r="61" spans="1:18" x14ac:dyDescent="0.2">
      <c r="A61" s="355" t="s">
        <v>84</v>
      </c>
      <c r="B61" s="352" t="s">
        <v>85</v>
      </c>
      <c r="C61" s="368">
        <v>6653982</v>
      </c>
      <c r="D61" s="345">
        <f>C61/C57*100</f>
        <v>3.3309384618617677</v>
      </c>
      <c r="E61" s="369">
        <f t="shared" si="0"/>
        <v>35.575990437004492</v>
      </c>
      <c r="F61" s="346">
        <f t="shared" si="1"/>
        <v>1.1850143486544469</v>
      </c>
      <c r="G61" s="358">
        <f>2367220</f>
        <v>2367220</v>
      </c>
      <c r="H61" s="346">
        <f t="shared" si="2"/>
        <v>35.575990437004492</v>
      </c>
      <c r="I61" s="346">
        <f t="shared" si="3"/>
        <v>1.1850143486544469</v>
      </c>
      <c r="J61" s="348">
        <f t="shared" si="4"/>
        <v>4286762</v>
      </c>
      <c r="K61" s="349"/>
      <c r="L61" s="341"/>
      <c r="M61" s="341"/>
      <c r="N61" s="341"/>
      <c r="O61" s="341"/>
      <c r="P61" s="341"/>
      <c r="Q61" s="341"/>
      <c r="R61" s="328"/>
    </row>
    <row r="62" spans="1:18" ht="25.5" x14ac:dyDescent="0.2">
      <c r="A62" s="355" t="s">
        <v>86</v>
      </c>
      <c r="B62" s="354" t="s">
        <v>87</v>
      </c>
      <c r="C62" s="368">
        <v>29250000</v>
      </c>
      <c r="D62" s="345"/>
      <c r="E62" s="369"/>
      <c r="F62" s="346"/>
      <c r="G62" s="358">
        <f>12752000</f>
        <v>12752000</v>
      </c>
      <c r="H62" s="346"/>
      <c r="I62" s="346"/>
      <c r="J62" s="348"/>
      <c r="K62" s="349"/>
      <c r="L62" s="341"/>
      <c r="M62" s="341"/>
      <c r="N62" s="341"/>
      <c r="O62" s="341"/>
      <c r="P62" s="341"/>
      <c r="Q62" s="341"/>
      <c r="R62" s="328"/>
    </row>
    <row r="63" spans="1:18" x14ac:dyDescent="0.2">
      <c r="A63" s="355"/>
      <c r="B63" s="351" t="s">
        <v>88</v>
      </c>
      <c r="C63" s="357">
        <f>C64</f>
        <v>64759000</v>
      </c>
      <c r="D63" s="345">
        <f>C63/C62*100</f>
        <v>221.3982905982906</v>
      </c>
      <c r="E63" s="369">
        <f t="shared" si="0"/>
        <v>0</v>
      </c>
      <c r="F63" s="346">
        <f t="shared" si="1"/>
        <v>0</v>
      </c>
      <c r="G63" s="358"/>
      <c r="H63" s="346">
        <f t="shared" si="2"/>
        <v>0</v>
      </c>
      <c r="I63" s="346">
        <f t="shared" si="3"/>
        <v>0</v>
      </c>
      <c r="J63" s="348">
        <f t="shared" si="4"/>
        <v>64759000</v>
      </c>
      <c r="K63" s="349"/>
      <c r="L63" s="341"/>
      <c r="M63" s="341"/>
      <c r="N63" s="341"/>
      <c r="O63" s="341"/>
      <c r="P63" s="341"/>
      <c r="Q63" s="341"/>
      <c r="R63" s="328"/>
    </row>
    <row r="64" spans="1:18" ht="25.5" x14ac:dyDescent="0.2">
      <c r="A64" s="355" t="s">
        <v>278</v>
      </c>
      <c r="B64" s="354" t="s">
        <v>89</v>
      </c>
      <c r="C64" s="368">
        <v>64759000</v>
      </c>
      <c r="D64" s="345"/>
      <c r="E64" s="369"/>
      <c r="F64" s="346"/>
      <c r="G64" s="358">
        <f>13800000+5232000+10000000+10000000+5000000</f>
        <v>44032000</v>
      </c>
      <c r="H64" s="346"/>
      <c r="I64" s="346"/>
      <c r="J64" s="348"/>
      <c r="K64" s="349"/>
      <c r="L64" s="341"/>
      <c r="M64" s="341"/>
      <c r="N64" s="341"/>
      <c r="O64" s="341"/>
      <c r="P64" s="341"/>
      <c r="Q64" s="341"/>
      <c r="R64" s="328"/>
    </row>
    <row r="65" spans="1:18" ht="25.5" x14ac:dyDescent="0.2">
      <c r="A65" s="355"/>
      <c r="B65" s="351" t="s">
        <v>90</v>
      </c>
      <c r="C65" s="357">
        <f>C66+C67</f>
        <v>47010000</v>
      </c>
      <c r="D65" s="345">
        <f>C65/C64*100</f>
        <v>72.592226563103196</v>
      </c>
      <c r="E65" s="369">
        <f t="shared" si="0"/>
        <v>0</v>
      </c>
      <c r="F65" s="346">
        <f t="shared" si="1"/>
        <v>0</v>
      </c>
      <c r="G65" s="358"/>
      <c r="H65" s="346">
        <f t="shared" si="2"/>
        <v>0</v>
      </c>
      <c r="I65" s="346">
        <f t="shared" si="3"/>
        <v>0</v>
      </c>
      <c r="J65" s="348">
        <f t="shared" si="4"/>
        <v>47010000</v>
      </c>
      <c r="K65" s="349"/>
      <c r="L65" s="341"/>
      <c r="M65" s="341"/>
      <c r="N65" s="341"/>
      <c r="O65" s="341"/>
      <c r="P65" s="341"/>
      <c r="Q65" s="341"/>
      <c r="R65" s="328"/>
    </row>
    <row r="66" spans="1:18" ht="25.5" x14ac:dyDescent="0.2">
      <c r="A66" s="355" t="s">
        <v>91</v>
      </c>
      <c r="B66" s="354" t="s">
        <v>92</v>
      </c>
      <c r="C66" s="368">
        <v>20000000</v>
      </c>
      <c r="D66" s="345">
        <f>C66/C64*100</f>
        <v>30.883738167667811</v>
      </c>
      <c r="E66" s="369">
        <f t="shared" si="0"/>
        <v>44.625</v>
      </c>
      <c r="F66" s="346">
        <f>(D66*E66)/100</f>
        <v>13.78186815732176</v>
      </c>
      <c r="G66" s="358">
        <f>8925000</f>
        <v>8925000</v>
      </c>
      <c r="H66" s="346">
        <f>+G66/C66*100</f>
        <v>44.625</v>
      </c>
      <c r="I66" s="346">
        <f t="shared" si="3"/>
        <v>13.78186815732176</v>
      </c>
      <c r="J66" s="348">
        <f t="shared" si="4"/>
        <v>11075000</v>
      </c>
      <c r="K66" s="349"/>
      <c r="L66" s="341"/>
      <c r="M66" s="341"/>
      <c r="N66" s="341"/>
      <c r="O66" s="341"/>
      <c r="P66" s="341"/>
      <c r="Q66" s="341"/>
      <c r="R66" s="328"/>
    </row>
    <row r="67" spans="1:18" ht="25.5" x14ac:dyDescent="0.2">
      <c r="A67" s="355" t="s">
        <v>93</v>
      </c>
      <c r="B67" s="354" t="s">
        <v>94</v>
      </c>
      <c r="C67" s="368">
        <v>27010000</v>
      </c>
      <c r="D67" s="372"/>
      <c r="E67" s="346">
        <f t="shared" si="0"/>
        <v>27.76749352091818</v>
      </c>
      <c r="F67" s="346">
        <f t="shared" ref="F67" si="7">(D67*E67)/100</f>
        <v>0</v>
      </c>
      <c r="G67" s="373">
        <f>7500000</f>
        <v>7500000</v>
      </c>
      <c r="H67" s="346">
        <f t="shared" ref="H67" si="8">+G67/C67*100</f>
        <v>27.76749352091818</v>
      </c>
      <c r="I67" s="346">
        <f t="shared" si="3"/>
        <v>0</v>
      </c>
      <c r="J67" s="348">
        <f t="shared" si="4"/>
        <v>19510000</v>
      </c>
      <c r="K67" s="349"/>
      <c r="L67" s="341"/>
      <c r="M67" s="341"/>
      <c r="N67" s="341"/>
      <c r="O67" s="341"/>
      <c r="P67" s="341"/>
      <c r="Q67" s="341"/>
      <c r="R67" s="328"/>
    </row>
    <row r="68" spans="1:18" ht="19.5" customHeight="1" x14ac:dyDescent="0.2">
      <c r="A68" s="1007" t="s">
        <v>95</v>
      </c>
      <c r="B68" s="1022"/>
      <c r="C68" s="1008"/>
      <c r="D68" s="372" t="e">
        <f>SUM(#REF!)</f>
        <v>#REF!</v>
      </c>
      <c r="E68" s="374" t="e">
        <f>G68/C8*100</f>
        <v>#REF!</v>
      </c>
      <c r="F68" s="374">
        <f>SUM(F4:F8)</f>
        <v>0</v>
      </c>
      <c r="G68" s="373">
        <f>SUM(G9:G19)</f>
        <v>66120000</v>
      </c>
      <c r="H68" s="374" t="e">
        <f>+G68/C8*100</f>
        <v>#REF!</v>
      </c>
      <c r="I68" s="374">
        <f>SUM(I4:I8)</f>
        <v>0</v>
      </c>
      <c r="J68" s="373">
        <f>SUM(J4:J8)</f>
        <v>0</v>
      </c>
      <c r="K68" s="375">
        <f>SUM(K4:K8)</f>
        <v>0</v>
      </c>
    </row>
    <row r="69" spans="1:18" x14ac:dyDescent="0.2">
      <c r="A69" s="376"/>
      <c r="B69" s="377"/>
      <c r="C69" s="376"/>
      <c r="D69" s="328"/>
      <c r="E69" s="378"/>
      <c r="F69" s="378"/>
      <c r="G69" s="379"/>
      <c r="H69" s="378"/>
      <c r="I69" s="378"/>
      <c r="J69" s="328"/>
      <c r="K69" s="328"/>
    </row>
    <row r="70" spans="1:18" x14ac:dyDescent="0.2">
      <c r="A70" s="1023" t="s">
        <v>0</v>
      </c>
      <c r="B70" s="1023"/>
      <c r="C70" s="1023"/>
      <c r="D70" s="1023"/>
      <c r="E70" s="1024"/>
      <c r="F70" s="1024"/>
      <c r="G70" s="1025"/>
      <c r="H70" s="1024"/>
      <c r="I70" s="1024"/>
      <c r="J70" s="1023"/>
      <c r="K70" s="1023"/>
    </row>
    <row r="71" spans="1:18" s="328" customFormat="1" x14ac:dyDescent="0.2">
      <c r="A71" s="1023" t="s">
        <v>257</v>
      </c>
      <c r="B71" s="1023"/>
      <c r="C71" s="1023"/>
      <c r="D71" s="1023"/>
      <c r="E71" s="1024"/>
      <c r="F71" s="1024"/>
      <c r="G71" s="1025"/>
      <c r="H71" s="1024"/>
      <c r="I71" s="1024"/>
      <c r="J71" s="1023"/>
      <c r="K71" s="1023"/>
    </row>
    <row r="72" spans="1:18" s="328" customFormat="1" x14ac:dyDescent="0.2">
      <c r="A72" s="1023" t="s">
        <v>258</v>
      </c>
      <c r="B72" s="1023"/>
      <c r="C72" s="1023"/>
      <c r="D72" s="1023"/>
      <c r="E72" s="1024"/>
      <c r="F72" s="1024"/>
      <c r="G72" s="1025"/>
      <c r="H72" s="1024"/>
      <c r="I72" s="1024"/>
      <c r="J72" s="1023"/>
      <c r="K72" s="1023"/>
    </row>
    <row r="73" spans="1:18" s="328" customFormat="1" x14ac:dyDescent="0.2">
      <c r="A73" s="1026" t="s">
        <v>2</v>
      </c>
      <c r="B73" s="1026" t="s">
        <v>3</v>
      </c>
      <c r="C73" s="1026" t="s">
        <v>4</v>
      </c>
      <c r="D73" s="1015" t="s">
        <v>5</v>
      </c>
      <c r="E73" s="1029"/>
      <c r="F73" s="1029"/>
      <c r="G73" s="1030" t="s">
        <v>6</v>
      </c>
      <c r="H73" s="1029"/>
      <c r="I73" s="1029"/>
      <c r="J73" s="1026" t="s">
        <v>7</v>
      </c>
      <c r="K73" s="380" t="s">
        <v>8</v>
      </c>
    </row>
    <row r="74" spans="1:18" x14ac:dyDescent="0.2">
      <c r="A74" s="1027"/>
      <c r="B74" s="1027"/>
      <c r="C74" s="1027"/>
      <c r="D74" s="331" t="s">
        <v>9</v>
      </c>
      <c r="E74" s="381" t="s">
        <v>10</v>
      </c>
      <c r="F74" s="381" t="s">
        <v>11</v>
      </c>
      <c r="G74" s="331" t="s">
        <v>12</v>
      </c>
      <c r="H74" s="381" t="s">
        <v>13</v>
      </c>
      <c r="I74" s="381" t="s">
        <v>11</v>
      </c>
      <c r="J74" s="1028"/>
      <c r="K74" s="331"/>
    </row>
    <row r="75" spans="1:18" x14ac:dyDescent="0.2">
      <c r="A75" s="1028"/>
      <c r="B75" s="1028"/>
      <c r="C75" s="1028"/>
      <c r="D75" s="334" t="s">
        <v>14</v>
      </c>
      <c r="E75" s="382" t="s">
        <v>14</v>
      </c>
      <c r="F75" s="382" t="s">
        <v>14</v>
      </c>
      <c r="G75" s="334" t="s">
        <v>15</v>
      </c>
      <c r="H75" s="382" t="s">
        <v>14</v>
      </c>
      <c r="I75" s="382" t="s">
        <v>14</v>
      </c>
      <c r="J75" s="334" t="s">
        <v>15</v>
      </c>
      <c r="K75" s="334"/>
    </row>
    <row r="76" spans="1:18" x14ac:dyDescent="0.2">
      <c r="A76" s="383"/>
      <c r="B76" s="384" t="s">
        <v>279</v>
      </c>
      <c r="C76" s="385"/>
      <c r="D76" s="340"/>
      <c r="E76" s="386"/>
      <c r="F76" s="387"/>
      <c r="G76" s="340"/>
      <c r="H76" s="387"/>
      <c r="I76" s="387"/>
      <c r="J76" s="340"/>
      <c r="K76" s="340"/>
    </row>
    <row r="77" spans="1:18" ht="25.5" x14ac:dyDescent="0.2">
      <c r="A77" s="388"/>
      <c r="B77" s="389" t="s">
        <v>96</v>
      </c>
      <c r="C77" s="390">
        <f>C78</f>
        <v>1018883000</v>
      </c>
      <c r="D77" s="347"/>
      <c r="E77" s="391"/>
      <c r="F77" s="391"/>
      <c r="G77" s="347"/>
      <c r="H77" s="391"/>
      <c r="I77" s="391"/>
      <c r="J77" s="347"/>
      <c r="K77" s="347"/>
    </row>
    <row r="78" spans="1:18" x14ac:dyDescent="0.2">
      <c r="A78" s="392"/>
      <c r="B78" s="393" t="s">
        <v>97</v>
      </c>
      <c r="C78" s="394">
        <f>SUM(C79:C113)</f>
        <v>1018883000</v>
      </c>
      <c r="D78" s="347"/>
      <c r="E78" s="391"/>
      <c r="F78" s="391"/>
      <c r="G78" s="347"/>
      <c r="H78" s="391"/>
      <c r="I78" s="391"/>
      <c r="J78" s="347"/>
      <c r="K78" s="347"/>
    </row>
    <row r="79" spans="1:18" x14ac:dyDescent="0.2">
      <c r="A79" s="392" t="s">
        <v>44</v>
      </c>
      <c r="B79" s="352" t="s">
        <v>98</v>
      </c>
      <c r="C79" s="395">
        <v>32160000</v>
      </c>
      <c r="D79" s="396">
        <f>C79/C78*100</f>
        <v>3.1563977414482332</v>
      </c>
      <c r="E79" s="391">
        <f>G79/C79*100</f>
        <v>59.5771144278607</v>
      </c>
      <c r="F79" s="391">
        <f>(D79*E79)/100</f>
        <v>1.8804906942210247</v>
      </c>
      <c r="G79" s="347">
        <f>7640000+3820000+7700000</f>
        <v>19160000</v>
      </c>
      <c r="H79" s="391">
        <f>+G79/C79*100</f>
        <v>59.5771144278607</v>
      </c>
      <c r="I79" s="391">
        <f>(D79*H79)/100</f>
        <v>1.8804906942210247</v>
      </c>
      <c r="J79" s="397">
        <f>C79-G79</f>
        <v>13000000</v>
      </c>
      <c r="K79" s="347"/>
    </row>
    <row r="80" spans="1:18" x14ac:dyDescent="0.2">
      <c r="A80" s="395" t="s">
        <v>78</v>
      </c>
      <c r="B80" s="398" t="s">
        <v>99</v>
      </c>
      <c r="C80" s="395">
        <v>10000000</v>
      </c>
      <c r="D80" s="399">
        <f>C80/C77*100</f>
        <v>0.98146695940554507</v>
      </c>
      <c r="E80" s="391">
        <f t="shared" ref="E80:E112" si="9">G80/C80*100</f>
        <v>50</v>
      </c>
      <c r="F80" s="391">
        <f t="shared" ref="F80:F112" si="10">(D80*E80)/100</f>
        <v>0.49073347970277253</v>
      </c>
      <c r="G80" s="347">
        <f>5000000</f>
        <v>5000000</v>
      </c>
      <c r="H80" s="391">
        <f t="shared" ref="H80:H112" si="11">+G80/C80*100</f>
        <v>50</v>
      </c>
      <c r="I80" s="391">
        <f t="shared" ref="I80:I112" si="12">(D80*H80)/100</f>
        <v>0.49073347970277253</v>
      </c>
      <c r="J80" s="397">
        <f t="shared" ref="J80:J112" si="13">C80-G80</f>
        <v>5000000</v>
      </c>
      <c r="K80" s="347"/>
    </row>
    <row r="81" spans="1:13" x14ac:dyDescent="0.2">
      <c r="A81" s="395" t="s">
        <v>280</v>
      </c>
      <c r="B81" s="398" t="s">
        <v>281</v>
      </c>
      <c r="C81" s="395">
        <v>1750000</v>
      </c>
      <c r="D81" s="399">
        <f>C81/C78*100</f>
        <v>0.17175671789597038</v>
      </c>
      <c r="E81" s="391">
        <f t="shared" si="9"/>
        <v>0</v>
      </c>
      <c r="F81" s="391">
        <f t="shared" si="10"/>
        <v>0</v>
      </c>
      <c r="G81" s="347"/>
      <c r="H81" s="391">
        <f t="shared" si="11"/>
        <v>0</v>
      </c>
      <c r="I81" s="391">
        <f t="shared" si="12"/>
        <v>0</v>
      </c>
      <c r="J81" s="397">
        <f t="shared" si="13"/>
        <v>1750000</v>
      </c>
      <c r="K81" s="347"/>
    </row>
    <row r="82" spans="1:13" x14ac:dyDescent="0.2">
      <c r="A82" s="392" t="s">
        <v>59</v>
      </c>
      <c r="B82" s="400" t="s">
        <v>100</v>
      </c>
      <c r="C82" s="395">
        <v>52870900</v>
      </c>
      <c r="D82" s="399">
        <f>C82/C77*100</f>
        <v>5.189104146403464</v>
      </c>
      <c r="E82" s="391">
        <f t="shared" si="9"/>
        <v>88.468656671250159</v>
      </c>
      <c r="F82" s="391">
        <f t="shared" si="10"/>
        <v>4.5907307315952872</v>
      </c>
      <c r="G82" s="347">
        <f>7250000+7500000+8610800+2500000+3100000+10000000+7813375</f>
        <v>46774175</v>
      </c>
      <c r="H82" s="391">
        <f t="shared" si="11"/>
        <v>88.468656671250159</v>
      </c>
      <c r="I82" s="391">
        <f t="shared" si="12"/>
        <v>4.5907307315952872</v>
      </c>
      <c r="J82" s="397">
        <f t="shared" si="13"/>
        <v>6096725</v>
      </c>
      <c r="K82" s="347"/>
      <c r="M82" s="401"/>
    </row>
    <row r="83" spans="1:13" x14ac:dyDescent="0.2">
      <c r="A83" s="402" t="s">
        <v>62</v>
      </c>
      <c r="B83" s="403" t="s">
        <v>101</v>
      </c>
      <c r="C83" s="395">
        <v>20376000</v>
      </c>
      <c r="D83" s="399">
        <f>C83/C78*100</f>
        <v>1.9998370764847389</v>
      </c>
      <c r="E83" s="391">
        <f t="shared" si="9"/>
        <v>73.616018845700822</v>
      </c>
      <c r="F83" s="391">
        <f t="shared" si="10"/>
        <v>1.4722004391083177</v>
      </c>
      <c r="G83" s="347">
        <f>2000000+5450000+4550000+3000000</f>
        <v>15000000</v>
      </c>
      <c r="H83" s="391">
        <f t="shared" si="11"/>
        <v>73.616018845700822</v>
      </c>
      <c r="I83" s="391">
        <f t="shared" si="12"/>
        <v>1.4722004391083177</v>
      </c>
      <c r="J83" s="397">
        <f t="shared" si="13"/>
        <v>5376000</v>
      </c>
      <c r="K83" s="347"/>
    </row>
    <row r="84" spans="1:13" x14ac:dyDescent="0.2">
      <c r="A84" s="392" t="s">
        <v>54</v>
      </c>
      <c r="B84" s="400" t="s">
        <v>102</v>
      </c>
      <c r="C84" s="404">
        <v>6244550</v>
      </c>
      <c r="D84" s="399">
        <f>C84/C78*100</f>
        <v>0.61288195013558966</v>
      </c>
      <c r="E84" s="391">
        <f t="shared" si="9"/>
        <v>71.486336085066185</v>
      </c>
      <c r="F84" s="391">
        <f t="shared" si="10"/>
        <v>0.43812685067863538</v>
      </c>
      <c r="G84" s="347">
        <f>2464000+2000000</f>
        <v>4464000</v>
      </c>
      <c r="H84" s="391">
        <f t="shared" si="11"/>
        <v>71.486336085066185</v>
      </c>
      <c r="I84" s="391">
        <f t="shared" si="12"/>
        <v>0.43812685067863538</v>
      </c>
      <c r="J84" s="397">
        <f t="shared" si="13"/>
        <v>1780550</v>
      </c>
      <c r="K84" s="347"/>
    </row>
    <row r="85" spans="1:13" x14ac:dyDescent="0.2">
      <c r="A85" s="392" t="s">
        <v>86</v>
      </c>
      <c r="B85" s="400" t="s">
        <v>282</v>
      </c>
      <c r="C85" s="404">
        <v>9146000</v>
      </c>
      <c r="D85" s="399">
        <f>C85/C77*100</f>
        <v>0.89764968107231158</v>
      </c>
      <c r="E85" s="391">
        <f t="shared" si="9"/>
        <v>34.397550841898102</v>
      </c>
      <c r="F85" s="391">
        <f t="shared" si="10"/>
        <v>0.30876950542898451</v>
      </c>
      <c r="G85" s="347">
        <f>3146000</f>
        <v>3146000</v>
      </c>
      <c r="H85" s="391">
        <f t="shared" si="11"/>
        <v>34.397550841898102</v>
      </c>
      <c r="I85" s="391">
        <f t="shared" si="12"/>
        <v>0.30876950542898451</v>
      </c>
      <c r="J85" s="397">
        <f t="shared" si="13"/>
        <v>6000000</v>
      </c>
      <c r="K85" s="347"/>
    </row>
    <row r="86" spans="1:13" x14ac:dyDescent="0.2">
      <c r="A86" s="402" t="s">
        <v>77</v>
      </c>
      <c r="B86" s="403" t="s">
        <v>103</v>
      </c>
      <c r="C86" s="395">
        <v>190708000</v>
      </c>
      <c r="D86" s="399">
        <f>C86/C77*100</f>
        <v>18.717360089431271</v>
      </c>
      <c r="E86" s="391">
        <f t="shared" si="9"/>
        <v>84.830735994294955</v>
      </c>
      <c r="F86" s="391">
        <f t="shared" si="10"/>
        <v>15.878074322566972</v>
      </c>
      <c r="G86" s="347">
        <f>7495000+10190000+4300000+6600000+21610000+5022000+4920000+18205000+7200000+8400000+25855000+12000000+29982000</f>
        <v>161779000</v>
      </c>
      <c r="H86" s="391">
        <f t="shared" si="11"/>
        <v>84.830735994294955</v>
      </c>
      <c r="I86" s="391">
        <f t="shared" si="12"/>
        <v>15.878074322566972</v>
      </c>
      <c r="J86" s="397">
        <f t="shared" si="13"/>
        <v>28929000</v>
      </c>
      <c r="K86" s="347"/>
    </row>
    <row r="87" spans="1:13" x14ac:dyDescent="0.2">
      <c r="A87" s="402" t="s">
        <v>226</v>
      </c>
      <c r="B87" s="403" t="s">
        <v>172</v>
      </c>
      <c r="C87" s="395">
        <v>2000000</v>
      </c>
      <c r="D87" s="399">
        <f>C87/C78*100</f>
        <v>0.19629339188110903</v>
      </c>
      <c r="E87" s="391">
        <f t="shared" si="9"/>
        <v>0</v>
      </c>
      <c r="F87" s="391">
        <f t="shared" si="10"/>
        <v>0</v>
      </c>
      <c r="G87" s="347"/>
      <c r="H87" s="391">
        <f t="shared" si="11"/>
        <v>0</v>
      </c>
      <c r="I87" s="391">
        <f t="shared" si="12"/>
        <v>0</v>
      </c>
      <c r="J87" s="397">
        <f t="shared" si="13"/>
        <v>2000000</v>
      </c>
      <c r="K87" s="347"/>
    </row>
    <row r="88" spans="1:13" x14ac:dyDescent="0.2">
      <c r="A88" s="402" t="s">
        <v>283</v>
      </c>
      <c r="B88" s="403" t="s">
        <v>284</v>
      </c>
      <c r="C88" s="395">
        <v>22500000</v>
      </c>
      <c r="D88" s="399">
        <f>C88/C78*100</f>
        <v>2.2083006586624765</v>
      </c>
      <c r="E88" s="391">
        <f t="shared" si="9"/>
        <v>100</v>
      </c>
      <c r="F88" s="391">
        <f t="shared" si="10"/>
        <v>2.2083006586624765</v>
      </c>
      <c r="G88" s="347">
        <v>22500000</v>
      </c>
      <c r="H88" s="391">
        <f t="shared" si="11"/>
        <v>100</v>
      </c>
      <c r="I88" s="391">
        <f t="shared" si="12"/>
        <v>2.2083006586624765</v>
      </c>
      <c r="J88" s="397">
        <f t="shared" si="13"/>
        <v>0</v>
      </c>
      <c r="K88" s="347"/>
    </row>
    <row r="89" spans="1:13" x14ac:dyDescent="0.2">
      <c r="A89" s="402" t="s">
        <v>104</v>
      </c>
      <c r="B89" s="403" t="s">
        <v>105</v>
      </c>
      <c r="C89" s="395">
        <v>0</v>
      </c>
      <c r="D89" s="399">
        <f>C89/C77*100</f>
        <v>0</v>
      </c>
      <c r="E89" s="391" t="e">
        <f t="shared" si="9"/>
        <v>#DIV/0!</v>
      </c>
      <c r="F89" s="391" t="e">
        <f t="shared" si="10"/>
        <v>#DIV/0!</v>
      </c>
      <c r="G89" s="347">
        <v>0</v>
      </c>
      <c r="H89" s="391" t="e">
        <f t="shared" si="11"/>
        <v>#DIV/0!</v>
      </c>
      <c r="I89" s="391" t="e">
        <f t="shared" si="12"/>
        <v>#DIV/0!</v>
      </c>
      <c r="J89" s="397">
        <f t="shared" si="13"/>
        <v>0</v>
      </c>
      <c r="K89" s="347"/>
    </row>
    <row r="90" spans="1:13" ht="25.5" x14ac:dyDescent="0.2">
      <c r="A90" s="405" t="s">
        <v>106</v>
      </c>
      <c r="B90" s="406" t="s">
        <v>107</v>
      </c>
      <c r="C90" s="395">
        <v>168450000</v>
      </c>
      <c r="D90" s="399">
        <f>C90/C78*100</f>
        <v>16.532810931186408</v>
      </c>
      <c r="E90" s="391">
        <f t="shared" si="9"/>
        <v>65.805877114870881</v>
      </c>
      <c r="F90" s="391">
        <f t="shared" si="10"/>
        <v>10.879561245010468</v>
      </c>
      <c r="G90" s="347">
        <f>24000000+3200000+2950000+25800000+2700000+3000000+3000000+2700000+2200000+35900000+5400000</f>
        <v>110850000</v>
      </c>
      <c r="H90" s="391">
        <f t="shared" si="11"/>
        <v>65.805877114870881</v>
      </c>
      <c r="I90" s="391">
        <f t="shared" si="12"/>
        <v>10.879561245010468</v>
      </c>
      <c r="J90" s="397">
        <f t="shared" si="13"/>
        <v>57600000</v>
      </c>
      <c r="K90" s="347"/>
      <c r="M90" s="401"/>
    </row>
    <row r="91" spans="1:13" x14ac:dyDescent="0.2">
      <c r="A91" s="405" t="s">
        <v>46</v>
      </c>
      <c r="B91" s="403" t="s">
        <v>285</v>
      </c>
      <c r="C91" s="395">
        <v>14800000</v>
      </c>
      <c r="D91" s="399">
        <f>C91/C77*100</f>
        <v>1.4525710999202068</v>
      </c>
      <c r="E91" s="391">
        <f t="shared" si="9"/>
        <v>100</v>
      </c>
      <c r="F91" s="391">
        <f t="shared" si="10"/>
        <v>1.4525710999202068</v>
      </c>
      <c r="G91" s="407">
        <f>5700000+3900000+3900000+1300000</f>
        <v>14800000</v>
      </c>
      <c r="H91" s="391">
        <f t="shared" si="11"/>
        <v>100</v>
      </c>
      <c r="I91" s="391">
        <f t="shared" si="12"/>
        <v>1.4525710999202068</v>
      </c>
      <c r="J91" s="397">
        <f t="shared" si="13"/>
        <v>0</v>
      </c>
      <c r="K91" s="347"/>
    </row>
    <row r="92" spans="1:13" x14ac:dyDescent="0.2">
      <c r="A92" s="392" t="s">
        <v>108</v>
      </c>
      <c r="B92" s="400" t="s">
        <v>109</v>
      </c>
      <c r="C92" s="395">
        <v>800000</v>
      </c>
      <c r="D92" s="399">
        <f>C92/C78*100</f>
        <v>7.8517356752443604E-2</v>
      </c>
      <c r="E92" s="391">
        <f t="shared" si="9"/>
        <v>0</v>
      </c>
      <c r="F92" s="391">
        <f t="shared" si="10"/>
        <v>0</v>
      </c>
      <c r="G92" s="407">
        <v>0</v>
      </c>
      <c r="H92" s="391">
        <f t="shared" si="11"/>
        <v>0</v>
      </c>
      <c r="I92" s="391">
        <f t="shared" si="12"/>
        <v>0</v>
      </c>
      <c r="J92" s="397">
        <f t="shared" si="13"/>
        <v>800000</v>
      </c>
      <c r="K92" s="347"/>
    </row>
    <row r="93" spans="1:13" x14ac:dyDescent="0.2">
      <c r="A93" s="405" t="s">
        <v>110</v>
      </c>
      <c r="B93" s="403" t="s">
        <v>111</v>
      </c>
      <c r="C93" s="395">
        <v>800000</v>
      </c>
      <c r="D93" s="399">
        <f>C93/C78*100</f>
        <v>7.8517356752443604E-2</v>
      </c>
      <c r="E93" s="391">
        <f t="shared" si="9"/>
        <v>0</v>
      </c>
      <c r="F93" s="391">
        <f t="shared" si="10"/>
        <v>0</v>
      </c>
      <c r="G93" s="407">
        <v>0</v>
      </c>
      <c r="H93" s="391">
        <f t="shared" si="11"/>
        <v>0</v>
      </c>
      <c r="I93" s="391">
        <f t="shared" si="12"/>
        <v>0</v>
      </c>
      <c r="J93" s="397">
        <f t="shared" si="13"/>
        <v>800000</v>
      </c>
      <c r="K93" s="347"/>
    </row>
    <row r="94" spans="1:13" x14ac:dyDescent="0.2">
      <c r="A94" s="392" t="s">
        <v>112</v>
      </c>
      <c r="B94" s="400" t="s">
        <v>113</v>
      </c>
      <c r="C94" s="395">
        <v>3000000</v>
      </c>
      <c r="D94" s="399">
        <f>C94/C77*100</f>
        <v>0.29444008782166353</v>
      </c>
      <c r="E94" s="391">
        <f t="shared" si="9"/>
        <v>0</v>
      </c>
      <c r="F94" s="391">
        <f t="shared" si="10"/>
        <v>0</v>
      </c>
      <c r="G94" s="407">
        <v>0</v>
      </c>
      <c r="H94" s="391">
        <f t="shared" si="11"/>
        <v>0</v>
      </c>
      <c r="I94" s="391">
        <f t="shared" si="12"/>
        <v>0</v>
      </c>
      <c r="J94" s="397">
        <f>C94-G94</f>
        <v>3000000</v>
      </c>
      <c r="K94" s="347"/>
    </row>
    <row r="95" spans="1:13" x14ac:dyDescent="0.2">
      <c r="A95" s="392" t="s">
        <v>114</v>
      </c>
      <c r="B95" s="400" t="s">
        <v>115</v>
      </c>
      <c r="C95" s="408">
        <v>0</v>
      </c>
      <c r="D95" s="399">
        <f>C95/C78*100</f>
        <v>0</v>
      </c>
      <c r="E95" s="391" t="e">
        <f t="shared" si="9"/>
        <v>#DIV/0!</v>
      </c>
      <c r="F95" s="391" t="e">
        <f t="shared" si="10"/>
        <v>#DIV/0!</v>
      </c>
      <c r="G95" s="407">
        <v>0</v>
      </c>
      <c r="H95" s="391" t="e">
        <f t="shared" si="11"/>
        <v>#DIV/0!</v>
      </c>
      <c r="I95" s="391" t="e">
        <f t="shared" si="12"/>
        <v>#DIV/0!</v>
      </c>
      <c r="J95" s="397">
        <f t="shared" si="13"/>
        <v>0</v>
      </c>
      <c r="K95" s="347"/>
    </row>
    <row r="96" spans="1:13" ht="25.5" x14ac:dyDescent="0.2">
      <c r="A96" s="405" t="s">
        <v>116</v>
      </c>
      <c r="B96" s="406" t="s">
        <v>117</v>
      </c>
      <c r="C96" s="395">
        <v>8977750</v>
      </c>
      <c r="D96" s="399">
        <f>C96/C77*100</f>
        <v>0.88113649948031325</v>
      </c>
      <c r="E96" s="391">
        <f t="shared" si="9"/>
        <v>42.056194480799753</v>
      </c>
      <c r="F96" s="391">
        <f t="shared" si="10"/>
        <v>0.37057247986275166</v>
      </c>
      <c r="G96" s="407">
        <f>1885700+1890000</f>
        <v>3775700</v>
      </c>
      <c r="H96" s="391">
        <f>+G96/C96*100</f>
        <v>42.056194480799753</v>
      </c>
      <c r="I96" s="391">
        <f t="shared" si="12"/>
        <v>0.37057247986275166</v>
      </c>
      <c r="J96" s="397">
        <f t="shared" si="13"/>
        <v>5202050</v>
      </c>
      <c r="K96" s="347"/>
      <c r="M96" s="401"/>
    </row>
    <row r="97" spans="1:11" ht="25.5" x14ac:dyDescent="0.2">
      <c r="A97" s="392" t="s">
        <v>91</v>
      </c>
      <c r="B97" s="406" t="s">
        <v>92</v>
      </c>
      <c r="C97" s="395">
        <v>3000000</v>
      </c>
      <c r="D97" s="399">
        <f>C97/C77*100</f>
        <v>0.29444008782166353</v>
      </c>
      <c r="E97" s="391">
        <f t="shared" si="9"/>
        <v>0</v>
      </c>
      <c r="F97" s="391">
        <f t="shared" si="10"/>
        <v>0</v>
      </c>
      <c r="G97" s="407">
        <v>0</v>
      </c>
      <c r="H97" s="391">
        <f t="shared" si="11"/>
        <v>0</v>
      </c>
      <c r="I97" s="391">
        <f t="shared" si="12"/>
        <v>0</v>
      </c>
      <c r="J97" s="397">
        <f t="shared" si="13"/>
        <v>3000000</v>
      </c>
      <c r="K97" s="347"/>
    </row>
    <row r="98" spans="1:11" ht="25.5" x14ac:dyDescent="0.2">
      <c r="A98" s="405" t="s">
        <v>93</v>
      </c>
      <c r="B98" s="406" t="s">
        <v>94</v>
      </c>
      <c r="C98" s="395">
        <v>2800000</v>
      </c>
      <c r="D98" s="399">
        <f>C98/C77*100</f>
        <v>0.27481074863355259</v>
      </c>
      <c r="E98" s="391">
        <f t="shared" si="9"/>
        <v>25.357142857142854</v>
      </c>
      <c r="F98" s="391">
        <f t="shared" si="10"/>
        <v>6.9684154117793676E-2</v>
      </c>
      <c r="G98" s="407">
        <f>710000</f>
        <v>710000</v>
      </c>
      <c r="H98" s="391">
        <f t="shared" si="11"/>
        <v>25.357142857142854</v>
      </c>
      <c r="I98" s="391">
        <f t="shared" si="12"/>
        <v>6.9684154117793676E-2</v>
      </c>
      <c r="J98" s="397">
        <f t="shared" si="13"/>
        <v>2090000</v>
      </c>
      <c r="K98" s="347"/>
    </row>
    <row r="99" spans="1:11" ht="25.5" x14ac:dyDescent="0.2">
      <c r="A99" s="405" t="s">
        <v>118</v>
      </c>
      <c r="B99" s="406" t="s">
        <v>119</v>
      </c>
      <c r="C99" s="395">
        <v>96867000</v>
      </c>
      <c r="D99" s="399">
        <f>C99/C78*100</f>
        <v>9.507175995673693</v>
      </c>
      <c r="E99" s="391">
        <f t="shared" si="9"/>
        <v>38.473370704161375</v>
      </c>
      <c r="F99" s="391">
        <f t="shared" si="10"/>
        <v>3.6577310643125851</v>
      </c>
      <c r="G99" s="407">
        <v>37268000</v>
      </c>
      <c r="H99" s="391">
        <f t="shared" si="11"/>
        <v>38.473370704161375</v>
      </c>
      <c r="I99" s="391">
        <f t="shared" si="12"/>
        <v>3.6577310643125851</v>
      </c>
      <c r="J99" s="397">
        <f t="shared" si="13"/>
        <v>59599000</v>
      </c>
      <c r="K99" s="347"/>
    </row>
    <row r="100" spans="1:11" x14ac:dyDescent="0.2">
      <c r="A100" s="405" t="s">
        <v>65</v>
      </c>
      <c r="B100" s="403" t="s">
        <v>286</v>
      </c>
      <c r="C100" s="395">
        <v>160002000</v>
      </c>
      <c r="D100" s="399">
        <f>C100/C77*100</f>
        <v>15.703667643880603</v>
      </c>
      <c r="E100" s="391">
        <f t="shared" si="9"/>
        <v>46.860194872564094</v>
      </c>
      <c r="F100" s="391">
        <f t="shared" si="10"/>
        <v>7.3587692600622452</v>
      </c>
      <c r="G100" s="407">
        <f>25675000+49302249</f>
        <v>74977249</v>
      </c>
      <c r="H100" s="391">
        <f t="shared" si="11"/>
        <v>46.860194872564094</v>
      </c>
      <c r="I100" s="391">
        <f t="shared" si="12"/>
        <v>7.3587692600622452</v>
      </c>
      <c r="J100" s="397">
        <f t="shared" si="13"/>
        <v>85024751</v>
      </c>
      <c r="K100" s="347"/>
    </row>
    <row r="101" spans="1:11" x14ac:dyDescent="0.2">
      <c r="A101" s="392" t="s">
        <v>66</v>
      </c>
      <c r="B101" s="400" t="s">
        <v>120</v>
      </c>
      <c r="C101" s="395">
        <v>7200000</v>
      </c>
      <c r="D101" s="399">
        <f>C101/C78*100</f>
        <v>0.70665621077199248</v>
      </c>
      <c r="E101" s="391">
        <f t="shared" si="9"/>
        <v>0</v>
      </c>
      <c r="F101" s="391">
        <f t="shared" si="10"/>
        <v>0</v>
      </c>
      <c r="G101" s="407">
        <v>0</v>
      </c>
      <c r="H101" s="391">
        <f t="shared" si="11"/>
        <v>0</v>
      </c>
      <c r="I101" s="391">
        <f t="shared" si="12"/>
        <v>0</v>
      </c>
      <c r="J101" s="397">
        <f t="shared" si="13"/>
        <v>7200000</v>
      </c>
      <c r="K101" s="347"/>
    </row>
    <row r="102" spans="1:11" x14ac:dyDescent="0.2">
      <c r="A102" s="405" t="s">
        <v>287</v>
      </c>
      <c r="B102" s="403" t="s">
        <v>288</v>
      </c>
      <c r="C102" s="395">
        <v>25000000</v>
      </c>
      <c r="D102" s="399">
        <f>C102/C77*100</f>
        <v>2.4536673985138631</v>
      </c>
      <c r="E102" s="391">
        <f t="shared" si="9"/>
        <v>57.999999999999993</v>
      </c>
      <c r="F102" s="391">
        <f t="shared" si="10"/>
        <v>1.4231270911380403</v>
      </c>
      <c r="G102" s="407">
        <f>10000000+4500000</f>
        <v>14500000</v>
      </c>
      <c r="H102" s="391">
        <f t="shared" si="11"/>
        <v>57.999999999999993</v>
      </c>
      <c r="I102" s="391">
        <f t="shared" si="12"/>
        <v>1.4231270911380403</v>
      </c>
      <c r="J102" s="397">
        <f t="shared" si="13"/>
        <v>10500000</v>
      </c>
      <c r="K102" s="347"/>
    </row>
    <row r="103" spans="1:11" x14ac:dyDescent="0.2">
      <c r="A103" s="392" t="s">
        <v>289</v>
      </c>
      <c r="B103" s="400" t="s">
        <v>290</v>
      </c>
      <c r="C103" s="395">
        <v>26800000</v>
      </c>
      <c r="D103" s="399">
        <f t="shared" ref="D103" si="14">C103/C78*100</f>
        <v>2.6303314512068607</v>
      </c>
      <c r="E103" s="391">
        <f t="shared" si="9"/>
        <v>92.350746268656707</v>
      </c>
      <c r="F103" s="391">
        <f t="shared" si="10"/>
        <v>2.4291307245287239</v>
      </c>
      <c r="G103" s="407">
        <f>12250000+12500000</f>
        <v>24750000</v>
      </c>
      <c r="H103" s="391">
        <f t="shared" si="11"/>
        <v>92.350746268656707</v>
      </c>
      <c r="I103" s="391">
        <f t="shared" si="12"/>
        <v>2.4291307245287239</v>
      </c>
      <c r="J103" s="397">
        <f t="shared" si="13"/>
        <v>2050000</v>
      </c>
      <c r="K103" s="347"/>
    </row>
    <row r="104" spans="1:11" x14ac:dyDescent="0.2">
      <c r="A104" s="392"/>
      <c r="B104" s="400" t="s">
        <v>291</v>
      </c>
      <c r="C104" s="395">
        <v>1130800</v>
      </c>
      <c r="D104" s="399">
        <f>C104/C78*100</f>
        <v>0.11098428376957903</v>
      </c>
      <c r="E104" s="391">
        <f t="shared" si="9"/>
        <v>0</v>
      </c>
      <c r="F104" s="391">
        <f t="shared" si="10"/>
        <v>0</v>
      </c>
      <c r="G104" s="407"/>
      <c r="H104" s="391">
        <f t="shared" si="11"/>
        <v>0</v>
      </c>
      <c r="I104" s="391">
        <f t="shared" si="12"/>
        <v>0</v>
      </c>
      <c r="J104" s="397">
        <f t="shared" si="13"/>
        <v>1130800</v>
      </c>
      <c r="K104" s="347"/>
    </row>
    <row r="105" spans="1:11" x14ac:dyDescent="0.2">
      <c r="A105" s="392"/>
      <c r="B105" s="403" t="s">
        <v>292</v>
      </c>
      <c r="C105" s="395">
        <v>6000000</v>
      </c>
      <c r="D105" s="399">
        <f>C105/C77*100</f>
        <v>0.58888017564332706</v>
      </c>
      <c r="E105" s="391">
        <f t="shared" si="9"/>
        <v>0</v>
      </c>
      <c r="F105" s="391">
        <f t="shared" si="10"/>
        <v>0</v>
      </c>
      <c r="G105" s="407"/>
      <c r="H105" s="391">
        <f t="shared" si="11"/>
        <v>0</v>
      </c>
      <c r="I105" s="391">
        <f t="shared" si="12"/>
        <v>0</v>
      </c>
      <c r="J105" s="397">
        <f t="shared" si="13"/>
        <v>6000000</v>
      </c>
      <c r="K105" s="347"/>
    </row>
    <row r="106" spans="1:11" x14ac:dyDescent="0.2">
      <c r="A106" s="405" t="s">
        <v>293</v>
      </c>
      <c r="B106" s="403" t="s">
        <v>294</v>
      </c>
      <c r="C106" s="395">
        <v>39000000</v>
      </c>
      <c r="D106" s="399">
        <f>C106/C77*100</f>
        <v>3.8277211416816259</v>
      </c>
      <c r="E106" s="391">
        <f t="shared" si="9"/>
        <v>89.487179487179489</v>
      </c>
      <c r="F106" s="391">
        <f t="shared" si="10"/>
        <v>3.4253196883253527</v>
      </c>
      <c r="G106" s="407">
        <f>21000000+13900000</f>
        <v>34900000</v>
      </c>
      <c r="H106" s="391">
        <f t="shared" si="11"/>
        <v>89.487179487179489</v>
      </c>
      <c r="I106" s="391">
        <f t="shared" si="12"/>
        <v>3.4253196883253527</v>
      </c>
      <c r="J106" s="397">
        <f t="shared" si="13"/>
        <v>4100000</v>
      </c>
      <c r="K106" s="347"/>
    </row>
    <row r="107" spans="1:11" x14ac:dyDescent="0.2">
      <c r="A107" s="405"/>
      <c r="B107" s="403" t="s">
        <v>295</v>
      </c>
      <c r="C107" s="395">
        <v>3000000</v>
      </c>
      <c r="D107" s="399">
        <f>C107/C77*100</f>
        <v>0.29444008782166353</v>
      </c>
      <c r="E107" s="391">
        <f t="shared" si="9"/>
        <v>0</v>
      </c>
      <c r="F107" s="391">
        <f t="shared" si="10"/>
        <v>0</v>
      </c>
      <c r="G107" s="407"/>
      <c r="H107" s="391">
        <f t="shared" si="11"/>
        <v>0</v>
      </c>
      <c r="I107" s="391">
        <f t="shared" si="12"/>
        <v>0</v>
      </c>
      <c r="J107" s="397">
        <f t="shared" si="13"/>
        <v>3000000</v>
      </c>
      <c r="K107" s="347"/>
    </row>
    <row r="108" spans="1:11" x14ac:dyDescent="0.2">
      <c r="A108" s="405" t="s">
        <v>121</v>
      </c>
      <c r="B108" s="403" t="s">
        <v>296</v>
      </c>
      <c r="C108" s="395">
        <v>4500000</v>
      </c>
      <c r="D108" s="399">
        <f>C108/C78*100</f>
        <v>0.4416601317324953</v>
      </c>
      <c r="E108" s="391">
        <f t="shared" si="9"/>
        <v>0</v>
      </c>
      <c r="F108" s="391">
        <f t="shared" si="10"/>
        <v>0</v>
      </c>
      <c r="G108" s="407">
        <v>0</v>
      </c>
      <c r="H108" s="391">
        <f t="shared" si="11"/>
        <v>0</v>
      </c>
      <c r="I108" s="391">
        <f t="shared" si="12"/>
        <v>0</v>
      </c>
      <c r="J108" s="397">
        <f t="shared" si="13"/>
        <v>4500000</v>
      </c>
      <c r="K108" s="347"/>
    </row>
    <row r="109" spans="1:11" x14ac:dyDescent="0.2">
      <c r="A109" s="405" t="s">
        <v>297</v>
      </c>
      <c r="B109" s="403" t="s">
        <v>298</v>
      </c>
      <c r="C109" s="395">
        <v>5000000</v>
      </c>
      <c r="D109" s="399">
        <f>C109/C78*100</f>
        <v>0.49073347970277253</v>
      </c>
      <c r="E109" s="391">
        <f t="shared" si="9"/>
        <v>0</v>
      </c>
      <c r="F109" s="391">
        <f t="shared" si="10"/>
        <v>0</v>
      </c>
      <c r="G109" s="407">
        <v>0</v>
      </c>
      <c r="H109" s="391">
        <f t="shared" si="11"/>
        <v>0</v>
      </c>
      <c r="I109" s="391">
        <f t="shared" si="12"/>
        <v>0</v>
      </c>
      <c r="J109" s="347">
        <f t="shared" si="13"/>
        <v>5000000</v>
      </c>
      <c r="K109" s="347"/>
    </row>
    <row r="110" spans="1:11" x14ac:dyDescent="0.2">
      <c r="A110" s="392" t="s">
        <v>299</v>
      </c>
      <c r="B110" s="400" t="s">
        <v>300</v>
      </c>
      <c r="C110" s="395">
        <v>4000000</v>
      </c>
      <c r="D110" s="399">
        <f>C110/C78*100</f>
        <v>0.39258678376221806</v>
      </c>
      <c r="E110" s="391">
        <f t="shared" si="9"/>
        <v>100</v>
      </c>
      <c r="F110" s="391">
        <f t="shared" si="10"/>
        <v>0.39258678376221812</v>
      </c>
      <c r="G110" s="407">
        <v>4000000</v>
      </c>
      <c r="H110" s="391"/>
      <c r="I110" s="391">
        <f t="shared" si="12"/>
        <v>0</v>
      </c>
      <c r="J110" s="347">
        <f t="shared" si="13"/>
        <v>0</v>
      </c>
      <c r="K110" s="347"/>
    </row>
    <row r="111" spans="1:11" x14ac:dyDescent="0.2">
      <c r="A111" s="405" t="s">
        <v>301</v>
      </c>
      <c r="B111" s="403" t="s">
        <v>269</v>
      </c>
      <c r="C111" s="395">
        <v>87000000</v>
      </c>
      <c r="D111" s="399">
        <f>C111/C78*100</f>
        <v>8.5387625468282415</v>
      </c>
      <c r="E111" s="391">
        <f t="shared" si="9"/>
        <v>100</v>
      </c>
      <c r="F111" s="391">
        <f t="shared" si="10"/>
        <v>8.5387625468282415</v>
      </c>
      <c r="G111" s="407">
        <f>72000000+15000000</f>
        <v>87000000</v>
      </c>
      <c r="H111" s="391">
        <f t="shared" si="11"/>
        <v>100</v>
      </c>
      <c r="I111" s="391">
        <f t="shared" si="12"/>
        <v>8.5387625468282415</v>
      </c>
      <c r="J111" s="347">
        <f t="shared" si="13"/>
        <v>0</v>
      </c>
      <c r="K111" s="347"/>
    </row>
    <row r="112" spans="1:11" x14ac:dyDescent="0.2">
      <c r="A112" s="405" t="s">
        <v>275</v>
      </c>
      <c r="B112" s="403" t="s">
        <v>302</v>
      </c>
      <c r="C112" s="395">
        <v>3000000</v>
      </c>
      <c r="D112" s="399">
        <f>C112/C78*100</f>
        <v>0.29444008782166353</v>
      </c>
      <c r="E112" s="391">
        <f t="shared" si="9"/>
        <v>100</v>
      </c>
      <c r="F112" s="391">
        <f t="shared" si="10"/>
        <v>0.29444008782166353</v>
      </c>
      <c r="G112" s="407">
        <v>3000000</v>
      </c>
      <c r="H112" s="391">
        <f t="shared" si="11"/>
        <v>100</v>
      </c>
      <c r="I112" s="391">
        <f t="shared" si="12"/>
        <v>0.29444008782166353</v>
      </c>
      <c r="J112" s="347">
        <f t="shared" si="13"/>
        <v>0</v>
      </c>
      <c r="K112" s="347"/>
    </row>
    <row r="113" spans="1:11" x14ac:dyDescent="0.2">
      <c r="A113" s="392" t="s">
        <v>122</v>
      </c>
      <c r="B113" s="400" t="s">
        <v>303</v>
      </c>
      <c r="C113" s="395">
        <v>0</v>
      </c>
      <c r="D113" s="399"/>
      <c r="E113" s="391"/>
      <c r="F113" s="391"/>
      <c r="G113" s="407">
        <v>0</v>
      </c>
      <c r="H113" s="391"/>
      <c r="I113" s="391"/>
      <c r="J113" s="347"/>
      <c r="K113" s="347"/>
    </row>
    <row r="114" spans="1:11" x14ac:dyDescent="0.2">
      <c r="A114" s="1015" t="s">
        <v>95</v>
      </c>
      <c r="B114" s="1015"/>
      <c r="C114" s="1015"/>
      <c r="D114" s="409">
        <f>SUM(D80:D113)</f>
        <v>96.843602258551755</v>
      </c>
      <c r="E114" s="410">
        <f>G114/C77*100</f>
        <v>67.559682907654746</v>
      </c>
      <c r="F114" s="410" t="e">
        <f>SUM(F76:F113)</f>
        <v>#DIV/0!</v>
      </c>
      <c r="G114" s="411">
        <f>SUM(G79:G113)</f>
        <v>688354124</v>
      </c>
      <c r="H114" s="410">
        <f>+G114/C77*100</f>
        <v>67.559682907654746</v>
      </c>
      <c r="I114" s="412">
        <f t="shared" ref="I114" si="15">(D114*H114)/100</f>
        <v>65.427230602227937</v>
      </c>
      <c r="J114" s="411">
        <f>SUM(J80:J113)</f>
        <v>317528876</v>
      </c>
      <c r="K114" s="411">
        <f>SUM(K76:K113)</f>
        <v>0</v>
      </c>
    </row>
    <row r="115" spans="1:11" s="328" customFormat="1" x14ac:dyDescent="0.2">
      <c r="A115" s="413"/>
      <c r="B115" s="414"/>
      <c r="C115" s="413"/>
      <c r="D115" s="415"/>
      <c r="E115" s="416"/>
      <c r="F115" s="378"/>
      <c r="G115" s="379"/>
      <c r="H115" s="378"/>
      <c r="I115" s="378"/>
    </row>
    <row r="116" spans="1:11" s="328" customFormat="1" x14ac:dyDescent="0.2">
      <c r="A116" s="417"/>
      <c r="C116" s="417"/>
      <c r="E116" s="378"/>
      <c r="F116" s="378"/>
      <c r="G116" s="379"/>
      <c r="H116" s="378"/>
      <c r="I116" s="378"/>
    </row>
    <row r="117" spans="1:11" s="328" customFormat="1" x14ac:dyDescent="0.2">
      <c r="A117" s="418"/>
      <c r="B117" s="419"/>
      <c r="C117" s="420"/>
      <c r="D117" s="421"/>
      <c r="E117" s="422"/>
      <c r="F117" s="423"/>
      <c r="G117" s="424"/>
      <c r="H117" s="423"/>
      <c r="I117" s="423"/>
      <c r="J117" s="323"/>
      <c r="K117" s="323"/>
    </row>
    <row r="118" spans="1:11" x14ac:dyDescent="0.2">
      <c r="A118" s="1016" t="s">
        <v>304</v>
      </c>
      <c r="B118" s="1019" t="s">
        <v>305</v>
      </c>
      <c r="C118" s="1016" t="s">
        <v>306</v>
      </c>
      <c r="D118" s="1003" t="s">
        <v>5</v>
      </c>
      <c r="E118" s="987"/>
      <c r="F118" s="987"/>
      <c r="G118" s="988" t="s">
        <v>6</v>
      </c>
      <c r="H118" s="987"/>
      <c r="I118" s="987"/>
      <c r="J118" s="980" t="s">
        <v>7</v>
      </c>
      <c r="K118" s="425" t="s">
        <v>8</v>
      </c>
    </row>
    <row r="119" spans="1:11" x14ac:dyDescent="0.2">
      <c r="A119" s="1017"/>
      <c r="B119" s="1020"/>
      <c r="C119" s="1017"/>
      <c r="D119" s="426" t="s">
        <v>9</v>
      </c>
      <c r="E119" s="427" t="s">
        <v>10</v>
      </c>
      <c r="F119" s="427" t="s">
        <v>11</v>
      </c>
      <c r="G119" s="428" t="s">
        <v>12</v>
      </c>
      <c r="H119" s="427" t="s">
        <v>13</v>
      </c>
      <c r="I119" s="427" t="s">
        <v>11</v>
      </c>
      <c r="J119" s="981"/>
      <c r="K119" s="429"/>
    </row>
    <row r="120" spans="1:11" x14ac:dyDescent="0.2">
      <c r="A120" s="1018"/>
      <c r="B120" s="1021"/>
      <c r="C120" s="1018"/>
      <c r="D120" s="430" t="s">
        <v>14</v>
      </c>
      <c r="E120" s="431" t="s">
        <v>14</v>
      </c>
      <c r="F120" s="431" t="s">
        <v>14</v>
      </c>
      <c r="G120" s="432" t="s">
        <v>15</v>
      </c>
      <c r="H120" s="431" t="s">
        <v>14</v>
      </c>
      <c r="I120" s="431" t="s">
        <v>14</v>
      </c>
      <c r="J120" s="433" t="s">
        <v>15</v>
      </c>
      <c r="K120" s="433"/>
    </row>
    <row r="121" spans="1:11" ht="25.5" x14ac:dyDescent="0.2">
      <c r="A121" s="434"/>
      <c r="B121" s="389" t="s">
        <v>96</v>
      </c>
      <c r="C121" s="435">
        <f>C122</f>
        <v>100000000</v>
      </c>
      <c r="D121" s="436"/>
      <c r="E121" s="339"/>
      <c r="F121" s="339"/>
      <c r="G121" s="340"/>
      <c r="H121" s="339"/>
      <c r="I121" s="339"/>
      <c r="J121" s="437"/>
      <c r="K121" s="437"/>
    </row>
    <row r="122" spans="1:11" x14ac:dyDescent="0.2">
      <c r="A122" s="438"/>
      <c r="B122" s="393" t="s">
        <v>97</v>
      </c>
      <c r="C122" s="439">
        <f>SUM(C123:C131)</f>
        <v>100000000</v>
      </c>
      <c r="D122" s="440"/>
      <c r="E122" s="346"/>
      <c r="F122" s="346"/>
      <c r="G122" s="347"/>
      <c r="H122" s="346"/>
      <c r="I122" s="346"/>
      <c r="J122" s="441"/>
      <c r="K122" s="441"/>
    </row>
    <row r="123" spans="1:11" x14ac:dyDescent="0.2">
      <c r="A123" s="442" t="s">
        <v>44</v>
      </c>
      <c r="B123" s="441" t="s">
        <v>98</v>
      </c>
      <c r="C123" s="397">
        <v>16920000</v>
      </c>
      <c r="D123" s="440">
        <f>C123/C122*100</f>
        <v>16.919999999999998</v>
      </c>
      <c r="E123" s="346">
        <f>G123/C123*100</f>
        <v>0</v>
      </c>
      <c r="F123" s="346">
        <f>(D123*E123)/100</f>
        <v>0</v>
      </c>
      <c r="G123" s="347"/>
      <c r="H123" s="346">
        <f>+G123/C123*100</f>
        <v>0</v>
      </c>
      <c r="I123" s="346">
        <f>(D123*H123)/100</f>
        <v>0</v>
      </c>
      <c r="J123" s="443">
        <f>C123-G123</f>
        <v>16920000</v>
      </c>
      <c r="K123" s="441"/>
    </row>
    <row r="124" spans="1:11" x14ac:dyDescent="0.2">
      <c r="A124" s="442" t="s">
        <v>59</v>
      </c>
      <c r="B124" s="441" t="s">
        <v>142</v>
      </c>
      <c r="C124" s="397">
        <v>12882000</v>
      </c>
      <c r="D124" s="440">
        <f>C124/C122*100</f>
        <v>12.882</v>
      </c>
      <c r="E124" s="346">
        <f t="shared" ref="E124:E131" si="16">G124/C124*100</f>
        <v>100</v>
      </c>
      <c r="F124" s="346">
        <f t="shared" ref="F124:F131" si="17">(D124*E124)/100</f>
        <v>12.882</v>
      </c>
      <c r="G124" s="347">
        <f>12882000</f>
        <v>12882000</v>
      </c>
      <c r="H124" s="346">
        <f t="shared" ref="H124:H131" si="18">+G124/C124*100</f>
        <v>100</v>
      </c>
      <c r="I124" s="346">
        <f t="shared" ref="I124:I132" si="19">(D124*H124)/100</f>
        <v>12.882</v>
      </c>
      <c r="J124" s="443">
        <f t="shared" ref="J124:J131" si="20">C124-G124</f>
        <v>0</v>
      </c>
      <c r="K124" s="441"/>
    </row>
    <row r="125" spans="1:11" x14ac:dyDescent="0.2">
      <c r="A125" s="442" t="s">
        <v>62</v>
      </c>
      <c r="B125" s="441" t="s">
        <v>307</v>
      </c>
      <c r="C125" s="397">
        <v>2923000</v>
      </c>
      <c r="D125" s="369">
        <f>C125/C121*100</f>
        <v>2.923</v>
      </c>
      <c r="E125" s="346">
        <f t="shared" si="16"/>
        <v>0</v>
      </c>
      <c r="F125" s="346">
        <f t="shared" si="17"/>
        <v>0</v>
      </c>
      <c r="G125" s="347"/>
      <c r="H125" s="346">
        <f t="shared" si="18"/>
        <v>0</v>
      </c>
      <c r="I125" s="346">
        <f t="shared" si="19"/>
        <v>0</v>
      </c>
      <c r="J125" s="443">
        <f t="shared" si="20"/>
        <v>2923000</v>
      </c>
      <c r="K125" s="441"/>
    </row>
    <row r="126" spans="1:11" x14ac:dyDescent="0.2">
      <c r="A126" s="442" t="s">
        <v>77</v>
      </c>
      <c r="B126" s="444" t="s">
        <v>143</v>
      </c>
      <c r="C126" s="397">
        <v>19075000</v>
      </c>
      <c r="D126" s="369">
        <f>C126/C122*100</f>
        <v>19.074999999999999</v>
      </c>
      <c r="E126" s="346">
        <f t="shared" si="16"/>
        <v>0</v>
      </c>
      <c r="F126" s="346">
        <f t="shared" si="17"/>
        <v>0</v>
      </c>
      <c r="G126" s="347">
        <v>0</v>
      </c>
      <c r="H126" s="346">
        <f t="shared" si="18"/>
        <v>0</v>
      </c>
      <c r="I126" s="346">
        <f t="shared" si="19"/>
        <v>0</v>
      </c>
      <c r="J126" s="443">
        <f t="shared" si="20"/>
        <v>19075000</v>
      </c>
      <c r="K126" s="441"/>
    </row>
    <row r="127" spans="1:11" x14ac:dyDescent="0.2">
      <c r="A127" s="442" t="s">
        <v>46</v>
      </c>
      <c r="B127" s="441" t="s">
        <v>47</v>
      </c>
      <c r="C127" s="397">
        <v>26000000</v>
      </c>
      <c r="D127" s="369">
        <f>C127/C121*100</f>
        <v>26</v>
      </c>
      <c r="E127" s="346">
        <f t="shared" si="16"/>
        <v>100</v>
      </c>
      <c r="F127" s="346">
        <f t="shared" si="17"/>
        <v>26</v>
      </c>
      <c r="G127" s="347">
        <f>4800000+2400000+2400000+2000000+2400000+4800000+2400000+2400000+2400000</f>
        <v>26000000</v>
      </c>
      <c r="H127" s="346">
        <f t="shared" si="18"/>
        <v>100</v>
      </c>
      <c r="I127" s="346">
        <f t="shared" si="19"/>
        <v>26</v>
      </c>
      <c r="J127" s="443">
        <f t="shared" si="20"/>
        <v>0</v>
      </c>
      <c r="K127" s="441"/>
    </row>
    <row r="128" spans="1:11" x14ac:dyDescent="0.2">
      <c r="A128" s="442" t="s">
        <v>48</v>
      </c>
      <c r="B128" s="441" t="s">
        <v>49</v>
      </c>
      <c r="C128" s="397">
        <v>7200000</v>
      </c>
      <c r="D128" s="369">
        <f>C128/C122*100</f>
        <v>7.1999999999999993</v>
      </c>
      <c r="E128" s="346">
        <f t="shared" si="16"/>
        <v>0</v>
      </c>
      <c r="F128" s="346">
        <f t="shared" si="17"/>
        <v>0</v>
      </c>
      <c r="G128" s="347"/>
      <c r="H128" s="346">
        <f t="shared" si="18"/>
        <v>0</v>
      </c>
      <c r="I128" s="346">
        <f t="shared" si="19"/>
        <v>0</v>
      </c>
      <c r="J128" s="443">
        <f t="shared" si="20"/>
        <v>7200000</v>
      </c>
      <c r="K128" s="441"/>
    </row>
    <row r="129" spans="1:11" x14ac:dyDescent="0.2">
      <c r="A129" s="442" t="s">
        <v>65</v>
      </c>
      <c r="B129" s="445" t="s">
        <v>286</v>
      </c>
      <c r="C129" s="397">
        <v>0</v>
      </c>
      <c r="D129" s="369">
        <f>C129/C122*100</f>
        <v>0</v>
      </c>
      <c r="E129" s="346" t="e">
        <f t="shared" si="16"/>
        <v>#DIV/0!</v>
      </c>
      <c r="F129" s="346" t="e">
        <f t="shared" si="17"/>
        <v>#DIV/0!</v>
      </c>
      <c r="G129" s="347">
        <v>0</v>
      </c>
      <c r="H129" s="346" t="e">
        <f t="shared" si="18"/>
        <v>#DIV/0!</v>
      </c>
      <c r="I129" s="346" t="e">
        <f t="shared" si="19"/>
        <v>#DIV/0!</v>
      </c>
      <c r="J129" s="443">
        <f t="shared" si="20"/>
        <v>0</v>
      </c>
      <c r="K129" s="441"/>
    </row>
    <row r="130" spans="1:11" x14ac:dyDescent="0.2">
      <c r="A130" s="442" t="s">
        <v>301</v>
      </c>
      <c r="B130" s="441" t="s">
        <v>269</v>
      </c>
      <c r="C130" s="397">
        <v>12000000</v>
      </c>
      <c r="D130" s="369">
        <f>C130/C122*100</f>
        <v>12</v>
      </c>
      <c r="E130" s="346">
        <f t="shared" si="16"/>
        <v>100</v>
      </c>
      <c r="F130" s="346">
        <f t="shared" si="17"/>
        <v>12</v>
      </c>
      <c r="G130" s="347">
        <v>12000000</v>
      </c>
      <c r="H130" s="346">
        <f t="shared" si="18"/>
        <v>100</v>
      </c>
      <c r="I130" s="346">
        <f t="shared" si="19"/>
        <v>12</v>
      </c>
      <c r="J130" s="443">
        <f t="shared" si="20"/>
        <v>0</v>
      </c>
      <c r="K130" s="441"/>
    </row>
    <row r="131" spans="1:11" x14ac:dyDescent="0.2">
      <c r="A131" s="442" t="s">
        <v>275</v>
      </c>
      <c r="B131" s="441" t="s">
        <v>302</v>
      </c>
      <c r="C131" s="397">
        <v>3000000</v>
      </c>
      <c r="D131" s="369">
        <f>C131/C122*100</f>
        <v>3</v>
      </c>
      <c r="E131" s="346">
        <f t="shared" si="16"/>
        <v>100</v>
      </c>
      <c r="F131" s="346">
        <f t="shared" si="17"/>
        <v>3</v>
      </c>
      <c r="G131" s="347">
        <v>3000000</v>
      </c>
      <c r="H131" s="346">
        <f t="shared" si="18"/>
        <v>100</v>
      </c>
      <c r="I131" s="346">
        <f t="shared" si="19"/>
        <v>3</v>
      </c>
      <c r="J131" s="443">
        <f t="shared" si="20"/>
        <v>0</v>
      </c>
      <c r="K131" s="441"/>
    </row>
    <row r="132" spans="1:11" s="328" customFormat="1" x14ac:dyDescent="0.2">
      <c r="A132" s="1007" t="s">
        <v>128</v>
      </c>
      <c r="B132" s="1008"/>
      <c r="C132" s="446" t="s">
        <v>144</v>
      </c>
      <c r="D132" s="447">
        <f>SUM(D127:D131)</f>
        <v>48.2</v>
      </c>
      <c r="E132" s="448">
        <f>G132/C121*100</f>
        <v>41</v>
      </c>
      <c r="F132" s="449">
        <f>(D132*E132)/100</f>
        <v>19.762</v>
      </c>
      <c r="G132" s="450">
        <f>SUM(G126:G131)</f>
        <v>41000000</v>
      </c>
      <c r="H132" s="448">
        <f>+G132/C121*100</f>
        <v>41</v>
      </c>
      <c r="I132" s="449">
        <f t="shared" si="19"/>
        <v>19.762</v>
      </c>
      <c r="J132" s="451">
        <f>SUM(J124:J131)</f>
        <v>29198000</v>
      </c>
      <c r="K132" s="452"/>
    </row>
    <row r="133" spans="1:11" s="328" customFormat="1" x14ac:dyDescent="0.2">
      <c r="A133" s="376"/>
      <c r="B133" s="377"/>
      <c r="C133" s="376"/>
      <c r="D133" s="453"/>
      <c r="E133" s="454"/>
      <c r="F133" s="455"/>
      <c r="G133" s="456"/>
      <c r="H133" s="457"/>
      <c r="I133" s="455"/>
      <c r="J133" s="458"/>
      <c r="K133" s="453"/>
    </row>
    <row r="134" spans="1:11" s="328" customFormat="1" x14ac:dyDescent="0.2">
      <c r="A134" s="417"/>
      <c r="C134" s="417"/>
      <c r="E134" s="378"/>
      <c r="F134" s="378"/>
      <c r="G134" s="379"/>
      <c r="H134" s="378"/>
      <c r="I134" s="378"/>
    </row>
    <row r="135" spans="1:11" s="328" customFormat="1" x14ac:dyDescent="0.2">
      <c r="A135" s="459"/>
      <c r="B135" s="421"/>
      <c r="C135" s="460"/>
      <c r="D135" s="421"/>
      <c r="E135" s="422"/>
      <c r="F135" s="422"/>
      <c r="G135" s="424"/>
      <c r="H135" s="423"/>
      <c r="I135" s="423"/>
      <c r="J135" s="323"/>
      <c r="K135" s="323"/>
    </row>
    <row r="136" spans="1:11" s="328" customFormat="1" x14ac:dyDescent="0.2">
      <c r="A136" s="1009" t="s">
        <v>304</v>
      </c>
      <c r="B136" s="1012" t="s">
        <v>308</v>
      </c>
      <c r="C136" s="461" t="s">
        <v>309</v>
      </c>
      <c r="D136" s="1001" t="s">
        <v>5</v>
      </c>
      <c r="E136" s="1002"/>
      <c r="F136" s="1003"/>
      <c r="G136" s="1004" t="s">
        <v>6</v>
      </c>
      <c r="H136" s="1005"/>
      <c r="I136" s="1006"/>
      <c r="J136" s="980" t="s">
        <v>7</v>
      </c>
      <c r="K136" s="425" t="s">
        <v>8</v>
      </c>
    </row>
    <row r="137" spans="1:11" s="328" customFormat="1" x14ac:dyDescent="0.2">
      <c r="A137" s="1010"/>
      <c r="B137" s="1013"/>
      <c r="C137" s="462" t="s">
        <v>310</v>
      </c>
      <c r="D137" s="429" t="s">
        <v>9</v>
      </c>
      <c r="E137" s="427" t="s">
        <v>10</v>
      </c>
      <c r="F137" s="427" t="s">
        <v>11</v>
      </c>
      <c r="G137" s="428" t="s">
        <v>12</v>
      </c>
      <c r="H137" s="427" t="s">
        <v>13</v>
      </c>
      <c r="I137" s="427" t="s">
        <v>11</v>
      </c>
      <c r="J137" s="981"/>
      <c r="K137" s="429"/>
    </row>
    <row r="138" spans="1:11" s="328" customFormat="1" x14ac:dyDescent="0.2">
      <c r="A138" s="1011"/>
      <c r="B138" s="1014"/>
      <c r="C138" s="463"/>
      <c r="D138" s="433" t="s">
        <v>14</v>
      </c>
      <c r="E138" s="431" t="s">
        <v>14</v>
      </c>
      <c r="F138" s="431" t="s">
        <v>14</v>
      </c>
      <c r="G138" s="432" t="s">
        <v>15</v>
      </c>
      <c r="H138" s="431" t="s">
        <v>14</v>
      </c>
      <c r="I138" s="431" t="s">
        <v>14</v>
      </c>
      <c r="J138" s="433" t="s">
        <v>15</v>
      </c>
      <c r="K138" s="433"/>
    </row>
    <row r="139" spans="1:11" s="328" customFormat="1" ht="25.5" x14ac:dyDescent="0.2">
      <c r="A139" s="464"/>
      <c r="B139" s="389" t="s">
        <v>96</v>
      </c>
      <c r="C139" s="465">
        <f>C140</f>
        <v>99999600</v>
      </c>
      <c r="D139" s="329"/>
      <c r="E139" s="330"/>
      <c r="F139" s="330"/>
      <c r="G139" s="331"/>
      <c r="H139" s="330"/>
      <c r="I139" s="330"/>
      <c r="J139" s="329"/>
      <c r="K139" s="329"/>
    </row>
    <row r="140" spans="1:11" s="328" customFormat="1" x14ac:dyDescent="0.2">
      <c r="A140" s="466"/>
      <c r="B140" s="393" t="s">
        <v>97</v>
      </c>
      <c r="C140" s="467">
        <f>SUM(C141:C148)</f>
        <v>99999600</v>
      </c>
      <c r="D140" s="468"/>
      <c r="E140" s="468"/>
      <c r="F140" s="468"/>
      <c r="G140" s="469"/>
      <c r="H140" s="468"/>
      <c r="I140" s="468"/>
      <c r="J140" s="470"/>
      <c r="K140" s="470"/>
    </row>
    <row r="141" spans="1:11" s="328" customFormat="1" x14ac:dyDescent="0.2">
      <c r="A141" s="471" t="s">
        <v>44</v>
      </c>
      <c r="B141" s="472" t="s">
        <v>19</v>
      </c>
      <c r="C141" s="473">
        <v>17280000</v>
      </c>
      <c r="D141" s="369">
        <f>C141/C140*100</f>
        <v>17.28006912027648</v>
      </c>
      <c r="E141" s="346">
        <f>G141/C141*100</f>
        <v>97.222222222222214</v>
      </c>
      <c r="F141" s="346">
        <f>(D141*E141)/100</f>
        <v>16.800067200268799</v>
      </c>
      <c r="G141" s="347">
        <f>6240000+1040000+7120000+2400000</f>
        <v>16800000</v>
      </c>
      <c r="H141" s="346">
        <f>+G141/C141*100</f>
        <v>97.222222222222214</v>
      </c>
      <c r="I141" s="346">
        <f>(D141*H141)/100</f>
        <v>16.800067200268799</v>
      </c>
      <c r="J141" s="443">
        <f>C141-G141</f>
        <v>480000</v>
      </c>
      <c r="K141" s="441"/>
    </row>
    <row r="142" spans="1:11" s="328" customFormat="1" x14ac:dyDescent="0.2">
      <c r="A142" s="471" t="s">
        <v>59</v>
      </c>
      <c r="B142" s="474" t="s">
        <v>311</v>
      </c>
      <c r="C142" s="473">
        <v>15357600</v>
      </c>
      <c r="D142" s="369">
        <f>C142/C140*100</f>
        <v>15.357661430645722</v>
      </c>
      <c r="E142" s="346">
        <f t="shared" ref="E142:E148" si="21">G142/C142*100</f>
        <v>100</v>
      </c>
      <c r="F142" s="346">
        <f t="shared" ref="F142:F148" si="22">(D142*E142)/100</f>
        <v>15.357661430645722</v>
      </c>
      <c r="G142" s="347">
        <v>15357600</v>
      </c>
      <c r="H142" s="346">
        <f t="shared" ref="H142:H148" si="23">+G142/C142*100</f>
        <v>100</v>
      </c>
      <c r="I142" s="346">
        <f t="shared" ref="I142:I148" si="24">(D142*H142)/100</f>
        <v>15.357661430645722</v>
      </c>
      <c r="J142" s="443">
        <f t="shared" ref="J142:J148" si="25">C142-G142</f>
        <v>0</v>
      </c>
      <c r="K142" s="441"/>
    </row>
    <row r="143" spans="1:11" s="328" customFormat="1" x14ac:dyDescent="0.2">
      <c r="A143" s="471"/>
      <c r="B143" s="474" t="s">
        <v>312</v>
      </c>
      <c r="C143" s="473">
        <v>1162000</v>
      </c>
      <c r="D143" s="369">
        <f>C143/C139*100</f>
        <v>1.1620046480185922</v>
      </c>
      <c r="E143" s="346">
        <f t="shared" si="21"/>
        <v>0</v>
      </c>
      <c r="F143" s="346">
        <f t="shared" si="22"/>
        <v>0</v>
      </c>
      <c r="G143" s="347"/>
      <c r="H143" s="346">
        <f t="shared" si="23"/>
        <v>0</v>
      </c>
      <c r="I143" s="346">
        <f t="shared" si="24"/>
        <v>0</v>
      </c>
      <c r="J143" s="443">
        <f t="shared" si="25"/>
        <v>1162000</v>
      </c>
      <c r="K143" s="441"/>
    </row>
    <row r="144" spans="1:11" s="328" customFormat="1" x14ac:dyDescent="0.2">
      <c r="A144" s="471" t="s">
        <v>77</v>
      </c>
      <c r="B144" s="474" t="s">
        <v>103</v>
      </c>
      <c r="C144" s="473">
        <v>9900000</v>
      </c>
      <c r="D144" s="369">
        <f>C144/C140*100</f>
        <v>9.9000396001584008</v>
      </c>
      <c r="E144" s="346">
        <f t="shared" si="21"/>
        <v>0</v>
      </c>
      <c r="F144" s="346">
        <f t="shared" si="22"/>
        <v>0</v>
      </c>
      <c r="G144" s="347">
        <v>0</v>
      </c>
      <c r="H144" s="346">
        <f t="shared" si="23"/>
        <v>0</v>
      </c>
      <c r="I144" s="346">
        <f t="shared" si="24"/>
        <v>0</v>
      </c>
      <c r="J144" s="443">
        <f t="shared" si="25"/>
        <v>9900000</v>
      </c>
      <c r="K144" s="441"/>
    </row>
    <row r="145" spans="1:11" s="328" customFormat="1" x14ac:dyDescent="0.2">
      <c r="A145" s="471" t="s">
        <v>46</v>
      </c>
      <c r="B145" s="474" t="s">
        <v>47</v>
      </c>
      <c r="C145" s="475">
        <v>37750000</v>
      </c>
      <c r="D145" s="369">
        <f>C145/C139*100</f>
        <v>37.750151000604006</v>
      </c>
      <c r="E145" s="346">
        <f t="shared" si="21"/>
        <v>78.145695364238406</v>
      </c>
      <c r="F145" s="346">
        <f t="shared" si="22"/>
        <v>29.500118000472003</v>
      </c>
      <c r="G145" s="347">
        <f>11000000+2750000+5500000+2000000+5500000+2750000</f>
        <v>29500000</v>
      </c>
      <c r="H145" s="346">
        <f t="shared" si="23"/>
        <v>78.145695364238406</v>
      </c>
      <c r="I145" s="346">
        <f t="shared" si="24"/>
        <v>29.500118000472003</v>
      </c>
      <c r="J145" s="443">
        <f t="shared" si="25"/>
        <v>8250000</v>
      </c>
      <c r="K145" s="441"/>
    </row>
    <row r="146" spans="1:11" s="328" customFormat="1" x14ac:dyDescent="0.2">
      <c r="A146" s="476" t="s">
        <v>65</v>
      </c>
      <c r="B146" s="477" t="s">
        <v>286</v>
      </c>
      <c r="C146" s="478">
        <v>0</v>
      </c>
      <c r="D146" s="369">
        <f t="shared" ref="D146" si="26">C146/C140*100</f>
        <v>0</v>
      </c>
      <c r="E146" s="346">
        <v>0</v>
      </c>
      <c r="F146" s="346">
        <f t="shared" si="22"/>
        <v>0</v>
      </c>
      <c r="G146" s="479"/>
      <c r="H146" s="346">
        <v>0</v>
      </c>
      <c r="I146" s="346">
        <f t="shared" si="24"/>
        <v>0</v>
      </c>
      <c r="J146" s="443">
        <f t="shared" si="25"/>
        <v>0</v>
      </c>
      <c r="K146" s="441"/>
    </row>
    <row r="147" spans="1:11" s="328" customFormat="1" x14ac:dyDescent="0.2">
      <c r="A147" s="480"/>
      <c r="B147" s="481" t="s">
        <v>313</v>
      </c>
      <c r="C147" s="482">
        <v>6550000</v>
      </c>
      <c r="D147" s="369">
        <f>C147/C140*100</f>
        <v>6.5500262001048002</v>
      </c>
      <c r="E147" s="346">
        <f t="shared" si="21"/>
        <v>0</v>
      </c>
      <c r="F147" s="346">
        <f t="shared" si="22"/>
        <v>0</v>
      </c>
      <c r="G147" s="347"/>
      <c r="H147" s="346">
        <f t="shared" si="23"/>
        <v>0</v>
      </c>
      <c r="I147" s="346">
        <f t="shared" si="24"/>
        <v>0</v>
      </c>
      <c r="J147" s="443">
        <f t="shared" si="25"/>
        <v>6550000</v>
      </c>
      <c r="K147" s="483"/>
    </row>
    <row r="148" spans="1:11" s="328" customFormat="1" x14ac:dyDescent="0.2">
      <c r="A148" s="480"/>
      <c r="B148" s="481" t="s">
        <v>314</v>
      </c>
      <c r="C148" s="482">
        <v>12000000</v>
      </c>
      <c r="D148" s="369">
        <f>C148/C140*100</f>
        <v>12.000048000192001</v>
      </c>
      <c r="E148" s="346">
        <f t="shared" si="21"/>
        <v>0</v>
      </c>
      <c r="F148" s="346">
        <f t="shared" si="22"/>
        <v>0</v>
      </c>
      <c r="G148" s="347"/>
      <c r="H148" s="346">
        <f t="shared" si="23"/>
        <v>0</v>
      </c>
      <c r="I148" s="346">
        <f t="shared" si="24"/>
        <v>0</v>
      </c>
      <c r="J148" s="443">
        <f t="shared" si="25"/>
        <v>12000000</v>
      </c>
      <c r="K148" s="483"/>
    </row>
    <row r="149" spans="1:11" x14ac:dyDescent="0.2">
      <c r="A149" s="998" t="s">
        <v>95</v>
      </c>
      <c r="B149" s="999"/>
      <c r="C149" s="1000"/>
      <c r="D149" s="452">
        <f>SUM(D140:D146)</f>
        <v>81.449925799703209</v>
      </c>
      <c r="E149" s="448">
        <f>G149/C140*100</f>
        <v>44.85777943111772</v>
      </c>
      <c r="F149" s="449">
        <f>SUM(F140:F146)</f>
        <v>61.657846631386519</v>
      </c>
      <c r="G149" s="450">
        <f>SUM(G142:G146)</f>
        <v>44857600</v>
      </c>
      <c r="H149" s="484">
        <f>G149/C140*100</f>
        <v>44.85777943111772</v>
      </c>
      <c r="I149" s="449">
        <f>SUM(I140:I146)</f>
        <v>61.657846631386519</v>
      </c>
      <c r="J149" s="450">
        <f>SUM(J140:J146)</f>
        <v>19792000</v>
      </c>
      <c r="K149" s="336">
        <f>SUM(K140:K146)</f>
        <v>0</v>
      </c>
    </row>
    <row r="150" spans="1:11" x14ac:dyDescent="0.2">
      <c r="A150" s="376"/>
      <c r="B150" s="377"/>
      <c r="C150" s="376"/>
      <c r="D150" s="453"/>
      <c r="E150" s="454"/>
      <c r="F150" s="455"/>
      <c r="G150" s="456"/>
      <c r="H150" s="457"/>
      <c r="I150" s="455"/>
      <c r="J150" s="456"/>
      <c r="K150" s="485"/>
    </row>
    <row r="151" spans="1:11" x14ac:dyDescent="0.2">
      <c r="A151" s="376"/>
      <c r="B151" s="377"/>
      <c r="C151" s="376"/>
      <c r="D151" s="453"/>
      <c r="E151" s="454"/>
      <c r="F151" s="455"/>
      <c r="G151" s="456"/>
      <c r="H151" s="457"/>
      <c r="I151" s="455"/>
      <c r="J151" s="456"/>
      <c r="K151" s="485"/>
    </row>
    <row r="152" spans="1:11" x14ac:dyDescent="0.2">
      <c r="A152" s="486"/>
      <c r="B152" s="487"/>
      <c r="C152" s="488"/>
      <c r="D152" s="421"/>
      <c r="E152" s="422"/>
      <c r="F152" s="422"/>
    </row>
    <row r="153" spans="1:11" x14ac:dyDescent="0.2">
      <c r="A153" s="980" t="s">
        <v>132</v>
      </c>
      <c r="B153" s="993" t="s">
        <v>133</v>
      </c>
      <c r="C153" s="489" t="s">
        <v>315</v>
      </c>
      <c r="D153" s="1001" t="s">
        <v>5</v>
      </c>
      <c r="E153" s="1002"/>
      <c r="F153" s="1003"/>
      <c r="G153" s="1004" t="s">
        <v>6</v>
      </c>
      <c r="H153" s="1005"/>
      <c r="I153" s="1006"/>
      <c r="J153" s="980" t="s">
        <v>7</v>
      </c>
      <c r="K153" s="425" t="s">
        <v>8</v>
      </c>
    </row>
    <row r="154" spans="1:11" x14ac:dyDescent="0.2">
      <c r="A154" s="982"/>
      <c r="B154" s="992"/>
      <c r="C154" s="490" t="s">
        <v>316</v>
      </c>
      <c r="D154" s="429" t="s">
        <v>9</v>
      </c>
      <c r="E154" s="427" t="s">
        <v>10</v>
      </c>
      <c r="F154" s="427" t="s">
        <v>11</v>
      </c>
      <c r="G154" s="428" t="s">
        <v>12</v>
      </c>
      <c r="H154" s="427" t="s">
        <v>13</v>
      </c>
      <c r="I154" s="427" t="s">
        <v>11</v>
      </c>
      <c r="J154" s="981"/>
      <c r="K154" s="429"/>
    </row>
    <row r="155" spans="1:11" x14ac:dyDescent="0.2">
      <c r="A155" s="981"/>
      <c r="B155" s="994"/>
      <c r="C155" s="491" t="s">
        <v>15</v>
      </c>
      <c r="D155" s="433" t="s">
        <v>14</v>
      </c>
      <c r="E155" s="431" t="s">
        <v>14</v>
      </c>
      <c r="F155" s="431" t="s">
        <v>14</v>
      </c>
      <c r="G155" s="432" t="s">
        <v>15</v>
      </c>
      <c r="H155" s="431" t="s">
        <v>14</v>
      </c>
      <c r="I155" s="431" t="s">
        <v>14</v>
      </c>
      <c r="J155" s="433" t="s">
        <v>15</v>
      </c>
      <c r="K155" s="433"/>
    </row>
    <row r="156" spans="1:11" ht="25.5" x14ac:dyDescent="0.2">
      <c r="A156" s="492"/>
      <c r="B156" s="389" t="s">
        <v>96</v>
      </c>
      <c r="C156" s="493">
        <f>C157</f>
        <v>99998500</v>
      </c>
      <c r="D156" s="437"/>
      <c r="E156" s="339"/>
      <c r="F156" s="339"/>
      <c r="G156" s="340"/>
      <c r="H156" s="339"/>
      <c r="I156" s="339"/>
      <c r="J156" s="437"/>
      <c r="K156" s="437"/>
    </row>
    <row r="157" spans="1:11" x14ac:dyDescent="0.2">
      <c r="A157" s="492"/>
      <c r="B157" s="393" t="s">
        <v>97</v>
      </c>
      <c r="C157" s="493">
        <f>SUM(C158:C167)</f>
        <v>99998500</v>
      </c>
      <c r="D157" s="494"/>
      <c r="E157" s="495"/>
      <c r="F157" s="495"/>
      <c r="G157" s="496"/>
      <c r="H157" s="495"/>
      <c r="I157" s="495"/>
      <c r="J157" s="494"/>
      <c r="K157" s="494"/>
    </row>
    <row r="158" spans="1:11" x14ac:dyDescent="0.2">
      <c r="A158" s="497" t="s">
        <v>44</v>
      </c>
      <c r="B158" s="498" t="s">
        <v>134</v>
      </c>
      <c r="C158" s="499">
        <v>17880000</v>
      </c>
      <c r="D158" s="369">
        <f>C158/C157*100</f>
        <v>17.880268204023061</v>
      </c>
      <c r="E158" s="346">
        <f>G158/C158*100</f>
        <v>0</v>
      </c>
      <c r="F158" s="346">
        <f>(D158*E158)/100</f>
        <v>0</v>
      </c>
      <c r="G158" s="347"/>
      <c r="H158" s="346">
        <f>+G158/C158*100</f>
        <v>0</v>
      </c>
      <c r="I158" s="346">
        <f>(D158*H158)/100</f>
        <v>0</v>
      </c>
      <c r="J158" s="443">
        <f>C158-G158</f>
        <v>17880000</v>
      </c>
      <c r="K158" s="441"/>
    </row>
    <row r="159" spans="1:11" x14ac:dyDescent="0.2">
      <c r="A159" s="497" t="s">
        <v>59</v>
      </c>
      <c r="B159" s="500" t="s">
        <v>317</v>
      </c>
      <c r="C159" s="501">
        <v>4718500</v>
      </c>
      <c r="D159" s="369">
        <f>C159/C157*100</f>
        <v>4.7185707785616788</v>
      </c>
      <c r="E159" s="346">
        <f t="shared" ref="E159:E167" si="27">G159/C159*100</f>
        <v>0</v>
      </c>
      <c r="F159" s="346">
        <f t="shared" ref="F159:F168" si="28">(D159*E159)/100</f>
        <v>0</v>
      </c>
      <c r="G159" s="502"/>
      <c r="H159" s="346">
        <f t="shared" ref="H159:H167" si="29">+G159/C159*100</f>
        <v>0</v>
      </c>
      <c r="I159" s="346">
        <f t="shared" ref="I159:I168" si="30">(D159*H159)/100</f>
        <v>0</v>
      </c>
      <c r="J159" s="443">
        <f t="shared" ref="J159:J167" si="31">C159-G159</f>
        <v>4718500</v>
      </c>
      <c r="K159" s="441"/>
    </row>
    <row r="160" spans="1:11" x14ac:dyDescent="0.2">
      <c r="A160" s="497"/>
      <c r="B160" s="500" t="s">
        <v>318</v>
      </c>
      <c r="C160" s="501">
        <v>650000</v>
      </c>
      <c r="D160" s="369">
        <f>C160/C156*100</f>
        <v>0.65000975014625229</v>
      </c>
      <c r="E160" s="346">
        <f t="shared" si="27"/>
        <v>0</v>
      </c>
      <c r="F160" s="346">
        <f t="shared" si="28"/>
        <v>0</v>
      </c>
      <c r="G160" s="502"/>
      <c r="H160" s="346">
        <f t="shared" si="29"/>
        <v>0</v>
      </c>
      <c r="I160" s="346">
        <f t="shared" si="30"/>
        <v>0</v>
      </c>
      <c r="J160" s="443">
        <f t="shared" si="31"/>
        <v>650000</v>
      </c>
      <c r="K160" s="441"/>
    </row>
    <row r="161" spans="1:13" x14ac:dyDescent="0.2">
      <c r="A161" s="497" t="s">
        <v>77</v>
      </c>
      <c r="B161" s="441" t="s">
        <v>135</v>
      </c>
      <c r="C161" s="503">
        <v>4200000</v>
      </c>
      <c r="D161" s="369">
        <f>C161/C157*100</f>
        <v>4.2000630009450139</v>
      </c>
      <c r="E161" s="346">
        <f t="shared" si="27"/>
        <v>0</v>
      </c>
      <c r="F161" s="346">
        <f t="shared" si="28"/>
        <v>0</v>
      </c>
      <c r="G161" s="504">
        <v>0</v>
      </c>
      <c r="H161" s="346">
        <f t="shared" si="29"/>
        <v>0</v>
      </c>
      <c r="I161" s="346">
        <f t="shared" si="30"/>
        <v>0</v>
      </c>
      <c r="J161" s="443">
        <f t="shared" si="31"/>
        <v>4200000</v>
      </c>
      <c r="K161" s="441"/>
    </row>
    <row r="162" spans="1:13" x14ac:dyDescent="0.2">
      <c r="A162" s="497" t="s">
        <v>46</v>
      </c>
      <c r="B162" s="441" t="s">
        <v>319</v>
      </c>
      <c r="C162" s="499">
        <v>42000000</v>
      </c>
      <c r="D162" s="369">
        <f>C162/C156*100</f>
        <v>42.000630009450141</v>
      </c>
      <c r="E162" s="346">
        <f t="shared" si="27"/>
        <v>100</v>
      </c>
      <c r="F162" s="346">
        <f t="shared" si="28"/>
        <v>42.000630009450141</v>
      </c>
      <c r="G162" s="505">
        <f>15600000+3000000+7800000+3900000+3900000+7800000</f>
        <v>42000000</v>
      </c>
      <c r="H162" s="346">
        <f t="shared" si="29"/>
        <v>100</v>
      </c>
      <c r="I162" s="346">
        <f t="shared" si="30"/>
        <v>42.000630009450141</v>
      </c>
      <c r="J162" s="443">
        <f t="shared" si="31"/>
        <v>0</v>
      </c>
      <c r="K162" s="441"/>
      <c r="M162" s="323">
        <v>30300000</v>
      </c>
    </row>
    <row r="163" spans="1:13" x14ac:dyDescent="0.2">
      <c r="B163" s="441" t="s">
        <v>120</v>
      </c>
      <c r="C163" s="503">
        <v>0</v>
      </c>
      <c r="D163" s="369">
        <f>C163/C157*100</f>
        <v>0</v>
      </c>
      <c r="E163" s="346">
        <v>0</v>
      </c>
      <c r="F163" s="346">
        <f t="shared" si="28"/>
        <v>0</v>
      </c>
      <c r="G163" s="504">
        <v>0</v>
      </c>
      <c r="H163" s="346">
        <v>0</v>
      </c>
      <c r="I163" s="346">
        <f t="shared" si="30"/>
        <v>0</v>
      </c>
      <c r="J163" s="443">
        <f t="shared" si="31"/>
        <v>0</v>
      </c>
      <c r="K163" s="441"/>
      <c r="M163" s="401">
        <f>M162-G162</f>
        <v>-11700000</v>
      </c>
    </row>
    <row r="164" spans="1:13" x14ac:dyDescent="0.2">
      <c r="A164" s="497" t="s">
        <v>320</v>
      </c>
      <c r="B164" s="441" t="s">
        <v>321</v>
      </c>
      <c r="C164" s="499">
        <v>0</v>
      </c>
      <c r="D164" s="369">
        <f>C164/C157*100</f>
        <v>0</v>
      </c>
      <c r="E164" s="346">
        <v>0</v>
      </c>
      <c r="F164" s="346">
        <f t="shared" si="28"/>
        <v>0</v>
      </c>
      <c r="G164" s="504"/>
      <c r="H164" s="346">
        <v>0</v>
      </c>
      <c r="I164" s="346">
        <f t="shared" si="30"/>
        <v>0</v>
      </c>
      <c r="J164" s="443">
        <f t="shared" si="31"/>
        <v>0</v>
      </c>
      <c r="K164" s="441"/>
    </row>
    <row r="165" spans="1:13" x14ac:dyDescent="0.2">
      <c r="A165" s="497" t="s">
        <v>322</v>
      </c>
      <c r="B165" s="441" t="s">
        <v>323</v>
      </c>
      <c r="C165" s="499">
        <v>11050000</v>
      </c>
      <c r="D165" s="346">
        <f>C165/C156*100</f>
        <v>11.050165752486288</v>
      </c>
      <c r="E165" s="346">
        <f t="shared" si="27"/>
        <v>0</v>
      </c>
      <c r="F165" s="346">
        <f t="shared" si="28"/>
        <v>0</v>
      </c>
      <c r="G165" s="504"/>
      <c r="H165" s="346">
        <f t="shared" si="29"/>
        <v>0</v>
      </c>
      <c r="I165" s="346">
        <f t="shared" si="30"/>
        <v>0</v>
      </c>
      <c r="J165" s="443">
        <f t="shared" si="31"/>
        <v>11050000</v>
      </c>
      <c r="K165" s="441"/>
    </row>
    <row r="166" spans="1:13" s="328" customFormat="1" x14ac:dyDescent="0.2">
      <c r="A166" s="497" t="s">
        <v>324</v>
      </c>
      <c r="B166" s="441" t="s">
        <v>325</v>
      </c>
      <c r="C166" s="499">
        <v>7500000</v>
      </c>
      <c r="D166" s="346">
        <f>C166/C157*100</f>
        <v>7.500112501687525</v>
      </c>
      <c r="E166" s="346">
        <f t="shared" si="27"/>
        <v>100</v>
      </c>
      <c r="F166" s="346">
        <f t="shared" si="28"/>
        <v>7.5001125016875241</v>
      </c>
      <c r="G166" s="504">
        <v>7500000</v>
      </c>
      <c r="H166" s="346">
        <f t="shared" si="29"/>
        <v>100</v>
      </c>
      <c r="I166" s="346">
        <f t="shared" si="30"/>
        <v>7.5001125016875241</v>
      </c>
      <c r="J166" s="443">
        <f t="shared" si="31"/>
        <v>0</v>
      </c>
      <c r="K166" s="441"/>
    </row>
    <row r="167" spans="1:13" s="328" customFormat="1" x14ac:dyDescent="0.2">
      <c r="A167" s="497" t="s">
        <v>275</v>
      </c>
      <c r="B167" s="441" t="s">
        <v>269</v>
      </c>
      <c r="C167" s="503">
        <v>12000000</v>
      </c>
      <c r="D167" s="346">
        <f>C167/C157*100</f>
        <v>12.000180002700041</v>
      </c>
      <c r="E167" s="346">
        <f t="shared" si="27"/>
        <v>100</v>
      </c>
      <c r="F167" s="346">
        <f t="shared" si="28"/>
        <v>12.000180002700041</v>
      </c>
      <c r="G167" s="504">
        <v>12000000</v>
      </c>
      <c r="H167" s="346">
        <f t="shared" si="29"/>
        <v>100</v>
      </c>
      <c r="I167" s="346">
        <f t="shared" si="30"/>
        <v>12.000180002700041</v>
      </c>
      <c r="J167" s="443">
        <f t="shared" si="31"/>
        <v>0</v>
      </c>
      <c r="K167" s="441"/>
    </row>
    <row r="168" spans="1:13" s="328" customFormat="1" x14ac:dyDescent="0.2">
      <c r="A168" s="497"/>
      <c r="B168" s="507" t="s">
        <v>136</v>
      </c>
      <c r="C168" s="508">
        <f>SUM(C158:C167)</f>
        <v>99998500</v>
      </c>
      <c r="D168" s="509">
        <f>SUM(D161:D167)</f>
        <v>76.751151267268995</v>
      </c>
      <c r="E168" s="510">
        <f>G168/C156*100</f>
        <v>61.500922513837708</v>
      </c>
      <c r="F168" s="511">
        <f t="shared" si="28"/>
        <v>47.202666069361477</v>
      </c>
      <c r="G168" s="512">
        <f>SUM(G161:G167)</f>
        <v>61500000</v>
      </c>
      <c r="H168" s="513">
        <f>+G168/C156*100</f>
        <v>61.500922513837708</v>
      </c>
      <c r="I168" s="511">
        <f t="shared" si="30"/>
        <v>47.202666069361477</v>
      </c>
      <c r="J168" s="514">
        <f>SUM(J161:J167)</f>
        <v>15250000</v>
      </c>
      <c r="K168" s="336"/>
    </row>
    <row r="169" spans="1:13" s="328" customFormat="1" x14ac:dyDescent="0.2">
      <c r="A169" s="376"/>
      <c r="B169" s="377"/>
      <c r="C169" s="376"/>
      <c r="D169" s="453"/>
      <c r="E169" s="454"/>
      <c r="F169" s="455"/>
      <c r="G169" s="456"/>
      <c r="H169" s="457"/>
      <c r="I169" s="455"/>
      <c r="J169" s="515"/>
      <c r="K169" s="485"/>
    </row>
    <row r="170" spans="1:13" s="328" customFormat="1" x14ac:dyDescent="0.2">
      <c r="A170" s="376"/>
      <c r="B170" s="377"/>
      <c r="C170" s="376"/>
      <c r="D170" s="453"/>
      <c r="E170" s="454"/>
      <c r="F170" s="455"/>
      <c r="G170" s="456"/>
      <c r="H170" s="457"/>
      <c r="I170" s="455"/>
      <c r="J170" s="515"/>
      <c r="K170" s="485"/>
    </row>
    <row r="171" spans="1:13" s="328" customFormat="1" x14ac:dyDescent="0.2">
      <c r="A171" s="376"/>
      <c r="B171" s="377"/>
      <c r="C171" s="376"/>
      <c r="D171" s="453"/>
      <c r="E171" s="454"/>
      <c r="F171" s="455"/>
      <c r="G171" s="456"/>
      <c r="H171" s="457"/>
      <c r="I171" s="455"/>
      <c r="J171" s="456"/>
      <c r="K171" s="485"/>
    </row>
    <row r="172" spans="1:13" s="328" customFormat="1" x14ac:dyDescent="0.2">
      <c r="A172" s="376"/>
      <c r="B172" s="377"/>
      <c r="C172" s="376"/>
      <c r="D172" s="453"/>
      <c r="E172" s="454"/>
      <c r="F172" s="455"/>
      <c r="G172" s="456"/>
      <c r="H172" s="457"/>
      <c r="I172" s="455"/>
      <c r="J172" s="456"/>
      <c r="K172" s="485"/>
    </row>
    <row r="173" spans="1:13" s="328" customFormat="1" x14ac:dyDescent="0.2">
      <c r="A173" s="376"/>
      <c r="B173" s="377"/>
      <c r="C173" s="376"/>
      <c r="D173" s="453"/>
      <c r="E173" s="454"/>
      <c r="F173" s="455"/>
      <c r="G173" s="456"/>
      <c r="H173" s="457"/>
      <c r="I173" s="455"/>
      <c r="J173" s="456"/>
      <c r="K173" s="485"/>
    </row>
    <row r="174" spans="1:13" s="328" customFormat="1" x14ac:dyDescent="0.2">
      <c r="A174" s="980" t="s">
        <v>304</v>
      </c>
      <c r="B174" s="993" t="s">
        <v>138</v>
      </c>
      <c r="C174" s="995" t="s">
        <v>326</v>
      </c>
      <c r="D174" s="986" t="s">
        <v>5</v>
      </c>
      <c r="E174" s="987"/>
      <c r="F174" s="987"/>
      <c r="G174" s="988" t="s">
        <v>6</v>
      </c>
      <c r="H174" s="987"/>
      <c r="I174" s="987"/>
      <c r="J174" s="980" t="s">
        <v>7</v>
      </c>
      <c r="K174" s="980" t="s">
        <v>8</v>
      </c>
    </row>
    <row r="175" spans="1:13" s="328" customFormat="1" x14ac:dyDescent="0.2">
      <c r="A175" s="982"/>
      <c r="B175" s="992"/>
      <c r="C175" s="996"/>
      <c r="D175" s="429" t="s">
        <v>9</v>
      </c>
      <c r="E175" s="427" t="s">
        <v>10</v>
      </c>
      <c r="F175" s="427" t="s">
        <v>11</v>
      </c>
      <c r="G175" s="428" t="s">
        <v>12</v>
      </c>
      <c r="H175" s="427" t="s">
        <v>13</v>
      </c>
      <c r="I175" s="427" t="s">
        <v>11</v>
      </c>
      <c r="J175" s="981"/>
      <c r="K175" s="982"/>
    </row>
    <row r="176" spans="1:13" s="328" customFormat="1" x14ac:dyDescent="0.2">
      <c r="A176" s="981"/>
      <c r="B176" s="994"/>
      <c r="C176" s="997"/>
      <c r="D176" s="429" t="s">
        <v>14</v>
      </c>
      <c r="E176" s="431" t="s">
        <v>14</v>
      </c>
      <c r="F176" s="431" t="s">
        <v>14</v>
      </c>
      <c r="G176" s="432" t="s">
        <v>15</v>
      </c>
      <c r="H176" s="431" t="s">
        <v>14</v>
      </c>
      <c r="I176" s="431" t="s">
        <v>14</v>
      </c>
      <c r="J176" s="433" t="s">
        <v>15</v>
      </c>
      <c r="K176" s="981"/>
    </row>
    <row r="177" spans="1:12" s="328" customFormat="1" ht="25.5" x14ac:dyDescent="0.2">
      <c r="A177" s="516"/>
      <c r="B177" s="389" t="s">
        <v>96</v>
      </c>
      <c r="C177" s="517">
        <f>SUM(C179:C188)</f>
        <v>100000000</v>
      </c>
      <c r="D177" s="507"/>
      <c r="E177" s="511"/>
      <c r="F177" s="511"/>
      <c r="G177" s="518"/>
      <c r="H177" s="511"/>
      <c r="I177" s="511"/>
      <c r="J177" s="375"/>
      <c r="K177" s="519"/>
    </row>
    <row r="178" spans="1:12" s="328" customFormat="1" x14ac:dyDescent="0.2">
      <c r="A178" s="516"/>
      <c r="B178" s="393" t="s">
        <v>97</v>
      </c>
      <c r="C178" s="517">
        <f>SUM(C179:C188)</f>
        <v>100000000</v>
      </c>
      <c r="D178" s="329"/>
      <c r="E178" s="520"/>
      <c r="F178" s="520"/>
      <c r="G178" s="358"/>
      <c r="H178" s="520"/>
      <c r="I178" s="520"/>
      <c r="J178" s="360"/>
      <c r="K178" s="521"/>
    </row>
    <row r="179" spans="1:12" s="328" customFormat="1" x14ac:dyDescent="0.2">
      <c r="A179" s="497" t="s">
        <v>44</v>
      </c>
      <c r="B179" s="522" t="s">
        <v>98</v>
      </c>
      <c r="C179" s="523">
        <v>16920000</v>
      </c>
      <c r="D179" s="524">
        <f>C179/C177*100</f>
        <v>16.919999999999998</v>
      </c>
      <c r="E179" s="346">
        <f>G179/C179*100</f>
        <v>0</v>
      </c>
      <c r="F179" s="346">
        <f>(D179*E179)/100</f>
        <v>0</v>
      </c>
      <c r="G179" s="407">
        <v>0</v>
      </c>
      <c r="H179" s="346">
        <f>+G179/C179*100</f>
        <v>0</v>
      </c>
      <c r="I179" s="346">
        <f>(D179*H179)/100</f>
        <v>0</v>
      </c>
      <c r="J179" s="443">
        <f>C179-G179</f>
        <v>16920000</v>
      </c>
      <c r="K179" s="441"/>
    </row>
    <row r="180" spans="1:12" s="328" customFormat="1" x14ac:dyDescent="0.2">
      <c r="A180" s="497" t="s">
        <v>59</v>
      </c>
      <c r="B180" s="522" t="s">
        <v>125</v>
      </c>
      <c r="C180" s="523">
        <v>9805000</v>
      </c>
      <c r="D180" s="524">
        <f>C180/C177*100</f>
        <v>9.8049999999999997</v>
      </c>
      <c r="E180" s="346">
        <f>G180/C180*100</f>
        <v>37.582865884752678</v>
      </c>
      <c r="F180" s="346">
        <f>(D180*E180)/100</f>
        <v>3.6850000000000001</v>
      </c>
      <c r="G180" s="407">
        <v>3685000</v>
      </c>
      <c r="H180" s="346">
        <f>+G180/C180*100</f>
        <v>37.582865884752678</v>
      </c>
      <c r="I180" s="346">
        <f>(D180*H180)/100</f>
        <v>3.6850000000000001</v>
      </c>
      <c r="J180" s="525">
        <f>C180-G180</f>
        <v>6120000</v>
      </c>
      <c r="K180" s="441"/>
    </row>
    <row r="181" spans="1:12" s="328" customFormat="1" x14ac:dyDescent="0.2">
      <c r="A181" s="497" t="s">
        <v>77</v>
      </c>
      <c r="B181" s="526" t="s">
        <v>139</v>
      </c>
      <c r="C181" s="523">
        <v>10050000</v>
      </c>
      <c r="D181" s="524">
        <f>C181/C177*100</f>
        <v>10.050000000000001</v>
      </c>
      <c r="E181" s="346">
        <f t="shared" ref="E181:E188" si="32">G181/C181*100</f>
        <v>33.333333333333329</v>
      </c>
      <c r="F181" s="346">
        <f t="shared" ref="F181:F188" si="33">(D181*E181)/100</f>
        <v>3.35</v>
      </c>
      <c r="G181" s="407">
        <v>3350000</v>
      </c>
      <c r="H181" s="346">
        <f t="shared" ref="H181:H185" si="34">+G181/C181*100</f>
        <v>33.333333333333329</v>
      </c>
      <c r="I181" s="346">
        <f t="shared" ref="I181:I189" si="35">(D181*H181)/100</f>
        <v>3.35</v>
      </c>
      <c r="J181" s="525">
        <f t="shared" ref="J181:J187" si="36">C181-G181</f>
        <v>6700000</v>
      </c>
      <c r="K181" s="441"/>
    </row>
    <row r="182" spans="1:12" s="328" customFormat="1" x14ac:dyDescent="0.2">
      <c r="A182" s="497"/>
      <c r="B182" s="526" t="s">
        <v>217</v>
      </c>
      <c r="C182" s="523">
        <v>8400000</v>
      </c>
      <c r="D182" s="524">
        <f>C182/C177*100</f>
        <v>8.4</v>
      </c>
      <c r="E182" s="346">
        <f t="shared" si="32"/>
        <v>0</v>
      </c>
      <c r="F182" s="346">
        <f t="shared" si="33"/>
        <v>0</v>
      </c>
      <c r="G182" s="407"/>
      <c r="H182" s="346"/>
      <c r="I182" s="346"/>
      <c r="J182" s="525"/>
      <c r="K182" s="441"/>
    </row>
    <row r="183" spans="1:12" s="328" customFormat="1" x14ac:dyDescent="0.2">
      <c r="A183" s="497" t="s">
        <v>46</v>
      </c>
      <c r="B183" s="526" t="s">
        <v>47</v>
      </c>
      <c r="C183" s="523">
        <v>39000000</v>
      </c>
      <c r="D183" s="524">
        <f>C183/C177*100</f>
        <v>39</v>
      </c>
      <c r="E183" s="346">
        <f t="shared" si="32"/>
        <v>100</v>
      </c>
      <c r="F183" s="346">
        <f t="shared" si="33"/>
        <v>39</v>
      </c>
      <c r="G183" s="407">
        <f>10800000+3600000+3000000+3600000+3600000+3600000+3600000+3600000+3600000</f>
        <v>39000000</v>
      </c>
      <c r="H183" s="346">
        <f t="shared" si="34"/>
        <v>100</v>
      </c>
      <c r="I183" s="346">
        <f t="shared" si="35"/>
        <v>39</v>
      </c>
      <c r="J183" s="525">
        <f t="shared" si="36"/>
        <v>0</v>
      </c>
      <c r="K183" s="441"/>
      <c r="L183" s="328">
        <v>39000000</v>
      </c>
    </row>
    <row r="184" spans="1:12" s="328" customFormat="1" x14ac:dyDescent="0.2">
      <c r="A184" s="497" t="s">
        <v>320</v>
      </c>
      <c r="B184" s="526" t="s">
        <v>327</v>
      </c>
      <c r="C184" s="523">
        <v>0</v>
      </c>
      <c r="D184" s="524">
        <f>C184/C177*100</f>
        <v>0</v>
      </c>
      <c r="E184" s="346">
        <v>0</v>
      </c>
      <c r="F184" s="346">
        <f t="shared" si="33"/>
        <v>0</v>
      </c>
      <c r="G184" s="407">
        <v>0</v>
      </c>
      <c r="H184" s="346">
        <v>0</v>
      </c>
      <c r="I184" s="346">
        <f t="shared" si="35"/>
        <v>0</v>
      </c>
      <c r="J184" s="525">
        <f t="shared" si="36"/>
        <v>0</v>
      </c>
      <c r="K184" s="441"/>
      <c r="L184" s="527">
        <f>L183-G183</f>
        <v>0</v>
      </c>
    </row>
    <row r="185" spans="1:12" s="328" customFormat="1" x14ac:dyDescent="0.2">
      <c r="A185" s="497" t="s">
        <v>297</v>
      </c>
      <c r="B185" s="526" t="s">
        <v>298</v>
      </c>
      <c r="C185" s="523">
        <v>5000000</v>
      </c>
      <c r="D185" s="524">
        <f>C185/C177*100</f>
        <v>5</v>
      </c>
      <c r="E185" s="346">
        <f t="shared" si="32"/>
        <v>100</v>
      </c>
      <c r="F185" s="346">
        <f t="shared" si="33"/>
        <v>5</v>
      </c>
      <c r="G185" s="407">
        <v>5000000</v>
      </c>
      <c r="H185" s="346">
        <f t="shared" si="34"/>
        <v>100</v>
      </c>
      <c r="I185" s="346">
        <f t="shared" si="35"/>
        <v>5</v>
      </c>
      <c r="J185" s="525">
        <f t="shared" si="36"/>
        <v>0</v>
      </c>
      <c r="K185" s="441"/>
    </row>
    <row r="186" spans="1:12" s="328" customFormat="1" x14ac:dyDescent="0.2">
      <c r="A186" s="497" t="s">
        <v>57</v>
      </c>
      <c r="B186" s="526" t="s">
        <v>269</v>
      </c>
      <c r="C186" s="523">
        <v>10000000</v>
      </c>
      <c r="D186" s="524">
        <f>C186/C178*100</f>
        <v>10</v>
      </c>
      <c r="E186" s="346">
        <f t="shared" si="32"/>
        <v>0</v>
      </c>
      <c r="F186" s="346">
        <f t="shared" si="33"/>
        <v>0</v>
      </c>
      <c r="G186" s="407"/>
      <c r="H186" s="346"/>
      <c r="I186" s="346"/>
      <c r="J186" s="525"/>
      <c r="K186" s="441"/>
    </row>
    <row r="187" spans="1:12" x14ac:dyDescent="0.2">
      <c r="A187" s="497" t="s">
        <v>275</v>
      </c>
      <c r="B187" s="526" t="s">
        <v>302</v>
      </c>
      <c r="C187" s="523">
        <v>0</v>
      </c>
      <c r="D187" s="524">
        <f t="shared" ref="D187:D188" si="37">C187/C179*100</f>
        <v>0</v>
      </c>
      <c r="E187" s="346">
        <v>0</v>
      </c>
      <c r="F187" s="346">
        <f t="shared" si="33"/>
        <v>0</v>
      </c>
      <c r="G187" s="407">
        <v>0</v>
      </c>
      <c r="H187" s="346">
        <v>0</v>
      </c>
      <c r="I187" s="346">
        <f t="shared" si="35"/>
        <v>0</v>
      </c>
      <c r="J187" s="525">
        <f t="shared" si="36"/>
        <v>0</v>
      </c>
      <c r="K187" s="441"/>
    </row>
    <row r="188" spans="1:12" x14ac:dyDescent="0.2">
      <c r="A188" s="497" t="s">
        <v>328</v>
      </c>
      <c r="B188" s="526" t="s">
        <v>329</v>
      </c>
      <c r="C188" s="523">
        <v>825000</v>
      </c>
      <c r="D188" s="524">
        <f t="shared" si="37"/>
        <v>8.4140744518103006</v>
      </c>
      <c r="E188" s="346">
        <f t="shared" si="32"/>
        <v>0</v>
      </c>
      <c r="F188" s="346">
        <f t="shared" si="33"/>
        <v>0</v>
      </c>
      <c r="G188" s="370"/>
      <c r="H188" s="520"/>
      <c r="I188" s="346"/>
      <c r="J188" s="528"/>
      <c r="K188" s="360"/>
    </row>
    <row r="189" spans="1:12" x14ac:dyDescent="0.2">
      <c r="A189" s="497"/>
      <c r="B189" s="507" t="s">
        <v>140</v>
      </c>
      <c r="C189" s="529">
        <f>SUM(C179:C188)</f>
        <v>100000000</v>
      </c>
      <c r="D189" s="530">
        <f>SUM(D179:D187)</f>
        <v>99.174999999999997</v>
      </c>
      <c r="E189" s="510">
        <f>G189/C177*100</f>
        <v>51.034999999999997</v>
      </c>
      <c r="F189" s="531">
        <f>(D189*E189)/100</f>
        <v>50.613961249999996</v>
      </c>
      <c r="G189" s="512">
        <f>SUM(G179:G187)</f>
        <v>51035000</v>
      </c>
      <c r="H189" s="511">
        <f>+G189/C177*100</f>
        <v>51.034999999999997</v>
      </c>
      <c r="I189" s="346">
        <f t="shared" si="35"/>
        <v>50.613961249999996</v>
      </c>
      <c r="J189" s="532">
        <f>SUM(J179:J187)</f>
        <v>29740000</v>
      </c>
      <c r="K189" s="533"/>
    </row>
    <row r="190" spans="1:12" x14ac:dyDescent="0.2">
      <c r="A190" s="376"/>
      <c r="B190" s="377"/>
      <c r="C190" s="376"/>
      <c r="D190" s="534"/>
      <c r="E190" s="454"/>
      <c r="F190" s="455"/>
      <c r="G190" s="456"/>
      <c r="H190" s="378"/>
      <c r="I190" s="455"/>
      <c r="J190" s="458"/>
      <c r="K190" s="485"/>
    </row>
    <row r="191" spans="1:12" x14ac:dyDescent="0.2">
      <c r="A191" s="418"/>
      <c r="B191" s="535"/>
      <c r="C191" s="536"/>
      <c r="D191" s="328"/>
      <c r="E191" s="378"/>
      <c r="F191" s="378"/>
      <c r="G191" s="379"/>
      <c r="H191" s="378"/>
      <c r="I191" s="378"/>
      <c r="J191" s="328"/>
      <c r="K191" s="328"/>
    </row>
    <row r="192" spans="1:12" x14ac:dyDescent="0.2">
      <c r="A192" s="486"/>
      <c r="B192" s="487"/>
      <c r="C192" s="488"/>
    </row>
    <row r="193" spans="1:13" x14ac:dyDescent="0.2">
      <c r="A193" s="983" t="s">
        <v>330</v>
      </c>
      <c r="B193" s="983" t="s">
        <v>123</v>
      </c>
      <c r="C193" s="983" t="s">
        <v>124</v>
      </c>
      <c r="D193" s="986" t="s">
        <v>5</v>
      </c>
      <c r="E193" s="987"/>
      <c r="F193" s="987"/>
      <c r="G193" s="988" t="s">
        <v>6</v>
      </c>
      <c r="H193" s="987"/>
      <c r="I193" s="987"/>
      <c r="J193" s="980" t="s">
        <v>7</v>
      </c>
      <c r="K193" s="980" t="s">
        <v>8</v>
      </c>
    </row>
    <row r="194" spans="1:13" x14ac:dyDescent="0.2">
      <c r="A194" s="984"/>
      <c r="B194" s="984"/>
      <c r="C194" s="992"/>
      <c r="D194" s="429" t="s">
        <v>9</v>
      </c>
      <c r="E194" s="427" t="s">
        <v>10</v>
      </c>
      <c r="F194" s="427" t="s">
        <v>11</v>
      </c>
      <c r="G194" s="428" t="s">
        <v>12</v>
      </c>
      <c r="H194" s="427" t="s">
        <v>13</v>
      </c>
      <c r="I194" s="427" t="s">
        <v>11</v>
      </c>
      <c r="J194" s="981"/>
      <c r="K194" s="982"/>
    </row>
    <row r="195" spans="1:13" x14ac:dyDescent="0.2">
      <c r="A195" s="985"/>
      <c r="B195" s="985"/>
      <c r="C195" s="537" t="s">
        <v>15</v>
      </c>
      <c r="D195" s="433" t="s">
        <v>14</v>
      </c>
      <c r="E195" s="431" t="s">
        <v>14</v>
      </c>
      <c r="F195" s="431" t="s">
        <v>14</v>
      </c>
      <c r="G195" s="432" t="s">
        <v>15</v>
      </c>
      <c r="H195" s="431" t="s">
        <v>14</v>
      </c>
      <c r="I195" s="431" t="s">
        <v>14</v>
      </c>
      <c r="J195" s="433" t="s">
        <v>15</v>
      </c>
      <c r="K195" s="981"/>
    </row>
    <row r="196" spans="1:13" ht="25.5" x14ac:dyDescent="0.2">
      <c r="A196" s="538"/>
      <c r="B196" s="389" t="s">
        <v>96</v>
      </c>
      <c r="C196" s="539">
        <f>C197</f>
        <v>100000000</v>
      </c>
      <c r="D196" s="437"/>
      <c r="E196" s="339"/>
      <c r="F196" s="339"/>
      <c r="G196" s="340"/>
      <c r="H196" s="339"/>
      <c r="I196" s="339"/>
      <c r="J196" s="437"/>
      <c r="K196" s="437"/>
    </row>
    <row r="197" spans="1:13" x14ac:dyDescent="0.2">
      <c r="A197" s="540"/>
      <c r="B197" s="393" t="s">
        <v>97</v>
      </c>
      <c r="C197" s="541">
        <f>SUM(C198:C206)</f>
        <v>100000000</v>
      </c>
      <c r="D197" s="542"/>
      <c r="E197" s="543"/>
      <c r="F197" s="543"/>
      <c r="G197" s="544"/>
      <c r="H197" s="543"/>
      <c r="I197" s="543"/>
      <c r="J197" s="542"/>
      <c r="K197" s="542"/>
    </row>
    <row r="198" spans="1:13" s="328" customFormat="1" x14ac:dyDescent="0.2">
      <c r="A198" s="545" t="s">
        <v>44</v>
      </c>
      <c r="B198" s="546" t="s">
        <v>98</v>
      </c>
      <c r="C198" s="547">
        <v>16920000</v>
      </c>
      <c r="D198" s="440">
        <f>C198/C197*100</f>
        <v>16.919999999999998</v>
      </c>
      <c r="E198" s="346">
        <f>G198/C198*100</f>
        <v>0</v>
      </c>
      <c r="F198" s="346">
        <f>(D198*E198)/100</f>
        <v>0</v>
      </c>
      <c r="G198" s="544"/>
      <c r="H198" s="346">
        <f>+G198/C198*100</f>
        <v>0</v>
      </c>
      <c r="I198" s="346">
        <f>(D198*H198)/100</f>
        <v>0</v>
      </c>
      <c r="J198" s="443">
        <f>C198-G198</f>
        <v>16920000</v>
      </c>
      <c r="K198" s="542"/>
    </row>
    <row r="199" spans="1:13" s="328" customFormat="1" x14ac:dyDescent="0.2">
      <c r="A199" s="545" t="s">
        <v>59</v>
      </c>
      <c r="B199" s="546" t="s">
        <v>125</v>
      </c>
      <c r="C199" s="539">
        <v>13855000</v>
      </c>
      <c r="D199" s="440">
        <f>C199/C197*100</f>
        <v>13.855</v>
      </c>
      <c r="E199" s="346">
        <f t="shared" ref="E199:E206" si="38">G199/C199*100</f>
        <v>94.658967881631185</v>
      </c>
      <c r="F199" s="346">
        <f t="shared" ref="F199:F206" si="39">(D199*E199)/100</f>
        <v>13.115</v>
      </c>
      <c r="G199" s="544">
        <f>6557500+6557500</f>
        <v>13115000</v>
      </c>
      <c r="H199" s="346">
        <f t="shared" ref="H199:H206" si="40">+G199/C199*100</f>
        <v>94.658967881631185</v>
      </c>
      <c r="I199" s="346">
        <f t="shared" ref="I199:I206" si="41">(D199*H199)/100</f>
        <v>13.115</v>
      </c>
      <c r="J199" s="443">
        <f t="shared" ref="J199:J206" si="42">C199-G199</f>
        <v>740000</v>
      </c>
      <c r="K199" s="542"/>
    </row>
    <row r="200" spans="1:13" s="328" customFormat="1" x14ac:dyDescent="0.2">
      <c r="A200" s="545" t="s">
        <v>62</v>
      </c>
      <c r="B200" s="546" t="s">
        <v>126</v>
      </c>
      <c r="C200" s="539">
        <v>2340000</v>
      </c>
      <c r="D200" s="369">
        <f>C200/C196*100</f>
        <v>2.34</v>
      </c>
      <c r="E200" s="346">
        <f t="shared" si="38"/>
        <v>100</v>
      </c>
      <c r="F200" s="346">
        <f t="shared" si="39"/>
        <v>2.34</v>
      </c>
      <c r="G200" s="548">
        <f>2340000</f>
        <v>2340000</v>
      </c>
      <c r="H200" s="346">
        <f t="shared" si="40"/>
        <v>100</v>
      </c>
      <c r="I200" s="346">
        <f t="shared" si="41"/>
        <v>2.34</v>
      </c>
      <c r="J200" s="443">
        <f t="shared" si="42"/>
        <v>0</v>
      </c>
      <c r="K200" s="542"/>
    </row>
    <row r="201" spans="1:13" s="328" customFormat="1" x14ac:dyDescent="0.2">
      <c r="A201" s="545" t="s">
        <v>77</v>
      </c>
      <c r="B201" s="546" t="s">
        <v>127</v>
      </c>
      <c r="C201" s="539">
        <v>12685000</v>
      </c>
      <c r="D201" s="369">
        <f>C201/C197*100</f>
        <v>12.684999999999999</v>
      </c>
      <c r="E201" s="346">
        <f t="shared" si="38"/>
        <v>144.50926290894756</v>
      </c>
      <c r="F201" s="346">
        <f t="shared" si="39"/>
        <v>18.330999999999996</v>
      </c>
      <c r="G201" s="548">
        <f>18331000</f>
        <v>18331000</v>
      </c>
      <c r="H201" s="346">
        <f t="shared" si="40"/>
        <v>144.50926290894756</v>
      </c>
      <c r="I201" s="346">
        <f t="shared" si="41"/>
        <v>18.330999999999996</v>
      </c>
      <c r="J201" s="443">
        <f t="shared" si="42"/>
        <v>-5646000</v>
      </c>
      <c r="K201" s="542"/>
    </row>
    <row r="202" spans="1:13" s="328" customFormat="1" x14ac:dyDescent="0.2">
      <c r="A202" s="545" t="s">
        <v>225</v>
      </c>
      <c r="B202" s="546" t="s">
        <v>331</v>
      </c>
      <c r="C202" s="539">
        <v>9600000</v>
      </c>
      <c r="D202" s="369">
        <f>C202/C196*100</f>
        <v>9.6</v>
      </c>
      <c r="E202" s="346">
        <f t="shared" si="38"/>
        <v>100</v>
      </c>
      <c r="F202" s="346">
        <f t="shared" si="39"/>
        <v>9.6</v>
      </c>
      <c r="G202" s="548">
        <f>9600000</f>
        <v>9600000</v>
      </c>
      <c r="H202" s="346">
        <f t="shared" si="40"/>
        <v>100</v>
      </c>
      <c r="I202" s="346">
        <f t="shared" si="41"/>
        <v>9.6</v>
      </c>
      <c r="J202" s="443">
        <f t="shared" si="42"/>
        <v>0</v>
      </c>
      <c r="K202" s="542"/>
    </row>
    <row r="203" spans="1:13" s="328" customFormat="1" x14ac:dyDescent="0.2">
      <c r="A203" s="545" t="s">
        <v>46</v>
      </c>
      <c r="B203" s="546" t="s">
        <v>47</v>
      </c>
      <c r="C203" s="539">
        <v>30600000</v>
      </c>
      <c r="D203" s="369">
        <f>C203/C197*100</f>
        <v>30.599999999999998</v>
      </c>
      <c r="E203" s="346">
        <f t="shared" si="38"/>
        <v>91.503267973856211</v>
      </c>
      <c r="F203" s="346">
        <f t="shared" si="39"/>
        <v>28</v>
      </c>
      <c r="G203" s="505">
        <f>5200000+5200000+2000000+2600000+5200000+5200000+2600000</f>
        <v>28000000</v>
      </c>
      <c r="H203" s="346">
        <f t="shared" si="40"/>
        <v>91.503267973856211</v>
      </c>
      <c r="I203" s="346">
        <f t="shared" si="41"/>
        <v>28</v>
      </c>
      <c r="J203" s="443">
        <f t="shared" si="42"/>
        <v>2600000</v>
      </c>
      <c r="K203" s="542"/>
      <c r="L203" s="328">
        <f>28000000</f>
        <v>28000000</v>
      </c>
      <c r="M203" s="527">
        <f>G203-L203</f>
        <v>0</v>
      </c>
    </row>
    <row r="204" spans="1:13" s="328" customFormat="1" x14ac:dyDescent="0.2">
      <c r="A204" s="545" t="s">
        <v>65</v>
      </c>
      <c r="B204" s="546" t="s">
        <v>286</v>
      </c>
      <c r="C204" s="539">
        <v>0</v>
      </c>
      <c r="D204" s="369">
        <f>C204/C197*100</f>
        <v>0</v>
      </c>
      <c r="E204" s="346">
        <v>0</v>
      </c>
      <c r="F204" s="346">
        <f t="shared" si="39"/>
        <v>0</v>
      </c>
      <c r="G204" s="548"/>
      <c r="H204" s="346">
        <v>0</v>
      </c>
      <c r="I204" s="346">
        <f t="shared" si="41"/>
        <v>0</v>
      </c>
      <c r="J204" s="443">
        <f t="shared" si="42"/>
        <v>0</v>
      </c>
      <c r="K204" s="542"/>
    </row>
    <row r="205" spans="1:13" s="328" customFormat="1" x14ac:dyDescent="0.2">
      <c r="A205" s="545" t="s">
        <v>332</v>
      </c>
      <c r="B205" s="546" t="s">
        <v>333</v>
      </c>
      <c r="C205" s="539">
        <v>11000000</v>
      </c>
      <c r="D205" s="346">
        <f>C205/C196*100</f>
        <v>11</v>
      </c>
      <c r="E205" s="346">
        <f t="shared" si="38"/>
        <v>48.672727272727272</v>
      </c>
      <c r="F205" s="346">
        <f t="shared" si="39"/>
        <v>5.3540000000000001</v>
      </c>
      <c r="G205" s="548">
        <f>5354000</f>
        <v>5354000</v>
      </c>
      <c r="H205" s="346">
        <f t="shared" si="40"/>
        <v>48.672727272727272</v>
      </c>
      <c r="I205" s="346">
        <f t="shared" si="41"/>
        <v>5.3540000000000001</v>
      </c>
      <c r="J205" s="443">
        <f t="shared" si="42"/>
        <v>5646000</v>
      </c>
      <c r="K205" s="542"/>
    </row>
    <row r="206" spans="1:13" s="328" customFormat="1" x14ac:dyDescent="0.2">
      <c r="A206" s="549" t="s">
        <v>275</v>
      </c>
      <c r="B206" s="546" t="s">
        <v>302</v>
      </c>
      <c r="C206" s="539">
        <v>3000000</v>
      </c>
      <c r="D206" s="346">
        <f>C206/C197*100</f>
        <v>3</v>
      </c>
      <c r="E206" s="346">
        <f t="shared" si="38"/>
        <v>100</v>
      </c>
      <c r="F206" s="346">
        <f t="shared" si="39"/>
        <v>3</v>
      </c>
      <c r="G206" s="548">
        <v>3000000</v>
      </c>
      <c r="H206" s="346">
        <f t="shared" si="40"/>
        <v>100</v>
      </c>
      <c r="I206" s="346">
        <f t="shared" si="41"/>
        <v>3</v>
      </c>
      <c r="J206" s="443">
        <f t="shared" si="42"/>
        <v>0</v>
      </c>
      <c r="K206" s="542"/>
    </row>
    <row r="207" spans="1:13" x14ac:dyDescent="0.2">
      <c r="A207" s="989" t="s">
        <v>128</v>
      </c>
      <c r="B207" s="990"/>
      <c r="C207" s="550">
        <f>SUM(C198:C206)</f>
        <v>100000000</v>
      </c>
      <c r="D207" s="509"/>
      <c r="E207" s="531" t="e">
        <f>G207/C197*100</f>
        <v>#VALUE!</v>
      </c>
      <c r="F207" s="531" t="e">
        <f>(D207*E207)/100</f>
        <v>#VALUE!</v>
      </c>
      <c r="G207" s="512" t="s">
        <v>141</v>
      </c>
      <c r="H207" s="531" t="e">
        <f>+G207/C197*100</f>
        <v>#VALUE!</v>
      </c>
      <c r="I207" s="531" t="e">
        <f>(D207*H207)/100</f>
        <v>#VALUE!</v>
      </c>
      <c r="J207" s="514">
        <f>SUM(J200:J206)</f>
        <v>2600000</v>
      </c>
      <c r="K207" s="336"/>
    </row>
    <row r="208" spans="1:13" x14ac:dyDescent="0.2">
      <c r="A208" s="551"/>
      <c r="B208" s="552"/>
      <c r="C208" s="553"/>
      <c r="D208" s="453"/>
      <c r="E208" s="455"/>
      <c r="F208" s="455"/>
      <c r="G208" s="456"/>
      <c r="H208" s="455"/>
      <c r="I208" s="455"/>
      <c r="J208" s="515"/>
      <c r="K208" s="485"/>
    </row>
    <row r="209" spans="1:11" x14ac:dyDescent="0.2">
      <c r="A209" s="554"/>
      <c r="B209" s="555"/>
      <c r="C209" s="556"/>
    </row>
    <row r="210" spans="1:11" x14ac:dyDescent="0.2">
      <c r="A210" s="991" t="s">
        <v>2</v>
      </c>
      <c r="B210" s="983" t="s">
        <v>137</v>
      </c>
      <c r="C210" s="991" t="s">
        <v>4</v>
      </c>
      <c r="D210" s="986" t="s">
        <v>5</v>
      </c>
      <c r="E210" s="987"/>
      <c r="F210" s="987"/>
      <c r="G210" s="988" t="s">
        <v>6</v>
      </c>
      <c r="H210" s="987"/>
      <c r="I210" s="987"/>
      <c r="J210" s="980" t="s">
        <v>7</v>
      </c>
      <c r="K210" s="980" t="s">
        <v>8</v>
      </c>
    </row>
    <row r="211" spans="1:11" x14ac:dyDescent="0.2">
      <c r="A211" s="991"/>
      <c r="B211" s="984"/>
      <c r="C211" s="991"/>
      <c r="D211" s="429" t="s">
        <v>9</v>
      </c>
      <c r="E211" s="427" t="s">
        <v>10</v>
      </c>
      <c r="F211" s="427" t="s">
        <v>11</v>
      </c>
      <c r="G211" s="428" t="s">
        <v>12</v>
      </c>
      <c r="H211" s="427" t="s">
        <v>13</v>
      </c>
      <c r="I211" s="427" t="s">
        <v>11</v>
      </c>
      <c r="J211" s="981"/>
      <c r="K211" s="982"/>
    </row>
    <row r="212" spans="1:11" x14ac:dyDescent="0.2">
      <c r="A212" s="991"/>
      <c r="B212" s="985"/>
      <c r="C212" s="991"/>
      <c r="D212" s="433" t="s">
        <v>14</v>
      </c>
      <c r="E212" s="431" t="s">
        <v>14</v>
      </c>
      <c r="F212" s="431" t="s">
        <v>14</v>
      </c>
      <c r="G212" s="432" t="s">
        <v>15</v>
      </c>
      <c r="H212" s="431" t="s">
        <v>14</v>
      </c>
      <c r="I212" s="431" t="s">
        <v>14</v>
      </c>
      <c r="J212" s="433" t="s">
        <v>15</v>
      </c>
      <c r="K212" s="981"/>
    </row>
    <row r="213" spans="1:11" ht="25.5" x14ac:dyDescent="0.2">
      <c r="A213" s="557"/>
      <c r="B213" s="389" t="s">
        <v>96</v>
      </c>
      <c r="C213" s="558">
        <f>C214</f>
        <v>100000000</v>
      </c>
      <c r="D213" s="437"/>
      <c r="E213" s="339"/>
      <c r="F213" s="339"/>
      <c r="G213" s="340"/>
      <c r="H213" s="339"/>
      <c r="I213" s="339"/>
      <c r="J213" s="437"/>
      <c r="K213" s="437"/>
    </row>
    <row r="214" spans="1:11" s="328" customFormat="1" x14ac:dyDescent="0.2">
      <c r="A214" s="559"/>
      <c r="B214" s="393" t="s">
        <v>97</v>
      </c>
      <c r="C214" s="560">
        <f>SUM(C215:C224)</f>
        <v>100000000</v>
      </c>
      <c r="D214" s="542"/>
      <c r="E214" s="543"/>
      <c r="F214" s="543"/>
      <c r="G214" s="544"/>
      <c r="H214" s="543"/>
      <c r="I214" s="543"/>
      <c r="J214" s="542"/>
      <c r="K214" s="542"/>
    </row>
    <row r="215" spans="1:11" s="328" customFormat="1" x14ac:dyDescent="0.2">
      <c r="A215" s="545" t="s">
        <v>44</v>
      </c>
      <c r="B215" s="561" t="s">
        <v>98</v>
      </c>
      <c r="C215" s="550">
        <v>12480000</v>
      </c>
      <c r="D215" s="440">
        <f>C215/C214*100</f>
        <v>12.479999999999999</v>
      </c>
      <c r="E215" s="346">
        <f>G215/C215*100</f>
        <v>0</v>
      </c>
      <c r="F215" s="346">
        <f>(D215*E215)/100</f>
        <v>0</v>
      </c>
      <c r="G215" s="544"/>
      <c r="H215" s="346">
        <f>+G215/C215*100</f>
        <v>0</v>
      </c>
      <c r="I215" s="346">
        <f>(D215*H215)/100</f>
        <v>0</v>
      </c>
      <c r="J215" s="443">
        <f>C215-G215</f>
        <v>12480000</v>
      </c>
      <c r="K215" s="542"/>
    </row>
    <row r="216" spans="1:11" s="328" customFormat="1" x14ac:dyDescent="0.2">
      <c r="A216" s="545" t="s">
        <v>59</v>
      </c>
      <c r="B216" s="546" t="s">
        <v>125</v>
      </c>
      <c r="C216" s="550">
        <v>17755000</v>
      </c>
      <c r="D216" s="440">
        <f>C216/C214*100</f>
        <v>17.755000000000003</v>
      </c>
      <c r="E216" s="346">
        <f t="shared" ref="E216:E224" si="43">G216/C216*100</f>
        <v>99.960574486060267</v>
      </c>
      <c r="F216" s="346">
        <f t="shared" ref="F216:F224" si="44">(D216*E216)/100</f>
        <v>17.748000000000001</v>
      </c>
      <c r="G216" s="562">
        <f>7748000+5000000+5000000</f>
        <v>17748000</v>
      </c>
      <c r="H216" s="346">
        <f t="shared" ref="H216:H224" si="45">+G216/C216*100</f>
        <v>99.960574486060267</v>
      </c>
      <c r="I216" s="346">
        <f t="shared" ref="I216:I224" si="46">(D216*H216)/100</f>
        <v>17.748000000000001</v>
      </c>
      <c r="J216" s="443">
        <f t="shared" ref="J216:J224" si="47">C216-G216</f>
        <v>7000</v>
      </c>
      <c r="K216" s="542"/>
    </row>
    <row r="217" spans="1:11" s="328" customFormat="1" x14ac:dyDescent="0.2">
      <c r="A217" s="545"/>
      <c r="B217" s="546" t="s">
        <v>334</v>
      </c>
      <c r="C217" s="550">
        <v>5600000</v>
      </c>
      <c r="D217" s="369">
        <f>C217/C213*100</f>
        <v>5.6000000000000005</v>
      </c>
      <c r="E217" s="346">
        <f t="shared" si="43"/>
        <v>0</v>
      </c>
      <c r="F217" s="346">
        <f t="shared" si="44"/>
        <v>0</v>
      </c>
      <c r="G217" s="562"/>
      <c r="H217" s="346">
        <f t="shared" si="45"/>
        <v>0</v>
      </c>
      <c r="I217" s="346">
        <f t="shared" si="46"/>
        <v>0</v>
      </c>
      <c r="J217" s="443">
        <f t="shared" si="47"/>
        <v>5600000</v>
      </c>
      <c r="K217" s="542"/>
    </row>
    <row r="218" spans="1:11" s="328" customFormat="1" x14ac:dyDescent="0.2">
      <c r="A218" s="545" t="s">
        <v>335</v>
      </c>
      <c r="B218" s="563" t="s">
        <v>336</v>
      </c>
      <c r="C218" s="550">
        <v>5850000</v>
      </c>
      <c r="D218" s="369">
        <f>C218/C214*100</f>
        <v>5.8500000000000005</v>
      </c>
      <c r="E218" s="346">
        <f t="shared" si="43"/>
        <v>100</v>
      </c>
      <c r="F218" s="346">
        <f t="shared" si="44"/>
        <v>5.85</v>
      </c>
      <c r="G218" s="544">
        <v>5850000</v>
      </c>
      <c r="H218" s="346">
        <f t="shared" si="45"/>
        <v>100</v>
      </c>
      <c r="I218" s="346">
        <f t="shared" si="46"/>
        <v>5.85</v>
      </c>
      <c r="J218" s="443">
        <f t="shared" si="47"/>
        <v>0</v>
      </c>
      <c r="K218" s="542"/>
    </row>
    <row r="219" spans="1:11" s="328" customFormat="1" ht="25.5" x14ac:dyDescent="0.2">
      <c r="A219" s="545"/>
      <c r="B219" s="564" t="s">
        <v>337</v>
      </c>
      <c r="C219" s="550">
        <v>5000000</v>
      </c>
      <c r="D219" s="369">
        <f>C219/C213*100</f>
        <v>5</v>
      </c>
      <c r="E219" s="346">
        <f t="shared" si="43"/>
        <v>0</v>
      </c>
      <c r="F219" s="346">
        <f t="shared" si="44"/>
        <v>0</v>
      </c>
      <c r="G219" s="544"/>
      <c r="H219" s="346">
        <f t="shared" si="45"/>
        <v>0</v>
      </c>
      <c r="I219" s="346">
        <f t="shared" si="46"/>
        <v>0</v>
      </c>
      <c r="J219" s="443">
        <f t="shared" si="47"/>
        <v>5000000</v>
      </c>
      <c r="K219" s="542"/>
    </row>
    <row r="220" spans="1:11" s="328" customFormat="1" x14ac:dyDescent="0.2">
      <c r="A220" s="545" t="s">
        <v>77</v>
      </c>
      <c r="B220" s="546" t="s">
        <v>127</v>
      </c>
      <c r="C220" s="550">
        <v>12065000</v>
      </c>
      <c r="D220" s="369">
        <f>C220/C214*100</f>
        <v>12.065</v>
      </c>
      <c r="E220" s="346">
        <f t="shared" si="43"/>
        <v>71.048487360132611</v>
      </c>
      <c r="F220" s="346">
        <f t="shared" si="44"/>
        <v>8.5719999999999992</v>
      </c>
      <c r="G220" s="544">
        <f>2150000+6422000</f>
        <v>8572000</v>
      </c>
      <c r="H220" s="346">
        <f t="shared" si="45"/>
        <v>71.048487360132611</v>
      </c>
      <c r="I220" s="346">
        <f t="shared" si="46"/>
        <v>8.5719999999999992</v>
      </c>
      <c r="J220" s="443">
        <f t="shared" si="47"/>
        <v>3493000</v>
      </c>
      <c r="K220" s="542"/>
    </row>
    <row r="221" spans="1:11" s="328" customFormat="1" x14ac:dyDescent="0.2">
      <c r="A221" s="545" t="s">
        <v>130</v>
      </c>
      <c r="B221" s="546" t="s">
        <v>131</v>
      </c>
      <c r="C221" s="550">
        <v>1750000</v>
      </c>
      <c r="D221" s="369">
        <f>C221/C214*100</f>
        <v>1.7500000000000002</v>
      </c>
      <c r="E221" s="346">
        <f t="shared" si="43"/>
        <v>100</v>
      </c>
      <c r="F221" s="346">
        <f t="shared" si="44"/>
        <v>1.7500000000000002</v>
      </c>
      <c r="G221" s="544">
        <v>1750000</v>
      </c>
      <c r="H221" s="346">
        <f t="shared" si="45"/>
        <v>100</v>
      </c>
      <c r="I221" s="346">
        <f t="shared" si="46"/>
        <v>1.7500000000000002</v>
      </c>
      <c r="J221" s="443">
        <f t="shared" si="47"/>
        <v>0</v>
      </c>
      <c r="K221" s="542"/>
    </row>
    <row r="222" spans="1:11" s="328" customFormat="1" x14ac:dyDescent="0.2">
      <c r="A222" s="545" t="s">
        <v>46</v>
      </c>
      <c r="B222" s="546" t="s">
        <v>47</v>
      </c>
      <c r="C222" s="550">
        <v>26000000</v>
      </c>
      <c r="D222" s="346">
        <f>C222/C213*100</f>
        <v>26</v>
      </c>
      <c r="E222" s="346">
        <f t="shared" si="43"/>
        <v>100</v>
      </c>
      <c r="F222" s="346">
        <f t="shared" si="44"/>
        <v>26</v>
      </c>
      <c r="G222" s="544">
        <f>7200000+2400000+2000000+2400000+2400000+4800000+2400000+2400000</f>
        <v>26000000</v>
      </c>
      <c r="H222" s="346">
        <f t="shared" si="45"/>
        <v>100</v>
      </c>
      <c r="I222" s="346">
        <f t="shared" si="46"/>
        <v>26</v>
      </c>
      <c r="J222" s="443">
        <f t="shared" si="47"/>
        <v>0</v>
      </c>
      <c r="K222" s="542"/>
    </row>
    <row r="223" spans="1:11" s="328" customFormat="1" x14ac:dyDescent="0.2">
      <c r="A223" s="545" t="s">
        <v>320</v>
      </c>
      <c r="B223" s="546" t="s">
        <v>338</v>
      </c>
      <c r="C223" s="550">
        <v>0</v>
      </c>
      <c r="D223" s="346">
        <f t="shared" ref="D223" si="48">C223/C214*100</f>
        <v>0</v>
      </c>
      <c r="E223" s="346">
        <v>0</v>
      </c>
      <c r="F223" s="346">
        <f t="shared" si="44"/>
        <v>0</v>
      </c>
      <c r="G223" s="544"/>
      <c r="H223" s="346">
        <v>0</v>
      </c>
      <c r="I223" s="346">
        <f t="shared" si="46"/>
        <v>0</v>
      </c>
      <c r="J223" s="443">
        <f t="shared" si="47"/>
        <v>0</v>
      </c>
      <c r="K223" s="542"/>
    </row>
    <row r="224" spans="1:11" x14ac:dyDescent="0.2">
      <c r="A224" s="549" t="s">
        <v>57</v>
      </c>
      <c r="B224" s="546" t="s">
        <v>302</v>
      </c>
      <c r="C224" s="550">
        <v>13500000</v>
      </c>
      <c r="D224" s="346">
        <f>C224/C214*100</f>
        <v>13.5</v>
      </c>
      <c r="E224" s="346">
        <f t="shared" si="43"/>
        <v>100</v>
      </c>
      <c r="F224" s="346">
        <f t="shared" si="44"/>
        <v>13.5</v>
      </c>
      <c r="G224" s="544">
        <v>13500000</v>
      </c>
      <c r="H224" s="346">
        <f t="shared" si="45"/>
        <v>100</v>
      </c>
      <c r="I224" s="346">
        <f t="shared" si="46"/>
        <v>13.5</v>
      </c>
      <c r="J224" s="443">
        <f t="shared" si="47"/>
        <v>0</v>
      </c>
      <c r="K224" s="542"/>
    </row>
    <row r="225" spans="1:12" x14ac:dyDescent="0.2">
      <c r="A225" s="565"/>
      <c r="B225" s="566" t="s">
        <v>128</v>
      </c>
      <c r="C225" s="550"/>
      <c r="D225" s="530">
        <f>SUM(D218:D224)</f>
        <v>64.164999999999992</v>
      </c>
      <c r="E225" s="531">
        <f>G225/C213*100</f>
        <v>73.42</v>
      </c>
      <c r="F225" s="531">
        <f>(D225*E225)/100</f>
        <v>47.109942999999994</v>
      </c>
      <c r="G225" s="512">
        <f>SUM(G215:G224:G224)</f>
        <v>73420000</v>
      </c>
      <c r="H225" s="531">
        <f>+G225/C213*100</f>
        <v>73.42</v>
      </c>
      <c r="I225" s="531">
        <f>(D225*H225)/100</f>
        <v>47.109942999999994</v>
      </c>
      <c r="J225" s="532">
        <f>SUM(J215:J224)</f>
        <v>26580000</v>
      </c>
      <c r="K225" s="336"/>
    </row>
    <row r="226" spans="1:12" x14ac:dyDescent="0.2">
      <c r="A226" s="567"/>
      <c r="B226" s="552"/>
      <c r="C226" s="553"/>
      <c r="D226" s="534"/>
      <c r="E226" s="455"/>
      <c r="F226" s="455"/>
      <c r="G226" s="456"/>
      <c r="H226" s="455"/>
      <c r="I226" s="455"/>
      <c r="J226" s="458"/>
      <c r="K226" s="485"/>
    </row>
    <row r="227" spans="1:12" x14ac:dyDescent="0.2">
      <c r="A227" s="417"/>
      <c r="B227" s="568"/>
      <c r="C227" s="569"/>
      <c r="D227" s="570"/>
      <c r="E227" s="457"/>
      <c r="F227" s="378"/>
      <c r="G227" s="379"/>
      <c r="H227" s="457"/>
      <c r="I227" s="378"/>
      <c r="J227" s="571"/>
      <c r="K227" s="453"/>
      <c r="L227" s="328"/>
    </row>
    <row r="228" spans="1:12" x14ac:dyDescent="0.2">
      <c r="A228" s="417"/>
      <c r="B228" s="568"/>
      <c r="C228" s="569"/>
      <c r="D228" s="570"/>
      <c r="E228" s="457"/>
      <c r="F228" s="378"/>
      <c r="G228" s="379"/>
      <c r="H228" s="457"/>
      <c r="I228" s="378"/>
      <c r="J228" s="571"/>
      <c r="K228" s="453"/>
      <c r="L228" s="328"/>
    </row>
    <row r="229" spans="1:12" x14ac:dyDescent="0.2">
      <c r="A229" s="983" t="s">
        <v>330</v>
      </c>
      <c r="B229" s="983" t="s">
        <v>129</v>
      </c>
      <c r="C229" s="983" t="s">
        <v>124</v>
      </c>
      <c r="D229" s="986" t="s">
        <v>5</v>
      </c>
      <c r="E229" s="987"/>
      <c r="F229" s="987"/>
      <c r="G229" s="988" t="s">
        <v>6</v>
      </c>
      <c r="H229" s="987"/>
      <c r="I229" s="987"/>
      <c r="J229" s="980" t="s">
        <v>7</v>
      </c>
      <c r="K229" s="425" t="s">
        <v>8</v>
      </c>
    </row>
    <row r="230" spans="1:12" x14ac:dyDescent="0.2">
      <c r="A230" s="984"/>
      <c r="B230" s="984"/>
      <c r="C230" s="984"/>
      <c r="D230" s="572" t="s">
        <v>9</v>
      </c>
      <c r="E230" s="573" t="s">
        <v>10</v>
      </c>
      <c r="F230" s="573" t="s">
        <v>11</v>
      </c>
      <c r="G230" s="428" t="s">
        <v>12</v>
      </c>
      <c r="H230" s="427" t="s">
        <v>13</v>
      </c>
      <c r="I230" s="427" t="s">
        <v>11</v>
      </c>
      <c r="J230" s="981"/>
      <c r="K230" s="429"/>
    </row>
    <row r="231" spans="1:12" x14ac:dyDescent="0.2">
      <c r="A231" s="985"/>
      <c r="B231" s="985"/>
      <c r="C231" s="985"/>
      <c r="D231" s="572" t="s">
        <v>14</v>
      </c>
      <c r="E231" s="573" t="s">
        <v>14</v>
      </c>
      <c r="F231" s="573" t="s">
        <v>14</v>
      </c>
      <c r="G231" s="432" t="s">
        <v>15</v>
      </c>
      <c r="H231" s="431" t="s">
        <v>14</v>
      </c>
      <c r="I231" s="431" t="s">
        <v>14</v>
      </c>
      <c r="J231" s="433" t="s">
        <v>15</v>
      </c>
      <c r="K231" s="433"/>
    </row>
    <row r="232" spans="1:12" ht="25.5" x14ac:dyDescent="0.2">
      <c r="A232" s="574"/>
      <c r="B232" s="389" t="s">
        <v>96</v>
      </c>
      <c r="C232" s="560">
        <f>C233</f>
        <v>100000000</v>
      </c>
      <c r="D232" s="575"/>
      <c r="E232" s="576"/>
      <c r="F232" s="576"/>
      <c r="G232" s="577"/>
      <c r="H232" s="576"/>
      <c r="I232" s="576"/>
      <c r="J232" s="575"/>
      <c r="K232" s="575"/>
    </row>
    <row r="233" spans="1:12" x14ac:dyDescent="0.2">
      <c r="A233" s="578"/>
      <c r="B233" s="393" t="s">
        <v>97</v>
      </c>
      <c r="C233" s="560">
        <f>SUM(C234:C242)</f>
        <v>100000000</v>
      </c>
      <c r="D233" s="579"/>
      <c r="E233" s="580"/>
      <c r="F233" s="580"/>
      <c r="G233" s="581"/>
      <c r="H233" s="580"/>
      <c r="I233" s="580"/>
      <c r="J233" s="579"/>
      <c r="K233" s="579"/>
    </row>
    <row r="234" spans="1:12" x14ac:dyDescent="0.2">
      <c r="A234" s="545" t="s">
        <v>44</v>
      </c>
      <c r="B234" s="561" t="s">
        <v>98</v>
      </c>
      <c r="C234" s="582">
        <v>13000000</v>
      </c>
      <c r="D234" s="440">
        <f>C234/C233*100</f>
        <v>13</v>
      </c>
      <c r="E234" s="346">
        <f>G234/C234*100</f>
        <v>110.76923076923077</v>
      </c>
      <c r="F234" s="346">
        <f>(D234*E234)/100</f>
        <v>14.4</v>
      </c>
      <c r="G234" s="583">
        <v>14400000</v>
      </c>
      <c r="H234" s="346">
        <f>+G234/C234*100</f>
        <v>110.76923076923077</v>
      </c>
      <c r="I234" s="346">
        <f>(D234*H234)/100</f>
        <v>14.4</v>
      </c>
      <c r="J234" s="443">
        <f>C234-G234</f>
        <v>-1400000</v>
      </c>
      <c r="K234" s="584"/>
    </row>
    <row r="235" spans="1:12" x14ac:dyDescent="0.2">
      <c r="A235" s="545" t="s">
        <v>59</v>
      </c>
      <c r="B235" s="546" t="s">
        <v>125</v>
      </c>
      <c r="C235" s="550">
        <v>6590000</v>
      </c>
      <c r="D235" s="440">
        <f>C235/C233*100</f>
        <v>6.59</v>
      </c>
      <c r="E235" s="346">
        <f t="shared" ref="E235:E242" si="49">G235/C235*100</f>
        <v>100</v>
      </c>
      <c r="F235" s="346">
        <f t="shared" ref="F235:F243" si="50">(D235*E235)/100</f>
        <v>6.59</v>
      </c>
      <c r="G235" s="544">
        <v>6590000</v>
      </c>
      <c r="H235" s="346">
        <f t="shared" ref="H235:H242" si="51">+G235/C235*100</f>
        <v>100</v>
      </c>
      <c r="I235" s="346">
        <f t="shared" ref="I235:I243" si="52">(D235*H235)/100</f>
        <v>6.59</v>
      </c>
      <c r="J235" s="443">
        <f t="shared" ref="J235:J242" si="53">C235-G235</f>
        <v>0</v>
      </c>
      <c r="K235" s="542"/>
    </row>
    <row r="236" spans="1:12" x14ac:dyDescent="0.2">
      <c r="A236" s="545" t="s">
        <v>335</v>
      </c>
      <c r="B236" s="563" t="s">
        <v>339</v>
      </c>
      <c r="C236" s="550">
        <v>100000</v>
      </c>
      <c r="D236" s="369">
        <f>C236/C232*100</f>
        <v>0.1</v>
      </c>
      <c r="E236" s="346">
        <f t="shared" si="49"/>
        <v>0</v>
      </c>
      <c r="F236" s="346">
        <f t="shared" si="50"/>
        <v>0</v>
      </c>
      <c r="G236" s="544">
        <v>0</v>
      </c>
      <c r="H236" s="346">
        <f t="shared" si="51"/>
        <v>0</v>
      </c>
      <c r="I236" s="346">
        <f t="shared" si="52"/>
        <v>0</v>
      </c>
      <c r="J236" s="443">
        <f t="shared" si="53"/>
        <v>100000</v>
      </c>
      <c r="K236" s="542"/>
    </row>
    <row r="237" spans="1:12" s="328" customFormat="1" x14ac:dyDescent="0.2">
      <c r="A237" s="545" t="s">
        <v>77</v>
      </c>
      <c r="B237" s="546" t="s">
        <v>127</v>
      </c>
      <c r="C237" s="550">
        <v>13400000</v>
      </c>
      <c r="D237" s="369">
        <f>C237/C233*100</f>
        <v>13.4</v>
      </c>
      <c r="E237" s="346">
        <f t="shared" si="49"/>
        <v>100</v>
      </c>
      <c r="F237" s="346">
        <f t="shared" si="50"/>
        <v>13.4</v>
      </c>
      <c r="G237" s="544">
        <f>2400000+8600000+2400000</f>
        <v>13400000</v>
      </c>
      <c r="H237" s="346">
        <f t="shared" si="51"/>
        <v>100</v>
      </c>
      <c r="I237" s="346">
        <f t="shared" si="52"/>
        <v>13.4</v>
      </c>
      <c r="J237" s="443">
        <f t="shared" si="53"/>
        <v>0</v>
      </c>
      <c r="K237" s="542"/>
    </row>
    <row r="238" spans="1:12" s="328" customFormat="1" x14ac:dyDescent="0.2">
      <c r="A238" s="545" t="s">
        <v>130</v>
      </c>
      <c r="B238" s="546" t="s">
        <v>131</v>
      </c>
      <c r="C238" s="550">
        <v>4900000</v>
      </c>
      <c r="D238" s="369">
        <f>C238/C232*100</f>
        <v>4.9000000000000004</v>
      </c>
      <c r="E238" s="346">
        <f t="shared" si="49"/>
        <v>100</v>
      </c>
      <c r="F238" s="346">
        <f t="shared" si="50"/>
        <v>4.9000000000000004</v>
      </c>
      <c r="G238" s="544">
        <v>4900000</v>
      </c>
      <c r="H238" s="346">
        <f t="shared" si="51"/>
        <v>100</v>
      </c>
      <c r="I238" s="346">
        <f t="shared" si="52"/>
        <v>4.9000000000000004</v>
      </c>
      <c r="J238" s="443">
        <f t="shared" si="53"/>
        <v>0</v>
      </c>
      <c r="K238" s="542"/>
    </row>
    <row r="239" spans="1:12" s="328" customFormat="1" x14ac:dyDescent="0.2">
      <c r="A239" s="545" t="s">
        <v>46</v>
      </c>
      <c r="B239" s="546" t="s">
        <v>47</v>
      </c>
      <c r="C239" s="550">
        <v>49800000</v>
      </c>
      <c r="D239" s="369">
        <f>C239/C233*100</f>
        <v>49.8</v>
      </c>
      <c r="E239" s="346">
        <f t="shared" si="49"/>
        <v>84.337349397590373</v>
      </c>
      <c r="F239" s="346">
        <f t="shared" si="50"/>
        <v>42</v>
      </c>
      <c r="G239" s="544">
        <f>7800000+7800000+3000000+3900000+7800000+7800000+3900000</f>
        <v>42000000</v>
      </c>
      <c r="H239" s="346">
        <f t="shared" si="51"/>
        <v>84.337349397590373</v>
      </c>
      <c r="I239" s="346">
        <f t="shared" si="52"/>
        <v>42</v>
      </c>
      <c r="J239" s="443">
        <f t="shared" si="53"/>
        <v>7800000</v>
      </c>
      <c r="K239" s="542"/>
    </row>
    <row r="240" spans="1:12" s="328" customFormat="1" x14ac:dyDescent="0.2">
      <c r="A240" s="545" t="s">
        <v>93</v>
      </c>
      <c r="B240" s="546" t="s">
        <v>340</v>
      </c>
      <c r="C240" s="550">
        <v>1460000</v>
      </c>
      <c r="D240" s="369">
        <f>C240/C233*100</f>
        <v>1.46</v>
      </c>
      <c r="E240" s="346">
        <f t="shared" si="49"/>
        <v>0</v>
      </c>
      <c r="F240" s="346">
        <f t="shared" si="50"/>
        <v>0</v>
      </c>
      <c r="G240" s="544"/>
      <c r="H240" s="346">
        <f t="shared" si="51"/>
        <v>0</v>
      </c>
      <c r="I240" s="346">
        <f t="shared" si="52"/>
        <v>0</v>
      </c>
      <c r="J240" s="443">
        <f t="shared" si="53"/>
        <v>1460000</v>
      </c>
      <c r="K240" s="542"/>
    </row>
    <row r="241" spans="1:11" s="328" customFormat="1" x14ac:dyDescent="0.2">
      <c r="A241" s="545" t="s">
        <v>320</v>
      </c>
      <c r="B241" s="546" t="s">
        <v>338</v>
      </c>
      <c r="C241" s="550">
        <v>3750000</v>
      </c>
      <c r="D241" s="346">
        <f>C241/C232*100</f>
        <v>3.75</v>
      </c>
      <c r="E241" s="346">
        <f t="shared" si="49"/>
        <v>0</v>
      </c>
      <c r="F241" s="346">
        <f t="shared" si="50"/>
        <v>0</v>
      </c>
      <c r="G241" s="544"/>
      <c r="H241" s="346">
        <f t="shared" si="51"/>
        <v>0</v>
      </c>
      <c r="I241" s="346">
        <f t="shared" si="52"/>
        <v>0</v>
      </c>
      <c r="J241" s="443">
        <f t="shared" si="53"/>
        <v>3750000</v>
      </c>
      <c r="K241" s="542"/>
    </row>
    <row r="242" spans="1:11" s="328" customFormat="1" x14ac:dyDescent="0.2">
      <c r="A242" s="549" t="s">
        <v>57</v>
      </c>
      <c r="B242" s="546" t="s">
        <v>302</v>
      </c>
      <c r="C242" s="550">
        <v>7000000</v>
      </c>
      <c r="D242" s="585">
        <f>C242/C232*100</f>
        <v>7.0000000000000009</v>
      </c>
      <c r="E242" s="543">
        <f t="shared" si="49"/>
        <v>100</v>
      </c>
      <c r="F242" s="543">
        <f t="shared" si="50"/>
        <v>7.0000000000000009</v>
      </c>
      <c r="G242" s="544">
        <v>7000000</v>
      </c>
      <c r="H242" s="543">
        <f t="shared" si="51"/>
        <v>100</v>
      </c>
      <c r="I242" s="543">
        <f t="shared" si="52"/>
        <v>7.0000000000000009</v>
      </c>
      <c r="J242" s="586">
        <f t="shared" si="53"/>
        <v>0</v>
      </c>
      <c r="K242" s="542"/>
    </row>
    <row r="243" spans="1:11" s="591" customFormat="1" x14ac:dyDescent="0.2">
      <c r="A243" s="587"/>
      <c r="B243" s="566" t="s">
        <v>128</v>
      </c>
      <c r="C243" s="582">
        <f>SUM(C234:C242)</f>
        <v>100000000</v>
      </c>
      <c r="D243" s="588">
        <f>SUM(D236:D242)</f>
        <v>80.409999999999982</v>
      </c>
      <c r="E243" s="589">
        <f>G243/C232*100</f>
        <v>67.300000000000011</v>
      </c>
      <c r="F243" s="589">
        <f t="shared" si="50"/>
        <v>54.115929999999999</v>
      </c>
      <c r="G243" s="590">
        <f>SUM(G236:G242)</f>
        <v>67300000</v>
      </c>
      <c r="H243" s="589">
        <f>+G243/C232*100</f>
        <v>67.300000000000011</v>
      </c>
      <c r="I243" s="589">
        <f t="shared" si="52"/>
        <v>54.115929999999999</v>
      </c>
      <c r="J243" s="508">
        <f>SUM(J236:J242)</f>
        <v>13110000</v>
      </c>
      <c r="K243" s="497"/>
    </row>
    <row r="244" spans="1:11" s="591" customFormat="1" x14ac:dyDescent="0.2">
      <c r="A244" s="592"/>
      <c r="B244" s="593"/>
      <c r="C244" s="553"/>
      <c r="D244" s="506"/>
      <c r="E244" s="594"/>
      <c r="F244" s="594"/>
      <c r="G244" s="595"/>
      <c r="H244" s="594"/>
      <c r="I244" s="594"/>
      <c r="J244" s="506"/>
      <c r="K244" s="506"/>
    </row>
    <row r="245" spans="1:11" x14ac:dyDescent="0.2">
      <c r="E245" s="323"/>
      <c r="F245" s="323"/>
      <c r="H245" s="323"/>
      <c r="I245" s="323"/>
    </row>
    <row r="246" spans="1:11" x14ac:dyDescent="0.2">
      <c r="E246" s="323"/>
      <c r="F246" s="323"/>
      <c r="H246" s="323"/>
      <c r="I246" s="323"/>
    </row>
    <row r="247" spans="1:11" x14ac:dyDescent="0.2">
      <c r="E247" s="323"/>
      <c r="F247" s="323"/>
      <c r="H247" s="323"/>
      <c r="I247" s="323"/>
    </row>
    <row r="251" spans="1:11" ht="31.5" x14ac:dyDescent="0.25">
      <c r="A251" s="596"/>
      <c r="B251" s="597" t="s">
        <v>145</v>
      </c>
      <c r="C251" s="596"/>
      <c r="D251" s="598"/>
      <c r="E251" s="599"/>
      <c r="F251" s="599"/>
      <c r="G251" s="600"/>
      <c r="H251" s="599"/>
      <c r="I251" s="599"/>
      <c r="J251" s="598"/>
      <c r="K251" s="598"/>
    </row>
    <row r="252" spans="1:11" x14ac:dyDescent="0.2">
      <c r="A252" s="962" t="s">
        <v>304</v>
      </c>
      <c r="B252" s="954" t="s">
        <v>341</v>
      </c>
      <c r="C252" s="962" t="s">
        <v>326</v>
      </c>
      <c r="D252" s="976" t="s">
        <v>5</v>
      </c>
      <c r="E252" s="977"/>
      <c r="F252" s="977"/>
      <c r="G252" s="978" t="s">
        <v>6</v>
      </c>
      <c r="H252" s="977"/>
      <c r="I252" s="977"/>
      <c r="J252" s="979" t="s">
        <v>7</v>
      </c>
      <c r="K252" s="601" t="s">
        <v>8</v>
      </c>
    </row>
    <row r="253" spans="1:11" x14ac:dyDescent="0.2">
      <c r="A253" s="962"/>
      <c r="B253" s="954"/>
      <c r="C253" s="962"/>
      <c r="D253" s="601" t="s">
        <v>9</v>
      </c>
      <c r="E253" s="602" t="s">
        <v>10</v>
      </c>
      <c r="F253" s="602" t="s">
        <v>11</v>
      </c>
      <c r="G253" s="603" t="s">
        <v>12</v>
      </c>
      <c r="H253" s="602" t="s">
        <v>13</v>
      </c>
      <c r="I253" s="602" t="s">
        <v>11</v>
      </c>
      <c r="J253" s="968"/>
      <c r="K253" s="601"/>
    </row>
    <row r="254" spans="1:11" ht="13.5" thickBot="1" x14ac:dyDescent="0.25">
      <c r="A254" s="963"/>
      <c r="B254" s="955"/>
      <c r="C254" s="963"/>
      <c r="D254" s="604" t="s">
        <v>14</v>
      </c>
      <c r="E254" s="605" t="s">
        <v>14</v>
      </c>
      <c r="F254" s="605" t="s">
        <v>14</v>
      </c>
      <c r="G254" s="606" t="s">
        <v>15</v>
      </c>
      <c r="H254" s="605" t="s">
        <v>14</v>
      </c>
      <c r="I254" s="605" t="s">
        <v>14</v>
      </c>
      <c r="J254" s="604" t="s">
        <v>15</v>
      </c>
      <c r="K254" s="604"/>
    </row>
    <row r="255" spans="1:11" ht="13.5" thickBot="1" x14ac:dyDescent="0.25">
      <c r="A255" s="607"/>
      <c r="B255" s="608" t="s">
        <v>146</v>
      </c>
      <c r="C255" s="609">
        <f>C256</f>
        <v>90160000</v>
      </c>
      <c r="D255" s="437"/>
      <c r="E255" s="339"/>
      <c r="F255" s="339"/>
      <c r="G255" s="340"/>
      <c r="H255" s="339"/>
      <c r="I255" s="339"/>
      <c r="J255" s="437"/>
      <c r="K255" s="437"/>
    </row>
    <row r="256" spans="1:11" ht="13.5" thickBot="1" x14ac:dyDescent="0.25">
      <c r="A256" s="607"/>
      <c r="B256" s="610" t="s">
        <v>147</v>
      </c>
      <c r="C256" s="611">
        <f>C257</f>
        <v>90160000</v>
      </c>
      <c r="D256" s="441"/>
      <c r="E256" s="346"/>
      <c r="F256" s="346"/>
      <c r="G256" s="347"/>
      <c r="H256" s="346"/>
      <c r="I256" s="346"/>
      <c r="J256" s="441"/>
      <c r="K256" s="441"/>
    </row>
    <row r="257" spans="1:13" ht="26.25" thickBot="1" x14ac:dyDescent="0.25">
      <c r="A257" s="607" t="s">
        <v>148</v>
      </c>
      <c r="B257" s="612" t="s">
        <v>342</v>
      </c>
      <c r="C257" s="611">
        <v>90160000</v>
      </c>
      <c r="D257" s="585">
        <f>C257/C256*100</f>
        <v>100</v>
      </c>
      <c r="E257" s="543">
        <f>G257/C257*100</f>
        <v>30.789707187222714</v>
      </c>
      <c r="F257" s="543">
        <f t="shared" ref="F257" si="54">(D257*E257)/100</f>
        <v>30.78970718722271</v>
      </c>
      <c r="G257" s="347">
        <v>27760000</v>
      </c>
      <c r="H257" s="543">
        <f t="shared" ref="H257" si="55">+G257/C257*100</f>
        <v>30.789707187222714</v>
      </c>
      <c r="I257" s="543">
        <f t="shared" ref="I257" si="56">(D257*H257)/100</f>
        <v>30.78970718722271</v>
      </c>
      <c r="J257" s="586">
        <f t="shared" ref="J257" si="57">C257-G257</f>
        <v>62400000</v>
      </c>
      <c r="K257" s="441"/>
    </row>
    <row r="258" spans="1:13" x14ac:dyDescent="0.2">
      <c r="A258" s="613"/>
      <c r="B258" s="614" t="s">
        <v>154</v>
      </c>
      <c r="C258" s="615"/>
      <c r="D258" s="511"/>
      <c r="E258" s="513"/>
      <c r="F258" s="511"/>
      <c r="G258" s="518"/>
      <c r="H258" s="513"/>
      <c r="I258" s="511"/>
      <c r="J258" s="616"/>
      <c r="K258" s="375"/>
    </row>
    <row r="259" spans="1:13" x14ac:dyDescent="0.2">
      <c r="A259" s="417"/>
      <c r="B259" s="617"/>
      <c r="C259" s="618"/>
      <c r="D259" s="378"/>
      <c r="E259" s="457"/>
      <c r="F259" s="378"/>
      <c r="G259" s="379"/>
      <c r="H259" s="457"/>
      <c r="I259" s="378"/>
      <c r="J259" s="571"/>
      <c r="K259" s="328"/>
    </row>
    <row r="260" spans="1:13" ht="13.5" thickBot="1" x14ac:dyDescent="0.25">
      <c r="A260" s="417"/>
      <c r="B260" s="617"/>
      <c r="C260" s="618"/>
      <c r="D260" s="378"/>
      <c r="E260" s="457"/>
      <c r="F260" s="378"/>
      <c r="G260" s="379"/>
      <c r="H260" s="457"/>
      <c r="I260" s="378"/>
      <c r="J260" s="571"/>
      <c r="K260" s="328"/>
    </row>
    <row r="261" spans="1:13" x14ac:dyDescent="0.2">
      <c r="A261" s="961" t="s">
        <v>304</v>
      </c>
      <c r="B261" s="953" t="s">
        <v>341</v>
      </c>
      <c r="C261" s="961" t="s">
        <v>326</v>
      </c>
      <c r="D261" s="972" t="s">
        <v>5</v>
      </c>
      <c r="E261" s="973"/>
      <c r="F261" s="973"/>
      <c r="G261" s="974" t="s">
        <v>6</v>
      </c>
      <c r="H261" s="973"/>
      <c r="I261" s="973"/>
      <c r="J261" s="975" t="s">
        <v>7</v>
      </c>
      <c r="K261" s="619" t="s">
        <v>8</v>
      </c>
    </row>
    <row r="262" spans="1:13" x14ac:dyDescent="0.2">
      <c r="A262" s="962"/>
      <c r="B262" s="954"/>
      <c r="C262" s="962"/>
      <c r="D262" s="601" t="s">
        <v>9</v>
      </c>
      <c r="E262" s="602" t="s">
        <v>10</v>
      </c>
      <c r="F262" s="602" t="s">
        <v>11</v>
      </c>
      <c r="G262" s="603" t="s">
        <v>12</v>
      </c>
      <c r="H262" s="602" t="s">
        <v>13</v>
      </c>
      <c r="I262" s="602" t="s">
        <v>11</v>
      </c>
      <c r="J262" s="968"/>
      <c r="K262" s="601"/>
    </row>
    <row r="263" spans="1:13" ht="13.5" thickBot="1" x14ac:dyDescent="0.25">
      <c r="A263" s="963"/>
      <c r="B263" s="955"/>
      <c r="C263" s="963"/>
      <c r="D263" s="604" t="s">
        <v>14</v>
      </c>
      <c r="E263" s="605" t="s">
        <v>14</v>
      </c>
      <c r="F263" s="605" t="s">
        <v>14</v>
      </c>
      <c r="G263" s="606" t="s">
        <v>15</v>
      </c>
      <c r="H263" s="605" t="s">
        <v>14</v>
      </c>
      <c r="I263" s="605" t="s">
        <v>14</v>
      </c>
      <c r="J263" s="604" t="s">
        <v>15</v>
      </c>
      <c r="K263" s="604"/>
    </row>
    <row r="264" spans="1:13" ht="13.5" thickBot="1" x14ac:dyDescent="0.25">
      <c r="A264" s="607"/>
      <c r="B264" s="608" t="s">
        <v>146</v>
      </c>
      <c r="C264" s="609">
        <f>C265</f>
        <v>1153540000</v>
      </c>
      <c r="D264" s="437"/>
      <c r="E264" s="339"/>
      <c r="F264" s="339"/>
      <c r="G264" s="340"/>
      <c r="H264" s="339"/>
      <c r="I264" s="339"/>
      <c r="J264" s="437"/>
      <c r="K264" s="437"/>
    </row>
    <row r="265" spans="1:13" ht="13.5" thickBot="1" x14ac:dyDescent="0.25">
      <c r="A265" s="607"/>
      <c r="B265" s="610" t="s">
        <v>164</v>
      </c>
      <c r="C265" s="611">
        <f>C266+C267</f>
        <v>1153540000</v>
      </c>
      <c r="D265" s="441"/>
      <c r="E265" s="346"/>
      <c r="F265" s="346"/>
      <c r="G265" s="347"/>
      <c r="H265" s="346"/>
      <c r="I265" s="346"/>
      <c r="J265" s="441"/>
      <c r="K265" s="441"/>
    </row>
    <row r="266" spans="1:13" ht="26.25" thickBot="1" x14ac:dyDescent="0.25">
      <c r="A266" s="607" t="s">
        <v>148</v>
      </c>
      <c r="B266" s="612" t="s">
        <v>165</v>
      </c>
      <c r="C266" s="620">
        <v>282040000</v>
      </c>
      <c r="D266" s="585">
        <f>C266/C264*100</f>
        <v>24.449954054475786</v>
      </c>
      <c r="E266" s="543">
        <f>G266/C266*100</f>
        <v>80.877889661040996</v>
      </c>
      <c r="F266" s="543">
        <f t="shared" ref="F266:F267" si="58">(D266*E266)/100</f>
        <v>19.774606862354144</v>
      </c>
      <c r="G266" s="347">
        <f>204860000+13968000+9280000</f>
        <v>228108000</v>
      </c>
      <c r="H266" s="543">
        <f t="shared" ref="H266:H267" si="59">+G266/C266*100</f>
        <v>80.877889661040996</v>
      </c>
      <c r="I266" s="543">
        <f t="shared" ref="I266:I267" si="60">(D266*H266)/100</f>
        <v>19.774606862354144</v>
      </c>
      <c r="J266" s="586">
        <f t="shared" ref="J266:J267" si="61">C266-G266</f>
        <v>53932000</v>
      </c>
      <c r="K266" s="441"/>
      <c r="L266" s="323">
        <v>228108000</v>
      </c>
      <c r="M266" s="401">
        <f>G266-L266</f>
        <v>0</v>
      </c>
    </row>
    <row r="267" spans="1:13" ht="25.5" x14ac:dyDescent="0.2">
      <c r="A267" s="621" t="s">
        <v>152</v>
      </c>
      <c r="B267" s="622" t="s">
        <v>166</v>
      </c>
      <c r="C267" s="623">
        <v>871500000</v>
      </c>
      <c r="D267" s="585">
        <f>C267/C265*100</f>
        <v>75.550045945524218</v>
      </c>
      <c r="E267" s="543">
        <f>G267/C267*100</f>
        <v>80.952380952380949</v>
      </c>
      <c r="F267" s="543">
        <f t="shared" si="58"/>
        <v>61.159561003519599</v>
      </c>
      <c r="G267" s="479">
        <f>124500000+249000000+83000000+249000000</f>
        <v>705500000</v>
      </c>
      <c r="H267" s="543">
        <f t="shared" si="59"/>
        <v>80.952380952380949</v>
      </c>
      <c r="I267" s="543">
        <f t="shared" si="60"/>
        <v>61.159561003519599</v>
      </c>
      <c r="J267" s="586">
        <f t="shared" si="61"/>
        <v>166000000</v>
      </c>
      <c r="K267" s="624"/>
      <c r="L267" s="401">
        <f>L266-G266</f>
        <v>0</v>
      </c>
    </row>
    <row r="268" spans="1:13" x14ac:dyDescent="0.2">
      <c r="A268" s="497"/>
      <c r="B268" s="507" t="s">
        <v>95</v>
      </c>
      <c r="C268" s="392"/>
      <c r="D268" s="511"/>
      <c r="E268" s="513"/>
      <c r="F268" s="511"/>
      <c r="G268" s="518">
        <f>SUM(G267)</f>
        <v>705500000</v>
      </c>
      <c r="H268" s="513"/>
      <c r="I268" s="511"/>
      <c r="J268" s="616">
        <f>SUM(J267)</f>
        <v>166000000</v>
      </c>
      <c r="K268" s="375"/>
    </row>
    <row r="271" spans="1:13" ht="13.5" thickBot="1" x14ac:dyDescent="0.25">
      <c r="A271" s="376"/>
      <c r="B271" s="377"/>
      <c r="C271" s="376"/>
      <c r="D271" s="453"/>
      <c r="E271" s="454"/>
      <c r="F271" s="455"/>
      <c r="G271" s="456"/>
      <c r="H271" s="457"/>
      <c r="I271" s="455"/>
      <c r="J271" s="456"/>
      <c r="K271" s="485"/>
    </row>
    <row r="272" spans="1:13" x14ac:dyDescent="0.2">
      <c r="A272" s="961" t="s">
        <v>304</v>
      </c>
      <c r="B272" s="953" t="s">
        <v>343</v>
      </c>
      <c r="C272" s="961" t="s">
        <v>326</v>
      </c>
      <c r="D272" s="972" t="s">
        <v>5</v>
      </c>
      <c r="E272" s="973"/>
      <c r="F272" s="973"/>
      <c r="G272" s="974" t="s">
        <v>6</v>
      </c>
      <c r="H272" s="973"/>
      <c r="I272" s="973"/>
      <c r="J272" s="975" t="s">
        <v>7</v>
      </c>
      <c r="K272" s="619" t="s">
        <v>8</v>
      </c>
    </row>
    <row r="273" spans="1:11" x14ac:dyDescent="0.2">
      <c r="A273" s="962"/>
      <c r="B273" s="954"/>
      <c r="C273" s="962"/>
      <c r="D273" s="601" t="s">
        <v>9</v>
      </c>
      <c r="E273" s="602" t="s">
        <v>10</v>
      </c>
      <c r="F273" s="602" t="s">
        <v>11</v>
      </c>
      <c r="G273" s="603" t="s">
        <v>12</v>
      </c>
      <c r="H273" s="602" t="s">
        <v>13</v>
      </c>
      <c r="I273" s="602" t="s">
        <v>11</v>
      </c>
      <c r="J273" s="968"/>
      <c r="K273" s="601"/>
    </row>
    <row r="274" spans="1:11" ht="13.5" thickBot="1" x14ac:dyDescent="0.25">
      <c r="A274" s="963"/>
      <c r="B274" s="955"/>
      <c r="C274" s="963"/>
      <c r="D274" s="604" t="s">
        <v>14</v>
      </c>
      <c r="E274" s="605" t="s">
        <v>14</v>
      </c>
      <c r="F274" s="605" t="s">
        <v>14</v>
      </c>
      <c r="G274" s="606" t="s">
        <v>15</v>
      </c>
      <c r="H274" s="605" t="s">
        <v>14</v>
      </c>
      <c r="I274" s="605" t="s">
        <v>14</v>
      </c>
      <c r="J274" s="604" t="s">
        <v>15</v>
      </c>
      <c r="K274" s="604"/>
    </row>
    <row r="275" spans="1:11" ht="13.5" thickBot="1" x14ac:dyDescent="0.25">
      <c r="A275" s="625"/>
      <c r="B275" s="608" t="s">
        <v>146</v>
      </c>
      <c r="C275" s="611">
        <f>C276</f>
        <v>661341000</v>
      </c>
      <c r="D275" s="441"/>
      <c r="E275" s="346"/>
      <c r="F275" s="346"/>
      <c r="G275" s="347"/>
      <c r="H275" s="346"/>
      <c r="I275" s="346"/>
      <c r="J275" s="441"/>
      <c r="K275" s="441"/>
    </row>
    <row r="276" spans="1:11" x14ac:dyDescent="0.2">
      <c r="A276" s="625"/>
      <c r="B276" s="610" t="s">
        <v>156</v>
      </c>
      <c r="C276" s="611">
        <f>SUM(C277:C291)</f>
        <v>661341000</v>
      </c>
      <c r="D276" s="441"/>
      <c r="E276" s="626"/>
      <c r="F276" s="346"/>
      <c r="G276" s="347"/>
      <c r="H276" s="346"/>
      <c r="I276" s="346"/>
      <c r="J276" s="627"/>
      <c r="K276" s="441"/>
    </row>
    <row r="277" spans="1:11" x14ac:dyDescent="0.2">
      <c r="A277" s="625" t="s">
        <v>59</v>
      </c>
      <c r="B277" s="622" t="s">
        <v>344</v>
      </c>
      <c r="C277" s="623">
        <v>8338000</v>
      </c>
      <c r="D277" s="585">
        <f>C277/C275*100</f>
        <v>1.2607716745219184</v>
      </c>
      <c r="E277" s="543">
        <f t="shared" ref="E277:E290" si="62">G277/C277*100</f>
        <v>85.608059486687466</v>
      </c>
      <c r="F277" s="543">
        <f t="shared" ref="F277:F290" si="63">(D277*E277)/100</f>
        <v>1.0793221651160296</v>
      </c>
      <c r="G277" s="479">
        <v>7138000</v>
      </c>
      <c r="H277" s="543">
        <f t="shared" ref="H277:H290" si="64">+G277/C277*100</f>
        <v>85.608059486687466</v>
      </c>
      <c r="I277" s="543">
        <f t="shared" ref="I277:I290" si="65">(D277*H277)/100</f>
        <v>1.0793221651160296</v>
      </c>
      <c r="J277" s="586">
        <f t="shared" ref="J277:J290" si="66">C277-G277</f>
        <v>1200000</v>
      </c>
      <c r="K277" s="624"/>
    </row>
    <row r="278" spans="1:11" x14ac:dyDescent="0.2">
      <c r="A278" s="625" t="s">
        <v>62</v>
      </c>
      <c r="B278" s="628" t="s">
        <v>63</v>
      </c>
      <c r="C278" s="623">
        <v>7138000</v>
      </c>
      <c r="D278" s="585">
        <f>C278/C276*100</f>
        <v>1.0793221651160294</v>
      </c>
      <c r="E278" s="543">
        <f t="shared" si="62"/>
        <v>98.935275987671616</v>
      </c>
      <c r="F278" s="543">
        <f t="shared" si="63"/>
        <v>1.0678303628536563</v>
      </c>
      <c r="G278" s="512">
        <v>7062000</v>
      </c>
      <c r="H278" s="543">
        <f t="shared" si="64"/>
        <v>98.935275987671616</v>
      </c>
      <c r="I278" s="543">
        <f t="shared" si="65"/>
        <v>1.0678303628536563</v>
      </c>
      <c r="J278" s="586">
        <f t="shared" si="66"/>
        <v>76000</v>
      </c>
      <c r="K278" s="336"/>
    </row>
    <row r="279" spans="1:11" ht="25.5" x14ac:dyDescent="0.2">
      <c r="A279" s="625" t="s">
        <v>148</v>
      </c>
      <c r="B279" s="628" t="s">
        <v>161</v>
      </c>
      <c r="C279" s="629">
        <v>268075000</v>
      </c>
      <c r="D279" s="585">
        <f>C279/C276*100</f>
        <v>40.53506436165307</v>
      </c>
      <c r="E279" s="543">
        <f t="shared" si="62"/>
        <v>56.741583512076843</v>
      </c>
      <c r="F279" s="543">
        <f t="shared" si="63"/>
        <v>23.000237396441477</v>
      </c>
      <c r="G279" s="512">
        <f>24500000+19600000+25000000+10000000+8000000+2500000+15000000+10000000+37510000</f>
        <v>152110000</v>
      </c>
      <c r="H279" s="543">
        <f t="shared" si="64"/>
        <v>56.741583512076843</v>
      </c>
      <c r="I279" s="543">
        <f t="shared" si="65"/>
        <v>23.000237396441477</v>
      </c>
      <c r="J279" s="586">
        <f t="shared" si="66"/>
        <v>115965000</v>
      </c>
      <c r="K279" s="336"/>
    </row>
    <row r="280" spans="1:11" x14ac:dyDescent="0.2">
      <c r="A280" s="625" t="s">
        <v>77</v>
      </c>
      <c r="B280" s="628" t="s">
        <v>103</v>
      </c>
      <c r="C280" s="629">
        <v>17590000</v>
      </c>
      <c r="D280" s="585">
        <f>C280/C276*100</f>
        <v>2.6597473920413219</v>
      </c>
      <c r="E280" s="543">
        <f t="shared" si="62"/>
        <v>100</v>
      </c>
      <c r="F280" s="543">
        <f t="shared" si="63"/>
        <v>2.6597473920413224</v>
      </c>
      <c r="G280" s="512">
        <v>17590000</v>
      </c>
      <c r="H280" s="543">
        <f t="shared" si="64"/>
        <v>100</v>
      </c>
      <c r="I280" s="543">
        <f t="shared" si="65"/>
        <v>2.6597473920413224</v>
      </c>
      <c r="J280" s="586">
        <f t="shared" si="66"/>
        <v>0</v>
      </c>
      <c r="K280" s="336"/>
    </row>
    <row r="281" spans="1:11" x14ac:dyDescent="0.2">
      <c r="A281" s="625" t="s">
        <v>104</v>
      </c>
      <c r="B281" s="628" t="s">
        <v>345</v>
      </c>
      <c r="C281" s="629">
        <v>15000000</v>
      </c>
      <c r="D281" s="585">
        <f>C281/C276*100</f>
        <v>2.2681188675736119</v>
      </c>
      <c r="E281" s="543">
        <f t="shared" si="62"/>
        <v>100</v>
      </c>
      <c r="F281" s="543">
        <f t="shared" si="63"/>
        <v>2.2681188675736119</v>
      </c>
      <c r="G281" s="512">
        <v>15000000</v>
      </c>
      <c r="H281" s="543">
        <f t="shared" si="64"/>
        <v>100</v>
      </c>
      <c r="I281" s="543">
        <f t="shared" si="65"/>
        <v>2.2681188675736119</v>
      </c>
      <c r="J281" s="586">
        <f t="shared" si="66"/>
        <v>0</v>
      </c>
      <c r="K281" s="336"/>
    </row>
    <row r="282" spans="1:11" ht="25.5" x14ac:dyDescent="0.2">
      <c r="A282" s="625" t="s">
        <v>106</v>
      </c>
      <c r="B282" s="628" t="s">
        <v>346</v>
      </c>
      <c r="C282" s="629">
        <v>1600000</v>
      </c>
      <c r="D282" s="585">
        <f>C282/C276*100</f>
        <v>0.24193267920785194</v>
      </c>
      <c r="E282" s="543">
        <f t="shared" si="62"/>
        <v>100</v>
      </c>
      <c r="F282" s="543">
        <f t="shared" si="63"/>
        <v>0.24193267920785191</v>
      </c>
      <c r="G282" s="512">
        <v>1600000</v>
      </c>
      <c r="H282" s="543">
        <f t="shared" si="64"/>
        <v>100</v>
      </c>
      <c r="I282" s="543">
        <f t="shared" si="65"/>
        <v>0.24193267920785191</v>
      </c>
      <c r="J282" s="586">
        <f t="shared" si="66"/>
        <v>0</v>
      </c>
      <c r="K282" s="336"/>
    </row>
    <row r="283" spans="1:11" ht="25.5" x14ac:dyDescent="0.2">
      <c r="A283" s="625" t="s">
        <v>152</v>
      </c>
      <c r="B283" s="628" t="s">
        <v>347</v>
      </c>
      <c r="C283" s="629">
        <v>240000000</v>
      </c>
      <c r="D283" s="585">
        <f>C283/C276*100</f>
        <v>36.289901881177791</v>
      </c>
      <c r="E283" s="543">
        <f t="shared" si="62"/>
        <v>83.333333333333343</v>
      </c>
      <c r="F283" s="543">
        <f t="shared" si="63"/>
        <v>30.241584900981497</v>
      </c>
      <c r="G283" s="512">
        <f>40000000+20000000+80000000+60000000</f>
        <v>200000000</v>
      </c>
      <c r="H283" s="543">
        <f t="shared" si="64"/>
        <v>83.333333333333343</v>
      </c>
      <c r="I283" s="543">
        <f t="shared" si="65"/>
        <v>30.241584900981497</v>
      </c>
      <c r="J283" s="586">
        <f t="shared" si="66"/>
        <v>40000000</v>
      </c>
      <c r="K283" s="336"/>
    </row>
    <row r="284" spans="1:11" x14ac:dyDescent="0.2">
      <c r="A284" s="625" t="s">
        <v>348</v>
      </c>
      <c r="B284" s="628" t="s">
        <v>349</v>
      </c>
      <c r="C284" s="629">
        <v>26000000</v>
      </c>
      <c r="D284" s="585">
        <f>C284/C276*100</f>
        <v>3.9314060371275938</v>
      </c>
      <c r="E284" s="543">
        <f t="shared" si="62"/>
        <v>100</v>
      </c>
      <c r="F284" s="543">
        <f t="shared" si="63"/>
        <v>3.9314060371275938</v>
      </c>
      <c r="G284" s="512">
        <v>26000000</v>
      </c>
      <c r="H284" s="543">
        <f t="shared" si="64"/>
        <v>100</v>
      </c>
      <c r="I284" s="543">
        <f t="shared" si="65"/>
        <v>3.9314060371275938</v>
      </c>
      <c r="J284" s="586">
        <f t="shared" si="66"/>
        <v>0</v>
      </c>
      <c r="K284" s="336"/>
    </row>
    <row r="285" spans="1:11" x14ac:dyDescent="0.2">
      <c r="A285" s="625" t="s">
        <v>108</v>
      </c>
      <c r="B285" s="628" t="s">
        <v>350</v>
      </c>
      <c r="C285" s="629">
        <v>1600000</v>
      </c>
      <c r="D285" s="585">
        <f>C285/C276*100</f>
        <v>0.24193267920785194</v>
      </c>
      <c r="E285" s="543">
        <f t="shared" si="62"/>
        <v>100</v>
      </c>
      <c r="F285" s="543">
        <f t="shared" si="63"/>
        <v>0.24193267920785191</v>
      </c>
      <c r="G285" s="512">
        <v>1600000</v>
      </c>
      <c r="H285" s="543">
        <f t="shared" si="64"/>
        <v>100</v>
      </c>
      <c r="I285" s="543">
        <f t="shared" si="65"/>
        <v>0.24193267920785191</v>
      </c>
      <c r="J285" s="586">
        <f t="shared" si="66"/>
        <v>0</v>
      </c>
      <c r="K285" s="336"/>
    </row>
    <row r="286" spans="1:11" x14ac:dyDescent="0.2">
      <c r="A286" s="625" t="s">
        <v>110</v>
      </c>
      <c r="B286" s="628" t="s">
        <v>351</v>
      </c>
      <c r="C286" s="629"/>
      <c r="D286" s="585">
        <f>C286/C276*100</f>
        <v>0</v>
      </c>
      <c r="E286" s="543" t="e">
        <f t="shared" si="62"/>
        <v>#DIV/0!</v>
      </c>
      <c r="F286" s="543" t="e">
        <f t="shared" si="63"/>
        <v>#DIV/0!</v>
      </c>
      <c r="G286" s="512"/>
      <c r="H286" s="543" t="e">
        <f t="shared" si="64"/>
        <v>#DIV/0!</v>
      </c>
      <c r="I286" s="543" t="e">
        <f t="shared" si="65"/>
        <v>#DIV/0!</v>
      </c>
      <c r="J286" s="586">
        <f t="shared" si="66"/>
        <v>0</v>
      </c>
      <c r="K286" s="336"/>
    </row>
    <row r="287" spans="1:11" x14ac:dyDescent="0.2">
      <c r="A287" s="625" t="s">
        <v>162</v>
      </c>
      <c r="B287" s="628" t="s">
        <v>352</v>
      </c>
      <c r="C287" s="629"/>
      <c r="D287" s="585">
        <f>C287/C276*100</f>
        <v>0</v>
      </c>
      <c r="E287" s="543" t="e">
        <f t="shared" si="62"/>
        <v>#DIV/0!</v>
      </c>
      <c r="F287" s="543" t="e">
        <f t="shared" si="63"/>
        <v>#DIV/0!</v>
      </c>
      <c r="G287" s="512"/>
      <c r="H287" s="543" t="e">
        <f t="shared" si="64"/>
        <v>#DIV/0!</v>
      </c>
      <c r="I287" s="543" t="e">
        <f t="shared" si="65"/>
        <v>#DIV/0!</v>
      </c>
      <c r="J287" s="586">
        <f t="shared" si="66"/>
        <v>0</v>
      </c>
      <c r="K287" s="336"/>
    </row>
    <row r="288" spans="1:11" x14ac:dyDescent="0.2">
      <c r="A288" s="625" t="s">
        <v>114</v>
      </c>
      <c r="B288" s="628" t="s">
        <v>115</v>
      </c>
      <c r="C288" s="629">
        <v>10000000</v>
      </c>
      <c r="D288" s="585">
        <f>C288/C276*100</f>
        <v>1.5120792450490745</v>
      </c>
      <c r="E288" s="543">
        <f t="shared" si="62"/>
        <v>100</v>
      </c>
      <c r="F288" s="543">
        <f t="shared" si="63"/>
        <v>1.5120792450490745</v>
      </c>
      <c r="G288" s="512">
        <v>10000000</v>
      </c>
      <c r="H288" s="543">
        <f t="shared" si="64"/>
        <v>100</v>
      </c>
      <c r="I288" s="543">
        <f t="shared" si="65"/>
        <v>1.5120792450490745</v>
      </c>
      <c r="J288" s="586">
        <f t="shared" si="66"/>
        <v>0</v>
      </c>
      <c r="K288" s="336"/>
    </row>
    <row r="289" spans="1:11" x14ac:dyDescent="0.2">
      <c r="A289" s="625" t="s">
        <v>287</v>
      </c>
      <c r="B289" s="628" t="s">
        <v>288</v>
      </c>
      <c r="C289" s="629">
        <v>46000000</v>
      </c>
      <c r="D289" s="585">
        <f>C289/C276*100</f>
        <v>6.955564527225742</v>
      </c>
      <c r="E289" s="543">
        <f t="shared" si="62"/>
        <v>100</v>
      </c>
      <c r="F289" s="543">
        <f t="shared" si="63"/>
        <v>6.9555645272257429</v>
      </c>
      <c r="G289" s="512">
        <v>46000000</v>
      </c>
      <c r="H289" s="543">
        <f t="shared" si="64"/>
        <v>100</v>
      </c>
      <c r="I289" s="543">
        <f t="shared" si="65"/>
        <v>6.9555645272257429</v>
      </c>
      <c r="J289" s="586">
        <f t="shared" si="66"/>
        <v>0</v>
      </c>
      <c r="K289" s="336"/>
    </row>
    <row r="290" spans="1:11" x14ac:dyDescent="0.2">
      <c r="A290" s="625" t="s">
        <v>353</v>
      </c>
      <c r="B290" s="628" t="s">
        <v>354</v>
      </c>
      <c r="C290" s="629">
        <v>20000000</v>
      </c>
      <c r="D290" s="585">
        <f>C290/C276*100</f>
        <v>3.0241584900981491</v>
      </c>
      <c r="E290" s="543">
        <f t="shared" si="62"/>
        <v>0</v>
      </c>
      <c r="F290" s="543">
        <f t="shared" si="63"/>
        <v>0</v>
      </c>
      <c r="G290" s="323"/>
      <c r="H290" s="543">
        <f t="shared" si="64"/>
        <v>0</v>
      </c>
      <c r="I290" s="543">
        <f t="shared" si="65"/>
        <v>0</v>
      </c>
      <c r="J290" s="586">
        <f t="shared" si="66"/>
        <v>20000000</v>
      </c>
      <c r="K290" s="336"/>
    </row>
    <row r="291" spans="1:11" x14ac:dyDescent="0.2">
      <c r="A291" s="335"/>
      <c r="B291" s="614" t="s">
        <v>154</v>
      </c>
      <c r="C291" s="629"/>
      <c r="D291" s="509"/>
      <c r="E291" s="513"/>
      <c r="F291" s="511"/>
      <c r="G291" s="512">
        <f>SUM(G277:G288)</f>
        <v>438100000</v>
      </c>
      <c r="H291" s="513"/>
      <c r="I291" s="511"/>
      <c r="J291" s="616">
        <f>SUM(J277:J290)</f>
        <v>177241000</v>
      </c>
      <c r="K291" s="336"/>
    </row>
    <row r="292" spans="1:11" x14ac:dyDescent="0.2">
      <c r="A292" s="376"/>
      <c r="B292" s="377"/>
      <c r="C292" s="376"/>
      <c r="D292" s="453"/>
      <c r="E292" s="454"/>
      <c r="F292" s="416"/>
      <c r="G292" s="456"/>
      <c r="H292" s="457"/>
      <c r="I292" s="455"/>
      <c r="J292" s="456"/>
      <c r="K292" s="485"/>
    </row>
    <row r="293" spans="1:11" ht="13.5" thickBot="1" x14ac:dyDescent="0.25">
      <c r="A293" s="376"/>
      <c r="B293" s="377"/>
      <c r="C293" s="376"/>
      <c r="D293" s="453"/>
      <c r="E293" s="454"/>
      <c r="F293" s="455"/>
      <c r="G293" s="456"/>
      <c r="H293" s="457"/>
      <c r="I293" s="455"/>
      <c r="J293" s="456"/>
      <c r="K293" s="485"/>
    </row>
    <row r="294" spans="1:11" x14ac:dyDescent="0.2">
      <c r="A294" s="961" t="s">
        <v>304</v>
      </c>
      <c r="B294" s="953" t="s">
        <v>343</v>
      </c>
      <c r="C294" s="961" t="s">
        <v>326</v>
      </c>
      <c r="D294" s="964" t="s">
        <v>5</v>
      </c>
      <c r="E294" s="965"/>
      <c r="F294" s="965"/>
      <c r="G294" s="966" t="s">
        <v>6</v>
      </c>
      <c r="H294" s="965"/>
      <c r="I294" s="965"/>
      <c r="J294" s="967" t="s">
        <v>7</v>
      </c>
      <c r="K294" s="630" t="s">
        <v>8</v>
      </c>
    </row>
    <row r="295" spans="1:11" x14ac:dyDescent="0.2">
      <c r="A295" s="962"/>
      <c r="B295" s="954"/>
      <c r="C295" s="962"/>
      <c r="D295" s="601" t="s">
        <v>9</v>
      </c>
      <c r="E295" s="602" t="s">
        <v>10</v>
      </c>
      <c r="F295" s="602" t="s">
        <v>11</v>
      </c>
      <c r="G295" s="603" t="s">
        <v>12</v>
      </c>
      <c r="H295" s="602" t="s">
        <v>13</v>
      </c>
      <c r="I295" s="602" t="s">
        <v>11</v>
      </c>
      <c r="J295" s="968"/>
      <c r="K295" s="631"/>
    </row>
    <row r="296" spans="1:11" ht="13.5" thickBot="1" x14ac:dyDescent="0.25">
      <c r="A296" s="963"/>
      <c r="B296" s="955"/>
      <c r="C296" s="963"/>
      <c r="D296" s="604" t="s">
        <v>14</v>
      </c>
      <c r="E296" s="605" t="s">
        <v>14</v>
      </c>
      <c r="F296" s="605" t="s">
        <v>14</v>
      </c>
      <c r="G296" s="606" t="s">
        <v>15</v>
      </c>
      <c r="H296" s="605" t="s">
        <v>14</v>
      </c>
      <c r="I296" s="605" t="s">
        <v>14</v>
      </c>
      <c r="J296" s="604" t="s">
        <v>15</v>
      </c>
      <c r="K296" s="632"/>
    </row>
    <row r="297" spans="1:11" ht="13.5" thickBot="1" x14ac:dyDescent="0.25">
      <c r="A297" s="633"/>
      <c r="B297" s="608" t="s">
        <v>146</v>
      </c>
      <c r="C297" s="609">
        <f>C298</f>
        <v>388210000</v>
      </c>
      <c r="D297" s="437"/>
      <c r="E297" s="339"/>
      <c r="F297" s="339"/>
      <c r="G297" s="340"/>
      <c r="H297" s="339"/>
      <c r="I297" s="339"/>
      <c r="J297" s="437"/>
      <c r="K297" s="437"/>
    </row>
    <row r="298" spans="1:11" ht="13.5" thickBot="1" x14ac:dyDescent="0.25">
      <c r="A298" s="633"/>
      <c r="B298" s="610" t="s">
        <v>147</v>
      </c>
      <c r="C298" s="611">
        <f>C299</f>
        <v>388210000</v>
      </c>
      <c r="D298" s="441"/>
      <c r="E298" s="346"/>
      <c r="F298" s="346"/>
      <c r="G298" s="347"/>
      <c r="H298" s="346"/>
      <c r="I298" s="346"/>
      <c r="J298" s="441"/>
      <c r="K298" s="441"/>
    </row>
    <row r="299" spans="1:11" ht="26.25" thickBot="1" x14ac:dyDescent="0.25">
      <c r="A299" s="633" t="s">
        <v>148</v>
      </c>
      <c r="B299" s="612" t="s">
        <v>163</v>
      </c>
      <c r="C299" s="611">
        <v>388210000</v>
      </c>
      <c r="D299" s="585">
        <f>C299/C298*100</f>
        <v>100</v>
      </c>
      <c r="E299" s="543">
        <f>G299/C299*100</f>
        <v>84.544447592797709</v>
      </c>
      <c r="F299" s="543">
        <f t="shared" ref="F299" si="67">(D299*E299)/100</f>
        <v>84.544447592797709</v>
      </c>
      <c r="G299" s="347">
        <v>328210000</v>
      </c>
      <c r="H299" s="543">
        <f t="shared" ref="H299" si="68">+G299/C299*100</f>
        <v>84.544447592797709</v>
      </c>
      <c r="I299" s="543">
        <f t="shared" ref="I299" si="69">(D299*H299)/100</f>
        <v>84.544447592797709</v>
      </c>
      <c r="J299" s="586">
        <f t="shared" ref="J299" si="70">C299-G299</f>
        <v>60000000</v>
      </c>
      <c r="K299" s="441"/>
    </row>
    <row r="300" spans="1:11" x14ac:dyDescent="0.2">
      <c r="A300" s="497"/>
      <c r="B300" s="507" t="s">
        <v>95</v>
      </c>
      <c r="C300" s="392"/>
      <c r="D300" s="511"/>
      <c r="E300" s="513"/>
      <c r="F300" s="511"/>
      <c r="G300" s="518" t="e">
        <f>SUM(#REF!)</f>
        <v>#REF!</v>
      </c>
      <c r="H300" s="513"/>
      <c r="I300" s="511"/>
      <c r="J300" s="616" t="e">
        <f>SUM(#REF!)</f>
        <v>#REF!</v>
      </c>
      <c r="K300" s="375"/>
    </row>
    <row r="301" spans="1:11" x14ac:dyDescent="0.2">
      <c r="A301" s="376"/>
      <c r="B301" s="377"/>
      <c r="C301" s="376"/>
      <c r="D301" s="453"/>
      <c r="E301" s="454"/>
      <c r="F301" s="455"/>
      <c r="G301" s="456"/>
      <c r="H301" s="457"/>
      <c r="I301" s="455"/>
      <c r="J301" s="456"/>
      <c r="K301" s="485"/>
    </row>
    <row r="304" spans="1:11" ht="13.5" thickBot="1" x14ac:dyDescent="0.25"/>
    <row r="305" spans="1:12" x14ac:dyDescent="0.2">
      <c r="A305" s="961" t="s">
        <v>304</v>
      </c>
      <c r="B305" s="953" t="s">
        <v>355</v>
      </c>
      <c r="C305" s="961" t="s">
        <v>326</v>
      </c>
      <c r="D305" s="972" t="s">
        <v>5</v>
      </c>
      <c r="E305" s="973"/>
      <c r="F305" s="973"/>
      <c r="G305" s="974" t="s">
        <v>6</v>
      </c>
      <c r="H305" s="973"/>
      <c r="I305" s="973"/>
      <c r="J305" s="975" t="s">
        <v>7</v>
      </c>
      <c r="K305" s="619" t="s">
        <v>8</v>
      </c>
    </row>
    <row r="306" spans="1:12" x14ac:dyDescent="0.2">
      <c r="A306" s="962"/>
      <c r="B306" s="954"/>
      <c r="C306" s="962"/>
      <c r="D306" s="601" t="s">
        <v>9</v>
      </c>
      <c r="E306" s="602" t="s">
        <v>10</v>
      </c>
      <c r="F306" s="602" t="s">
        <v>11</v>
      </c>
      <c r="G306" s="603" t="s">
        <v>12</v>
      </c>
      <c r="H306" s="602" t="s">
        <v>13</v>
      </c>
      <c r="I306" s="602" t="s">
        <v>11</v>
      </c>
      <c r="J306" s="968"/>
      <c r="K306" s="601"/>
    </row>
    <row r="307" spans="1:12" ht="13.5" thickBot="1" x14ac:dyDescent="0.25">
      <c r="A307" s="963"/>
      <c r="B307" s="955"/>
      <c r="C307" s="963"/>
      <c r="D307" s="604" t="s">
        <v>14</v>
      </c>
      <c r="E307" s="605" t="s">
        <v>14</v>
      </c>
      <c r="F307" s="605" t="s">
        <v>14</v>
      </c>
      <c r="G307" s="606" t="s">
        <v>15</v>
      </c>
      <c r="H307" s="605" t="s">
        <v>14</v>
      </c>
      <c r="I307" s="605" t="s">
        <v>14</v>
      </c>
      <c r="J307" s="604" t="s">
        <v>15</v>
      </c>
      <c r="K307" s="604"/>
    </row>
    <row r="308" spans="1:12" ht="13.5" thickBot="1" x14ac:dyDescent="0.25">
      <c r="A308" s="607"/>
      <c r="B308" s="608" t="s">
        <v>146</v>
      </c>
      <c r="C308" s="609">
        <f>C309</f>
        <v>524051000</v>
      </c>
      <c r="D308" s="437"/>
      <c r="E308" s="339"/>
      <c r="F308" s="339"/>
      <c r="G308" s="340"/>
      <c r="H308" s="339"/>
      <c r="I308" s="339"/>
      <c r="J308" s="437"/>
      <c r="K308" s="437"/>
    </row>
    <row r="309" spans="1:12" x14ac:dyDescent="0.2">
      <c r="A309" s="625"/>
      <c r="B309" s="610" t="s">
        <v>147</v>
      </c>
      <c r="C309" s="611">
        <f>C310</f>
        <v>524051000</v>
      </c>
      <c r="D309" s="441"/>
      <c r="E309" s="346"/>
      <c r="F309" s="346"/>
      <c r="G309" s="347"/>
      <c r="H309" s="346"/>
      <c r="I309" s="346"/>
      <c r="J309" s="441"/>
      <c r="K309" s="441"/>
    </row>
    <row r="310" spans="1:12" ht="25.5" x14ac:dyDescent="0.2">
      <c r="A310" s="625" t="s">
        <v>148</v>
      </c>
      <c r="B310" s="634" t="s">
        <v>155</v>
      </c>
      <c r="C310" s="615">
        <v>524051000</v>
      </c>
      <c r="D310" s="585">
        <f>C310/C309*100</f>
        <v>100</v>
      </c>
      <c r="E310" s="543">
        <f>G310/C310*100</f>
        <v>83.08370750175078</v>
      </c>
      <c r="F310" s="543">
        <f>(D310*E310)/100</f>
        <v>83.08370750175078</v>
      </c>
      <c r="G310" s="479">
        <f>380411000+27250000+21800000+5940000</f>
        <v>435401000</v>
      </c>
      <c r="H310" s="543">
        <f t="shared" ref="H310:H311" si="71">+G310/C310*100</f>
        <v>83.08370750175078</v>
      </c>
      <c r="I310" s="543">
        <f t="shared" ref="I310:I311" si="72">(D310*H310)/100</f>
        <v>83.08370750175078</v>
      </c>
      <c r="J310" s="586">
        <f t="shared" ref="J310:J311" si="73">C310-G310</f>
        <v>88650000</v>
      </c>
      <c r="K310" s="336"/>
      <c r="L310" s="323">
        <v>435401000</v>
      </c>
    </row>
    <row r="311" spans="1:12" x14ac:dyDescent="0.2">
      <c r="A311" s="635"/>
      <c r="B311" s="636"/>
      <c r="C311" s="615">
        <f>SUM(C310)</f>
        <v>524051000</v>
      </c>
      <c r="D311" s="637">
        <f>C311/C308*100</f>
        <v>100</v>
      </c>
      <c r="E311" s="513">
        <f t="shared" ref="E311" si="74">G311/C311*100</f>
        <v>0</v>
      </c>
      <c r="F311" s="511">
        <f t="shared" ref="F311" si="75">(D311*E311)/100</f>
        <v>0</v>
      </c>
      <c r="G311" s="518">
        <v>0</v>
      </c>
      <c r="H311" s="513">
        <f t="shared" si="71"/>
        <v>0</v>
      </c>
      <c r="I311" s="511">
        <f t="shared" si="72"/>
        <v>0</v>
      </c>
      <c r="J311" s="616">
        <f t="shared" si="73"/>
        <v>524051000</v>
      </c>
      <c r="K311" s="336"/>
      <c r="L311" s="401">
        <f>G310-L310</f>
        <v>0</v>
      </c>
    </row>
    <row r="312" spans="1:12" x14ac:dyDescent="0.2">
      <c r="A312" s="376"/>
      <c r="B312" s="377"/>
      <c r="C312" s="376"/>
      <c r="D312" s="453"/>
      <c r="E312" s="454"/>
      <c r="F312" s="455"/>
      <c r="G312" s="456"/>
      <c r="H312" s="457"/>
      <c r="I312" s="455"/>
      <c r="J312" s="515"/>
      <c r="K312" s="485"/>
    </row>
    <row r="313" spans="1:12" x14ac:dyDescent="0.2">
      <c r="A313" s="376"/>
      <c r="B313" s="377"/>
      <c r="C313" s="376"/>
      <c r="D313" s="453"/>
      <c r="E313" s="454"/>
      <c r="F313" s="455"/>
      <c r="G313" s="456"/>
      <c r="H313" s="457"/>
      <c r="I313" s="455"/>
      <c r="J313" s="515"/>
      <c r="K313" s="485"/>
    </row>
    <row r="314" spans="1:12" x14ac:dyDescent="0.2">
      <c r="A314" s="376"/>
      <c r="B314" s="377"/>
      <c r="C314" s="376"/>
      <c r="D314" s="453"/>
      <c r="E314" s="454"/>
      <c r="F314" s="455"/>
      <c r="G314" s="456"/>
      <c r="H314" s="457"/>
      <c r="I314" s="455"/>
      <c r="J314" s="515"/>
      <c r="K314" s="485"/>
    </row>
    <row r="315" spans="1:12" ht="13.5" thickBot="1" x14ac:dyDescent="0.25">
      <c r="A315" s="376"/>
      <c r="B315" s="377"/>
      <c r="C315" s="376"/>
      <c r="D315" s="453"/>
      <c r="E315" s="454"/>
      <c r="F315" s="455"/>
      <c r="G315" s="456"/>
      <c r="H315" s="457"/>
      <c r="I315" s="455"/>
      <c r="J315" s="456"/>
      <c r="K315" s="485"/>
    </row>
    <row r="316" spans="1:12" x14ac:dyDescent="0.2">
      <c r="A316" s="961" t="s">
        <v>304</v>
      </c>
      <c r="B316" s="953" t="s">
        <v>356</v>
      </c>
      <c r="C316" s="961" t="s">
        <v>326</v>
      </c>
      <c r="D316" s="964" t="s">
        <v>5</v>
      </c>
      <c r="E316" s="965"/>
      <c r="F316" s="965"/>
      <c r="G316" s="966" t="s">
        <v>6</v>
      </c>
      <c r="H316" s="965"/>
      <c r="I316" s="965"/>
      <c r="J316" s="967" t="s">
        <v>7</v>
      </c>
      <c r="K316" s="630" t="s">
        <v>8</v>
      </c>
    </row>
    <row r="317" spans="1:12" x14ac:dyDescent="0.2">
      <c r="A317" s="962"/>
      <c r="B317" s="954"/>
      <c r="C317" s="962"/>
      <c r="D317" s="601" t="s">
        <v>9</v>
      </c>
      <c r="E317" s="602" t="s">
        <v>10</v>
      </c>
      <c r="F317" s="602" t="s">
        <v>11</v>
      </c>
      <c r="G317" s="603" t="s">
        <v>12</v>
      </c>
      <c r="H317" s="602" t="s">
        <v>13</v>
      </c>
      <c r="I317" s="602" t="s">
        <v>11</v>
      </c>
      <c r="J317" s="968"/>
      <c r="K317" s="631"/>
    </row>
    <row r="318" spans="1:12" ht="13.5" thickBot="1" x14ac:dyDescent="0.25">
      <c r="A318" s="963"/>
      <c r="B318" s="955"/>
      <c r="C318" s="963"/>
      <c r="D318" s="604" t="s">
        <v>14</v>
      </c>
      <c r="E318" s="605" t="s">
        <v>14</v>
      </c>
      <c r="F318" s="605" t="s">
        <v>14</v>
      </c>
      <c r="G318" s="606" t="s">
        <v>15</v>
      </c>
      <c r="H318" s="605" t="s">
        <v>14</v>
      </c>
      <c r="I318" s="605" t="s">
        <v>14</v>
      </c>
      <c r="J318" s="604" t="s">
        <v>15</v>
      </c>
      <c r="K318" s="632"/>
    </row>
    <row r="319" spans="1:12" ht="13.5" thickBot="1" x14ac:dyDescent="0.25">
      <c r="A319" s="638"/>
      <c r="B319" s="608" t="s">
        <v>146</v>
      </c>
      <c r="C319" s="639">
        <f>C320</f>
        <v>688874000</v>
      </c>
      <c r="D319" s="437"/>
      <c r="E319" s="339"/>
      <c r="F319" s="339"/>
      <c r="G319" s="340"/>
      <c r="H319" s="339"/>
      <c r="I319" s="339"/>
      <c r="J319" s="437"/>
      <c r="K319" s="437"/>
    </row>
    <row r="320" spans="1:12" ht="13.5" thickBot="1" x14ac:dyDescent="0.25">
      <c r="A320" s="638"/>
      <c r="B320" s="610" t="s">
        <v>156</v>
      </c>
      <c r="C320" s="611">
        <f>SUM(C321:C322)</f>
        <v>688874000</v>
      </c>
      <c r="D320" s="441"/>
      <c r="E320" s="346"/>
      <c r="F320" s="346"/>
      <c r="G320" s="347"/>
      <c r="H320" s="346"/>
      <c r="I320" s="346"/>
      <c r="J320" s="441"/>
      <c r="K320" s="441"/>
    </row>
    <row r="321" spans="1:13" ht="25.5" x14ac:dyDescent="0.2">
      <c r="A321" s="640" t="s">
        <v>157</v>
      </c>
      <c r="B321" s="612" t="s">
        <v>158</v>
      </c>
      <c r="C321" s="620">
        <v>258374000</v>
      </c>
      <c r="D321" s="585">
        <f>C321/C319*100</f>
        <v>37.506713854783314</v>
      </c>
      <c r="E321" s="543">
        <f>G321/C321*100</f>
        <v>54.901034933855577</v>
      </c>
      <c r="F321" s="543">
        <f t="shared" ref="F321:F322" si="76">(D321*E321)/100</f>
        <v>20.591574075955837</v>
      </c>
      <c r="G321" s="347">
        <f>19350000+15000000+35000000+50000000+7500000+15000000</f>
        <v>141850000</v>
      </c>
      <c r="H321" s="543">
        <f t="shared" ref="H321:H322" si="77">+G321/C321*100</f>
        <v>54.901034933855577</v>
      </c>
      <c r="I321" s="543">
        <f t="shared" ref="I321:I322" si="78">(D321*H321)/100</f>
        <v>20.591574075955837</v>
      </c>
      <c r="J321" s="586">
        <f t="shared" ref="J321:J322" si="79">C321-G321</f>
        <v>116524000</v>
      </c>
      <c r="K321" s="441"/>
      <c r="L321" s="323">
        <v>141850000</v>
      </c>
      <c r="M321" s="323">
        <v>429461000</v>
      </c>
    </row>
    <row r="322" spans="1:13" ht="25.5" x14ac:dyDescent="0.2">
      <c r="A322" s="640" t="s">
        <v>152</v>
      </c>
      <c r="B322" s="622" t="s">
        <v>159</v>
      </c>
      <c r="C322" s="623">
        <v>430500000</v>
      </c>
      <c r="D322" s="585">
        <f>C322/C320*100</f>
        <v>62.493286145216686</v>
      </c>
      <c r="E322" s="543">
        <f>G322/C322*100</f>
        <v>80.952380952380949</v>
      </c>
      <c r="F322" s="543">
        <f t="shared" si="76"/>
        <v>50.589803069937318</v>
      </c>
      <c r="G322" s="479">
        <f>61500000+82000000+82000000+123000000</f>
        <v>348500000</v>
      </c>
      <c r="H322" s="543">
        <f t="shared" si="77"/>
        <v>80.952380952380949</v>
      </c>
      <c r="I322" s="543">
        <f t="shared" si="78"/>
        <v>50.589803069937318</v>
      </c>
      <c r="J322" s="586">
        <f t="shared" si="79"/>
        <v>82000000</v>
      </c>
      <c r="K322" s="624"/>
      <c r="L322" s="401">
        <f>G321-L321</f>
        <v>0</v>
      </c>
      <c r="M322" s="401">
        <f>M321-G321</f>
        <v>287611000</v>
      </c>
    </row>
    <row r="323" spans="1:13" x14ac:dyDescent="0.2">
      <c r="A323" s="497"/>
      <c r="B323" s="507" t="s">
        <v>95</v>
      </c>
      <c r="C323" s="392"/>
      <c r="D323" s="511"/>
      <c r="E323" s="513"/>
      <c r="F323" s="511"/>
      <c r="G323" s="518">
        <f>SUM(G322)</f>
        <v>348500000</v>
      </c>
      <c r="H323" s="513"/>
      <c r="I323" s="511"/>
      <c r="J323" s="616">
        <f>SUM(J322)</f>
        <v>82000000</v>
      </c>
      <c r="K323" s="375"/>
    </row>
    <row r="326" spans="1:13" ht="13.5" thickBot="1" x14ac:dyDescent="0.25"/>
    <row r="327" spans="1:13" x14ac:dyDescent="0.2">
      <c r="A327" s="961" t="s">
        <v>304</v>
      </c>
      <c r="B327" s="953" t="s">
        <v>357</v>
      </c>
      <c r="C327" s="961" t="s">
        <v>326</v>
      </c>
      <c r="D327" s="972" t="s">
        <v>5</v>
      </c>
      <c r="E327" s="973"/>
      <c r="F327" s="973"/>
      <c r="G327" s="974" t="s">
        <v>6</v>
      </c>
      <c r="H327" s="973"/>
      <c r="I327" s="973"/>
      <c r="J327" s="975" t="s">
        <v>7</v>
      </c>
      <c r="K327" s="619" t="s">
        <v>8</v>
      </c>
    </row>
    <row r="328" spans="1:13" x14ac:dyDescent="0.2">
      <c r="A328" s="962"/>
      <c r="B328" s="954"/>
      <c r="C328" s="962"/>
      <c r="D328" s="601" t="s">
        <v>9</v>
      </c>
      <c r="E328" s="602" t="s">
        <v>10</v>
      </c>
      <c r="F328" s="602" t="s">
        <v>11</v>
      </c>
      <c r="G328" s="603" t="s">
        <v>12</v>
      </c>
      <c r="H328" s="602" t="s">
        <v>13</v>
      </c>
      <c r="I328" s="602" t="s">
        <v>11</v>
      </c>
      <c r="J328" s="968"/>
      <c r="K328" s="601"/>
    </row>
    <row r="329" spans="1:13" ht="13.5" thickBot="1" x14ac:dyDescent="0.25">
      <c r="A329" s="963"/>
      <c r="B329" s="955"/>
      <c r="C329" s="963"/>
      <c r="D329" s="604" t="s">
        <v>14</v>
      </c>
      <c r="E329" s="605" t="s">
        <v>14</v>
      </c>
      <c r="F329" s="605" t="s">
        <v>14</v>
      </c>
      <c r="G329" s="606" t="s">
        <v>15</v>
      </c>
      <c r="H329" s="605" t="s">
        <v>14</v>
      </c>
      <c r="I329" s="605" t="s">
        <v>14</v>
      </c>
      <c r="J329" s="604" t="s">
        <v>15</v>
      </c>
      <c r="K329" s="604"/>
    </row>
    <row r="330" spans="1:13" ht="13.5" thickBot="1" x14ac:dyDescent="0.25">
      <c r="A330" s="607"/>
      <c r="B330" s="608" t="s">
        <v>146</v>
      </c>
      <c r="C330" s="609">
        <f>C331</f>
        <v>837135000</v>
      </c>
      <c r="D330" s="437"/>
      <c r="E330" s="339"/>
      <c r="F330" s="339"/>
      <c r="G330" s="340"/>
      <c r="H330" s="339"/>
      <c r="I330" s="339"/>
      <c r="J330" s="437"/>
      <c r="K330" s="437"/>
    </row>
    <row r="331" spans="1:13" ht="13.5" thickBot="1" x14ac:dyDescent="0.25">
      <c r="A331" s="641"/>
      <c r="B331" s="610" t="s">
        <v>147</v>
      </c>
      <c r="C331" s="642">
        <f>C332</f>
        <v>837135000</v>
      </c>
      <c r="D331" s="441"/>
      <c r="E331" s="346"/>
      <c r="F331" s="346"/>
      <c r="G331" s="347"/>
      <c r="H331" s="346"/>
      <c r="I331" s="346"/>
      <c r="J331" s="441"/>
      <c r="K331" s="441"/>
    </row>
    <row r="332" spans="1:13" ht="25.5" x14ac:dyDescent="0.2">
      <c r="A332" s="625" t="s">
        <v>148</v>
      </c>
      <c r="B332" s="612" t="s">
        <v>358</v>
      </c>
      <c r="C332" s="620">
        <v>837135000</v>
      </c>
      <c r="D332" s="585">
        <f>C332/C331*100</f>
        <v>100</v>
      </c>
      <c r="E332" s="543">
        <f>G332/C332*100</f>
        <v>73.149492017416549</v>
      </c>
      <c r="F332" s="543">
        <f t="shared" ref="F332" si="80">(D332*E332)/100</f>
        <v>73.149492017416549</v>
      </c>
      <c r="G332" s="347">
        <f>34880000+319485000+8720000+249275000</f>
        <v>612360000</v>
      </c>
      <c r="H332" s="543">
        <f t="shared" ref="H332" si="81">+G332/C332*100</f>
        <v>73.149492017416549</v>
      </c>
      <c r="I332" s="543">
        <f t="shared" ref="I332" si="82">(D332*H332)/100</f>
        <v>73.149492017416549</v>
      </c>
      <c r="J332" s="586">
        <f t="shared" ref="J332" si="83">C332-G332</f>
        <v>224775000</v>
      </c>
      <c r="K332" s="441"/>
    </row>
    <row r="333" spans="1:13" x14ac:dyDescent="0.2">
      <c r="A333" s="643"/>
      <c r="B333" s="507" t="s">
        <v>154</v>
      </c>
      <c r="C333" s="643"/>
      <c r="D333" s="530"/>
      <c r="E333" s="510"/>
      <c r="F333" s="531"/>
      <c r="G333" s="512">
        <f>SUM(G332:G332)</f>
        <v>612360000</v>
      </c>
      <c r="H333" s="511"/>
      <c r="I333" s="531"/>
      <c r="J333" s="532" t="e">
        <f>SUM(#REF!)</f>
        <v>#REF!</v>
      </c>
      <c r="K333" s="336"/>
    </row>
    <row r="334" spans="1:13" x14ac:dyDescent="0.2">
      <c r="A334" s="376"/>
      <c r="B334" s="377"/>
      <c r="C334" s="376"/>
      <c r="D334" s="534"/>
      <c r="E334" s="454"/>
      <c r="F334" s="455"/>
      <c r="G334" s="456"/>
      <c r="H334" s="378"/>
      <c r="I334" s="455"/>
      <c r="J334" s="458"/>
      <c r="K334" s="485"/>
    </row>
    <row r="335" spans="1:13" ht="13.5" thickBot="1" x14ac:dyDescent="0.25">
      <c r="A335" s="376"/>
      <c r="B335" s="377"/>
      <c r="C335" s="376"/>
      <c r="D335" s="453"/>
      <c r="E335" s="454"/>
      <c r="F335" s="455"/>
      <c r="G335" s="456"/>
      <c r="H335" s="457"/>
      <c r="I335" s="455"/>
      <c r="J335" s="456"/>
      <c r="K335" s="485"/>
    </row>
    <row r="336" spans="1:13" x14ac:dyDescent="0.2">
      <c r="A336" s="961" t="s">
        <v>304</v>
      </c>
      <c r="B336" s="953" t="s">
        <v>357</v>
      </c>
      <c r="C336" s="961" t="s">
        <v>326</v>
      </c>
      <c r="D336" s="964" t="s">
        <v>5</v>
      </c>
      <c r="E336" s="965"/>
      <c r="F336" s="965"/>
      <c r="G336" s="966" t="s">
        <v>6</v>
      </c>
      <c r="H336" s="965"/>
      <c r="I336" s="965"/>
      <c r="J336" s="967" t="s">
        <v>7</v>
      </c>
      <c r="K336" s="630" t="s">
        <v>8</v>
      </c>
    </row>
    <row r="337" spans="1:13" x14ac:dyDescent="0.2">
      <c r="A337" s="962"/>
      <c r="B337" s="954"/>
      <c r="C337" s="962"/>
      <c r="D337" s="601" t="s">
        <v>9</v>
      </c>
      <c r="E337" s="602" t="s">
        <v>10</v>
      </c>
      <c r="F337" s="602" t="s">
        <v>11</v>
      </c>
      <c r="G337" s="603" t="s">
        <v>12</v>
      </c>
      <c r="H337" s="602" t="s">
        <v>13</v>
      </c>
      <c r="I337" s="602" t="s">
        <v>11</v>
      </c>
      <c r="J337" s="968"/>
      <c r="K337" s="631"/>
    </row>
    <row r="338" spans="1:13" ht="13.5" thickBot="1" x14ac:dyDescent="0.25">
      <c r="A338" s="963"/>
      <c r="B338" s="955"/>
      <c r="C338" s="963"/>
      <c r="D338" s="604" t="s">
        <v>14</v>
      </c>
      <c r="E338" s="605" t="s">
        <v>14</v>
      </c>
      <c r="F338" s="605" t="s">
        <v>14</v>
      </c>
      <c r="G338" s="606" t="s">
        <v>15</v>
      </c>
      <c r="H338" s="605" t="s">
        <v>14</v>
      </c>
      <c r="I338" s="605" t="s">
        <v>14</v>
      </c>
      <c r="J338" s="604" t="s">
        <v>15</v>
      </c>
      <c r="K338" s="632"/>
    </row>
    <row r="339" spans="1:13" ht="13.5" thickBot="1" x14ac:dyDescent="0.25">
      <c r="A339" s="644"/>
      <c r="B339" s="608" t="s">
        <v>146</v>
      </c>
      <c r="C339" s="609">
        <f>C340</f>
        <v>784546000</v>
      </c>
      <c r="D339" s="437"/>
      <c r="E339" s="339"/>
      <c r="F339" s="339"/>
      <c r="G339" s="340"/>
      <c r="H339" s="339"/>
      <c r="I339" s="339"/>
      <c r="J339" s="437"/>
      <c r="K339" s="437"/>
    </row>
    <row r="340" spans="1:13" ht="13.5" thickBot="1" x14ac:dyDescent="0.25">
      <c r="A340" s="644"/>
      <c r="B340" s="610" t="s">
        <v>150</v>
      </c>
      <c r="C340" s="611">
        <f>SUM(C341:C342)</f>
        <v>784546000</v>
      </c>
      <c r="D340" s="441"/>
      <c r="E340" s="346"/>
      <c r="F340" s="346"/>
      <c r="G340" s="347"/>
      <c r="H340" s="346"/>
      <c r="I340" s="346"/>
      <c r="J340" s="441"/>
      <c r="K340" s="441"/>
    </row>
    <row r="341" spans="1:13" ht="26.25" thickBot="1" x14ac:dyDescent="0.25">
      <c r="A341" s="644" t="s">
        <v>148</v>
      </c>
      <c r="B341" s="645" t="s">
        <v>160</v>
      </c>
      <c r="C341" s="620">
        <v>280546000</v>
      </c>
      <c r="D341" s="585">
        <f>C341/C339*100</f>
        <v>35.759024964756684</v>
      </c>
      <c r="E341" s="543">
        <f>G341/C341*100</f>
        <v>84.662051856023609</v>
      </c>
      <c r="F341" s="543">
        <f t="shared" ref="F341:F342" si="84">(D341*E341)/100</f>
        <v>30.274324258870735</v>
      </c>
      <c r="G341" s="347">
        <f>88430000+6060000+139996000+3030000</f>
        <v>237516000</v>
      </c>
      <c r="H341" s="543">
        <f t="shared" ref="H341:H342" si="85">+G341/C341*100</f>
        <v>84.662051856023609</v>
      </c>
      <c r="I341" s="543">
        <f t="shared" ref="I341:I342" si="86">(D341*H341)/100</f>
        <v>30.274324258870735</v>
      </c>
      <c r="J341" s="586">
        <f t="shared" ref="J341:J342" si="87">C341-G341</f>
        <v>43030000</v>
      </c>
      <c r="K341" s="441"/>
      <c r="L341" s="323">
        <v>94490000</v>
      </c>
    </row>
    <row r="342" spans="1:13" ht="25.5" x14ac:dyDescent="0.2">
      <c r="A342" s="646" t="s">
        <v>152</v>
      </c>
      <c r="B342" s="622" t="s">
        <v>153</v>
      </c>
      <c r="C342" s="623">
        <v>504000000</v>
      </c>
      <c r="D342" s="585">
        <f>C342/C340*100</f>
        <v>64.240975035243309</v>
      </c>
      <c r="E342" s="543">
        <f>G342/C342*100</f>
        <v>80.952380952380949</v>
      </c>
      <c r="F342" s="543">
        <f t="shared" si="84"/>
        <v>52.004598838054108</v>
      </c>
      <c r="G342" s="479">
        <f>72000000+24000000+48000000+120000000+144000000</f>
        <v>408000000</v>
      </c>
      <c r="H342" s="543">
        <f t="shared" si="85"/>
        <v>80.952380952380949</v>
      </c>
      <c r="I342" s="543">
        <f t="shared" si="86"/>
        <v>52.004598838054108</v>
      </c>
      <c r="J342" s="586">
        <f t="shared" si="87"/>
        <v>96000000</v>
      </c>
      <c r="K342" s="624"/>
      <c r="L342" s="401">
        <f>G341-L341</f>
        <v>143026000</v>
      </c>
    </row>
    <row r="343" spans="1:13" x14ac:dyDescent="0.2">
      <c r="A343" s="497"/>
      <c r="B343" s="507" t="s">
        <v>95</v>
      </c>
      <c r="C343" s="392"/>
      <c r="D343" s="511"/>
      <c r="E343" s="513"/>
      <c r="F343" s="511"/>
      <c r="G343" s="518">
        <f>SUM(G342)</f>
        <v>408000000</v>
      </c>
      <c r="H343" s="513"/>
      <c r="I343" s="511"/>
      <c r="J343" s="616">
        <f>SUM(J342)</f>
        <v>96000000</v>
      </c>
      <c r="K343" s="375"/>
    </row>
    <row r="345" spans="1:13" ht="13.5" thickBot="1" x14ac:dyDescent="0.25"/>
    <row r="346" spans="1:13" x14ac:dyDescent="0.2">
      <c r="A346" s="961" t="s">
        <v>304</v>
      </c>
      <c r="B346" s="953" t="s">
        <v>359</v>
      </c>
      <c r="C346" s="961" t="s">
        <v>326</v>
      </c>
      <c r="D346" s="964" t="s">
        <v>5</v>
      </c>
      <c r="E346" s="965"/>
      <c r="F346" s="965"/>
      <c r="G346" s="966" t="s">
        <v>6</v>
      </c>
      <c r="H346" s="965"/>
      <c r="I346" s="965"/>
      <c r="J346" s="967" t="s">
        <v>7</v>
      </c>
      <c r="K346" s="630" t="s">
        <v>8</v>
      </c>
    </row>
    <row r="347" spans="1:13" x14ac:dyDescent="0.2">
      <c r="A347" s="962"/>
      <c r="B347" s="954"/>
      <c r="C347" s="962"/>
      <c r="D347" s="601" t="s">
        <v>9</v>
      </c>
      <c r="E347" s="602" t="s">
        <v>10</v>
      </c>
      <c r="F347" s="602" t="s">
        <v>11</v>
      </c>
      <c r="G347" s="603" t="s">
        <v>12</v>
      </c>
      <c r="H347" s="602" t="s">
        <v>13</v>
      </c>
      <c r="I347" s="602" t="s">
        <v>11</v>
      </c>
      <c r="J347" s="968"/>
      <c r="K347" s="631"/>
    </row>
    <row r="348" spans="1:13" ht="13.5" thickBot="1" x14ac:dyDescent="0.25">
      <c r="A348" s="963"/>
      <c r="B348" s="955"/>
      <c r="C348" s="963"/>
      <c r="D348" s="604" t="s">
        <v>14</v>
      </c>
      <c r="E348" s="605" t="s">
        <v>14</v>
      </c>
      <c r="F348" s="605" t="s">
        <v>14</v>
      </c>
      <c r="G348" s="606" t="s">
        <v>15</v>
      </c>
      <c r="H348" s="605" t="s">
        <v>14</v>
      </c>
      <c r="I348" s="605" t="s">
        <v>14</v>
      </c>
      <c r="J348" s="604" t="s">
        <v>15</v>
      </c>
      <c r="K348" s="632"/>
    </row>
    <row r="349" spans="1:13" ht="13.5" thickBot="1" x14ac:dyDescent="0.25">
      <c r="A349" s="633"/>
      <c r="B349" s="608" t="s">
        <v>146</v>
      </c>
      <c r="C349" s="609">
        <f>C350</f>
        <v>307607000</v>
      </c>
      <c r="D349" s="437"/>
      <c r="E349" s="339"/>
      <c r="F349" s="339"/>
      <c r="G349" s="340"/>
      <c r="H349" s="339"/>
      <c r="I349" s="339"/>
      <c r="J349" s="437"/>
      <c r="K349" s="437"/>
    </row>
    <row r="350" spans="1:13" ht="13.5" thickBot="1" x14ac:dyDescent="0.25">
      <c r="A350" s="633"/>
      <c r="B350" s="610" t="s">
        <v>147</v>
      </c>
      <c r="C350" s="611">
        <f>C351</f>
        <v>307607000</v>
      </c>
      <c r="D350" s="441"/>
      <c r="E350" s="346"/>
      <c r="F350" s="346"/>
      <c r="G350" s="347"/>
      <c r="H350" s="346"/>
      <c r="I350" s="346"/>
      <c r="J350" s="441"/>
      <c r="K350" s="441"/>
    </row>
    <row r="351" spans="1:13" ht="26.25" thickBot="1" x14ac:dyDescent="0.25">
      <c r="A351" s="633" t="s">
        <v>148</v>
      </c>
      <c r="B351" s="612" t="s">
        <v>149</v>
      </c>
      <c r="C351" s="611">
        <v>307607000</v>
      </c>
      <c r="D351" s="585">
        <f>C351/C350*100</f>
        <v>100</v>
      </c>
      <c r="E351" s="543">
        <f>G351/C351*100</f>
        <v>78.739105416976855</v>
      </c>
      <c r="F351" s="543">
        <f t="shared" ref="F351" si="88">(D351*E351)/100</f>
        <v>78.739105416976855</v>
      </c>
      <c r="G351" s="407">
        <f>25812800+19112500+19752400+31706000+28607200+34852500+30177600+34186000+14400000+3600000</f>
        <v>242207000</v>
      </c>
      <c r="H351" s="543">
        <f t="shared" ref="H351" si="89">+G351/C351*100</f>
        <v>78.739105416976855</v>
      </c>
      <c r="I351" s="543">
        <f t="shared" ref="I351" si="90">(D351*H351)/100</f>
        <v>78.739105416976855</v>
      </c>
      <c r="J351" s="586">
        <f t="shared" ref="J351" si="91">C351-G351</f>
        <v>65400000</v>
      </c>
      <c r="K351" s="441"/>
      <c r="M351" s="401"/>
    </row>
    <row r="352" spans="1:13" x14ac:dyDescent="0.2">
      <c r="A352" s="497"/>
      <c r="B352" s="507" t="s">
        <v>95</v>
      </c>
      <c r="C352" s="392"/>
      <c r="D352" s="511"/>
      <c r="E352" s="513"/>
      <c r="F352" s="511"/>
      <c r="G352" s="518">
        <f>SUM(G351)</f>
        <v>242207000</v>
      </c>
      <c r="H352" s="513"/>
      <c r="I352" s="511"/>
      <c r="J352" s="616" t="e">
        <f>SUM(#REF!)</f>
        <v>#REF!</v>
      </c>
      <c r="K352" s="375"/>
    </row>
    <row r="353" spans="1:13" x14ac:dyDescent="0.2">
      <c r="A353" s="551"/>
      <c r="B353" s="552"/>
      <c r="C353" s="553"/>
      <c r="D353" s="453"/>
      <c r="E353" s="455"/>
      <c r="F353" s="455"/>
      <c r="G353" s="456"/>
      <c r="H353" s="455"/>
      <c r="I353" s="455"/>
      <c r="J353" s="515"/>
      <c r="K353" s="485"/>
    </row>
    <row r="354" spans="1:13" ht="13.5" thickBot="1" x14ac:dyDescent="0.25">
      <c r="A354" s="376"/>
      <c r="B354" s="377"/>
      <c r="C354" s="376"/>
      <c r="D354" s="453"/>
      <c r="E354" s="454"/>
      <c r="F354" s="455"/>
      <c r="G354" s="456"/>
      <c r="H354" s="457"/>
      <c r="I354" s="455"/>
      <c r="J354" s="456"/>
      <c r="K354" s="485"/>
    </row>
    <row r="355" spans="1:13" x14ac:dyDescent="0.2">
      <c r="A355" s="961" t="s">
        <v>304</v>
      </c>
      <c r="B355" s="953" t="s">
        <v>360</v>
      </c>
      <c r="C355" s="961" t="s">
        <v>326</v>
      </c>
      <c r="D355" s="972" t="s">
        <v>5</v>
      </c>
      <c r="E355" s="973"/>
      <c r="F355" s="973"/>
      <c r="G355" s="974" t="s">
        <v>6</v>
      </c>
      <c r="H355" s="973"/>
      <c r="I355" s="973"/>
      <c r="J355" s="975" t="s">
        <v>7</v>
      </c>
      <c r="K355" s="619" t="s">
        <v>8</v>
      </c>
    </row>
    <row r="356" spans="1:13" x14ac:dyDescent="0.2">
      <c r="A356" s="962"/>
      <c r="B356" s="954"/>
      <c r="C356" s="962"/>
      <c r="D356" s="601" t="s">
        <v>9</v>
      </c>
      <c r="E356" s="602" t="s">
        <v>10</v>
      </c>
      <c r="F356" s="602" t="s">
        <v>11</v>
      </c>
      <c r="G356" s="603" t="s">
        <v>12</v>
      </c>
      <c r="H356" s="602" t="s">
        <v>13</v>
      </c>
      <c r="I356" s="602" t="s">
        <v>11</v>
      </c>
      <c r="J356" s="968"/>
      <c r="K356" s="601"/>
    </row>
    <row r="357" spans="1:13" ht="13.5" thickBot="1" x14ac:dyDescent="0.25">
      <c r="A357" s="963"/>
      <c r="B357" s="955"/>
      <c r="C357" s="963"/>
      <c r="D357" s="604" t="s">
        <v>14</v>
      </c>
      <c r="E357" s="605" t="s">
        <v>14</v>
      </c>
      <c r="F357" s="605" t="s">
        <v>14</v>
      </c>
      <c r="G357" s="606" t="s">
        <v>15</v>
      </c>
      <c r="H357" s="605" t="s">
        <v>14</v>
      </c>
      <c r="I357" s="605" t="s">
        <v>14</v>
      </c>
      <c r="J357" s="604" t="s">
        <v>15</v>
      </c>
      <c r="K357" s="604"/>
    </row>
    <row r="358" spans="1:13" ht="13.5" thickBot="1" x14ac:dyDescent="0.25">
      <c r="A358" s="647"/>
      <c r="B358" s="608" t="s">
        <v>146</v>
      </c>
      <c r="C358" s="648">
        <f>C359</f>
        <v>759544000</v>
      </c>
      <c r="D358" s="601"/>
      <c r="E358" s="602"/>
      <c r="F358" s="602"/>
      <c r="G358" s="603"/>
      <c r="H358" s="602"/>
      <c r="I358" s="602"/>
      <c r="J358" s="601"/>
      <c r="K358" s="601"/>
    </row>
    <row r="359" spans="1:13" x14ac:dyDescent="0.2">
      <c r="A359" s="625"/>
      <c r="B359" s="610" t="s">
        <v>150</v>
      </c>
      <c r="C359" s="611">
        <f>SUM(C360:C361)</f>
        <v>759544000</v>
      </c>
      <c r="D359" s="441"/>
      <c r="E359" s="346"/>
      <c r="F359" s="346"/>
      <c r="G359" s="347"/>
      <c r="H359" s="346"/>
      <c r="I359" s="346"/>
      <c r="J359" s="441"/>
      <c r="K359" s="441"/>
    </row>
    <row r="360" spans="1:13" ht="25.5" x14ac:dyDescent="0.2">
      <c r="A360" s="625" t="s">
        <v>148</v>
      </c>
      <c r="B360" s="612" t="s">
        <v>151</v>
      </c>
      <c r="C360" s="611">
        <v>318544000</v>
      </c>
      <c r="D360" s="585">
        <f>C360/C358*100</f>
        <v>41.938847519037736</v>
      </c>
      <c r="E360" s="543">
        <f>G360/C360*100</f>
        <v>87.442865035913414</v>
      </c>
      <c r="F360" s="543">
        <f t="shared" ref="F360:F361" si="92">(D360*E360)/100</f>
        <v>36.672529833689687</v>
      </c>
      <c r="G360" s="407">
        <f>2059000+6600000+1100000+3150000+9000000+2000000+26400000+9375000+10800000+600000+1500000+900000+2975000+2500000+500000+3800000+6000000+200000+500000+875000+1875000+200000+4000000+4400000+3578000+11000000+2500000+2220000+1500000+11000000+500000+11000000+810000+270000+1350000+500000+150000+1610000+10500000+6250000+3750000+2625000+500000+200000+3000000+6700000+1000000+300000+112000+400000+110000+800000+600000+3500000+2100000+3000000+500000+7800000+2800000+7500000+2500000+1600000+5000000+6000000+3000000+10500000+9000000+100000+22000000+5500000</f>
        <v>278544000</v>
      </c>
      <c r="H360" s="543">
        <f t="shared" ref="H360:H361" si="93">+G360/C360*100</f>
        <v>87.442865035913414</v>
      </c>
      <c r="I360" s="543">
        <f t="shared" ref="I360:I361" si="94">(D360*H360)/100</f>
        <v>36.672529833689687</v>
      </c>
      <c r="J360" s="586">
        <f t="shared" ref="J360:J361" si="95">C360-G360</f>
        <v>40000000</v>
      </c>
      <c r="K360" s="441"/>
      <c r="L360" s="323">
        <v>278544000</v>
      </c>
      <c r="M360" s="401">
        <f>G360-L360</f>
        <v>0</v>
      </c>
    </row>
    <row r="361" spans="1:13" ht="25.5" x14ac:dyDescent="0.2">
      <c r="A361" s="625" t="s">
        <v>152</v>
      </c>
      <c r="B361" s="645" t="s">
        <v>153</v>
      </c>
      <c r="C361" s="623">
        <v>441000000</v>
      </c>
      <c r="D361" s="585">
        <f>C361/C359*100</f>
        <v>58.061152480962264</v>
      </c>
      <c r="E361" s="543">
        <f>G361/C361*100</f>
        <v>80.952380952380949</v>
      </c>
      <c r="F361" s="543">
        <f t="shared" si="92"/>
        <v>47.001885341731359</v>
      </c>
      <c r="G361" s="479">
        <f>63000000+84000000+84000000+126000000</f>
        <v>357000000</v>
      </c>
      <c r="H361" s="543">
        <f t="shared" si="93"/>
        <v>80.952380952380949</v>
      </c>
      <c r="I361" s="543">
        <f t="shared" si="94"/>
        <v>47.001885341731359</v>
      </c>
      <c r="J361" s="586">
        <f t="shared" si="95"/>
        <v>84000000</v>
      </c>
      <c r="K361" s="624"/>
      <c r="M361" s="401">
        <f>G361-L361</f>
        <v>357000000</v>
      </c>
    </row>
    <row r="362" spans="1:13" x14ac:dyDescent="0.2">
      <c r="A362" s="643"/>
      <c r="B362" s="507" t="s">
        <v>154</v>
      </c>
      <c r="C362" s="643"/>
      <c r="D362" s="509"/>
      <c r="E362" s="510"/>
      <c r="F362" s="531"/>
      <c r="G362" s="512">
        <f>SUM(G361:G361)</f>
        <v>357000000</v>
      </c>
      <c r="H362" s="513"/>
      <c r="I362" s="531"/>
      <c r="J362" s="514">
        <f>SUM(J361:J361)</f>
        <v>84000000</v>
      </c>
      <c r="K362" s="336"/>
    </row>
    <row r="363" spans="1:13" x14ac:dyDescent="0.2">
      <c r="A363" s="551"/>
      <c r="B363" s="552"/>
      <c r="C363" s="553"/>
      <c r="D363" s="453"/>
      <c r="E363" s="455"/>
      <c r="F363" s="455"/>
      <c r="G363" s="456"/>
      <c r="H363" s="455"/>
      <c r="I363" s="455"/>
      <c r="J363" s="515"/>
      <c r="K363" s="485"/>
    </row>
    <row r="366" spans="1:13" ht="13.5" thickBot="1" x14ac:dyDescent="0.25">
      <c r="A366" s="376"/>
      <c r="B366" s="377"/>
      <c r="C366" s="376"/>
      <c r="D366" s="453"/>
      <c r="E366" s="454"/>
      <c r="F366" s="455"/>
      <c r="G366" s="456"/>
      <c r="H366" s="457"/>
      <c r="I366" s="455"/>
      <c r="J366" s="456"/>
      <c r="K366" s="485"/>
    </row>
    <row r="367" spans="1:13" x14ac:dyDescent="0.2">
      <c r="A367" s="961" t="s">
        <v>304</v>
      </c>
      <c r="B367" s="953" t="s">
        <v>361</v>
      </c>
      <c r="C367" s="961" t="s">
        <v>326</v>
      </c>
      <c r="D367" s="964" t="s">
        <v>5</v>
      </c>
      <c r="E367" s="965"/>
      <c r="F367" s="965"/>
      <c r="G367" s="966" t="s">
        <v>6</v>
      </c>
      <c r="H367" s="965"/>
      <c r="I367" s="965"/>
      <c r="J367" s="967" t="s">
        <v>7</v>
      </c>
      <c r="K367" s="630" t="s">
        <v>8</v>
      </c>
    </row>
    <row r="368" spans="1:13" x14ac:dyDescent="0.2">
      <c r="A368" s="962"/>
      <c r="B368" s="954"/>
      <c r="C368" s="962"/>
      <c r="D368" s="601" t="s">
        <v>9</v>
      </c>
      <c r="E368" s="602" t="s">
        <v>10</v>
      </c>
      <c r="F368" s="602" t="s">
        <v>11</v>
      </c>
      <c r="G368" s="603" t="s">
        <v>12</v>
      </c>
      <c r="H368" s="602" t="s">
        <v>13</v>
      </c>
      <c r="I368" s="602" t="s">
        <v>11</v>
      </c>
      <c r="J368" s="968"/>
      <c r="K368" s="631"/>
    </row>
    <row r="369" spans="1:11" ht="13.5" thickBot="1" x14ac:dyDescent="0.25">
      <c r="A369" s="963"/>
      <c r="B369" s="955"/>
      <c r="C369" s="963"/>
      <c r="D369" s="604" t="s">
        <v>14</v>
      </c>
      <c r="E369" s="605" t="s">
        <v>14</v>
      </c>
      <c r="F369" s="605" t="s">
        <v>14</v>
      </c>
      <c r="G369" s="606" t="s">
        <v>15</v>
      </c>
      <c r="H369" s="605" t="s">
        <v>14</v>
      </c>
      <c r="I369" s="605" t="s">
        <v>14</v>
      </c>
      <c r="J369" s="604" t="s">
        <v>15</v>
      </c>
      <c r="K369" s="632"/>
    </row>
    <row r="370" spans="1:11" ht="13.5" thickBot="1" x14ac:dyDescent="0.25">
      <c r="A370" s="647"/>
      <c r="B370" s="608" t="s">
        <v>146</v>
      </c>
      <c r="C370" s="609">
        <f>C371</f>
        <v>649028000</v>
      </c>
      <c r="D370" s="437"/>
      <c r="E370" s="339"/>
      <c r="F370" s="339"/>
      <c r="G370" s="340"/>
      <c r="H370" s="339"/>
      <c r="I370" s="339"/>
      <c r="J370" s="437"/>
      <c r="K370" s="437"/>
    </row>
    <row r="371" spans="1:11" x14ac:dyDescent="0.2">
      <c r="A371" s="625"/>
      <c r="B371" s="610" t="s">
        <v>150</v>
      </c>
      <c r="C371" s="611">
        <f>C372+C373</f>
        <v>649028000</v>
      </c>
      <c r="D371" s="441"/>
      <c r="E371" s="346"/>
      <c r="F371" s="346"/>
      <c r="G371" s="347"/>
      <c r="H371" s="346"/>
      <c r="I371" s="346"/>
      <c r="J371" s="441"/>
      <c r="K371" s="441"/>
    </row>
    <row r="372" spans="1:11" ht="25.5" x14ac:dyDescent="0.2">
      <c r="A372" s="625" t="s">
        <v>148</v>
      </c>
      <c r="B372" s="612" t="s">
        <v>151</v>
      </c>
      <c r="C372" s="611">
        <v>281528000</v>
      </c>
      <c r="D372" s="585">
        <f>C372/C370*100</f>
        <v>43.376865096729261</v>
      </c>
      <c r="E372" s="543">
        <f>G372/C372*100</f>
        <v>74.195106703418489</v>
      </c>
      <c r="F372" s="543">
        <f t="shared" ref="F372:F373" si="96">(D372*E372)/100</f>
        <v>32.183511343116166</v>
      </c>
      <c r="G372" s="347">
        <f>74350000+8460000+67610000+58460000</f>
        <v>208880000</v>
      </c>
      <c r="H372" s="543">
        <f t="shared" ref="H372:H373" si="97">+G372/C372*100</f>
        <v>74.195106703418489</v>
      </c>
      <c r="I372" s="543">
        <f t="shared" ref="I372:I373" si="98">(D372*H372)/100</f>
        <v>32.183511343116166</v>
      </c>
      <c r="J372" s="586">
        <f t="shared" ref="J372:J373" si="99">C372-G372</f>
        <v>72648000</v>
      </c>
      <c r="K372" s="441"/>
    </row>
    <row r="373" spans="1:11" ht="25.5" x14ac:dyDescent="0.2">
      <c r="A373" s="625" t="s">
        <v>152</v>
      </c>
      <c r="B373" s="645" t="s">
        <v>153</v>
      </c>
      <c r="C373" s="623">
        <v>367500000</v>
      </c>
      <c r="D373" s="585">
        <f>C373/C371*100</f>
        <v>56.623134903270731</v>
      </c>
      <c r="E373" s="543">
        <f>G373/C373*100</f>
        <v>80.952380952380949</v>
      </c>
      <c r="F373" s="543">
        <f t="shared" si="96"/>
        <v>45.837775874076307</v>
      </c>
      <c r="G373" s="479">
        <f>35000000+35000000+87500000+35000000+105000000</f>
        <v>297500000</v>
      </c>
      <c r="H373" s="543">
        <f t="shared" si="97"/>
        <v>80.952380952380949</v>
      </c>
      <c r="I373" s="543">
        <f t="shared" si="98"/>
        <v>45.837775874076307</v>
      </c>
      <c r="J373" s="586">
        <f t="shared" si="99"/>
        <v>70000000</v>
      </c>
      <c r="K373" s="624"/>
    </row>
    <row r="374" spans="1:11" x14ac:dyDescent="0.2">
      <c r="A374" s="497"/>
      <c r="B374" s="507" t="s">
        <v>95</v>
      </c>
      <c r="C374" s="392"/>
      <c r="D374" s="511"/>
      <c r="E374" s="513"/>
      <c r="F374" s="511"/>
      <c r="G374" s="518">
        <f>SUM(G373)</f>
        <v>297500000</v>
      </c>
      <c r="H374" s="513"/>
      <c r="I374" s="511"/>
      <c r="J374" s="616">
        <f>SUM(J372:J373)</f>
        <v>142648000</v>
      </c>
      <c r="K374" s="375"/>
    </row>
    <row r="375" spans="1:11" x14ac:dyDescent="0.2">
      <c r="A375" s="417"/>
      <c r="B375" s="568"/>
      <c r="C375" s="569"/>
      <c r="D375" s="570"/>
      <c r="E375" s="457"/>
      <c r="F375" s="378"/>
      <c r="G375" s="379"/>
      <c r="H375" s="457"/>
      <c r="I375" s="378"/>
      <c r="J375" s="571"/>
      <c r="K375" s="453"/>
    </row>
    <row r="376" spans="1:11" x14ac:dyDescent="0.2">
      <c r="A376" s="417"/>
      <c r="B376" s="568"/>
      <c r="C376" s="569"/>
      <c r="D376" s="570"/>
      <c r="E376" s="457"/>
      <c r="F376" s="378"/>
      <c r="G376" s="379"/>
      <c r="H376" s="457"/>
      <c r="I376" s="378"/>
      <c r="J376" s="571"/>
      <c r="K376" s="453"/>
    </row>
    <row r="377" spans="1:11" ht="13.5" thickBot="1" x14ac:dyDescent="0.25">
      <c r="A377" s="376"/>
      <c r="B377" s="377"/>
      <c r="C377" s="376"/>
      <c r="D377" s="453"/>
      <c r="E377" s="454"/>
      <c r="F377" s="455"/>
      <c r="G377" s="456"/>
      <c r="H377" s="457"/>
      <c r="I377" s="455"/>
      <c r="J377" s="456"/>
      <c r="K377" s="485"/>
    </row>
    <row r="378" spans="1:11" x14ac:dyDescent="0.2">
      <c r="A378" s="969" t="s">
        <v>304</v>
      </c>
      <c r="B378" s="953" t="s">
        <v>361</v>
      </c>
      <c r="C378" s="950" t="s">
        <v>326</v>
      </c>
      <c r="D378" s="956" t="s">
        <v>5</v>
      </c>
      <c r="E378" s="957"/>
      <c r="F378" s="957"/>
      <c r="G378" s="958" t="s">
        <v>6</v>
      </c>
      <c r="H378" s="957"/>
      <c r="I378" s="957"/>
      <c r="J378" s="959" t="s">
        <v>7</v>
      </c>
      <c r="K378" s="649" t="s">
        <v>8</v>
      </c>
    </row>
    <row r="379" spans="1:11" x14ac:dyDescent="0.2">
      <c r="A379" s="970"/>
      <c r="B379" s="954"/>
      <c r="C379" s="951"/>
      <c r="D379" s="650" t="s">
        <v>9</v>
      </c>
      <c r="E379" s="651" t="s">
        <v>10</v>
      </c>
      <c r="F379" s="651" t="s">
        <v>11</v>
      </c>
      <c r="G379" s="652" t="s">
        <v>12</v>
      </c>
      <c r="H379" s="651" t="s">
        <v>13</v>
      </c>
      <c r="I379" s="651" t="s">
        <v>11</v>
      </c>
      <c r="J379" s="960"/>
      <c r="K379" s="650"/>
    </row>
    <row r="380" spans="1:11" ht="13.5" thickBot="1" x14ac:dyDescent="0.25">
      <c r="A380" s="971"/>
      <c r="B380" s="955"/>
      <c r="C380" s="952"/>
      <c r="D380" s="653" t="s">
        <v>14</v>
      </c>
      <c r="E380" s="654" t="s">
        <v>14</v>
      </c>
      <c r="F380" s="654" t="s">
        <v>14</v>
      </c>
      <c r="G380" s="655" t="s">
        <v>15</v>
      </c>
      <c r="H380" s="654" t="s">
        <v>14</v>
      </c>
      <c r="I380" s="654" t="s">
        <v>14</v>
      </c>
      <c r="J380" s="653" t="s">
        <v>15</v>
      </c>
      <c r="K380" s="653"/>
    </row>
    <row r="381" spans="1:11" ht="13.5" thickBot="1" x14ac:dyDescent="0.25">
      <c r="A381" s="656"/>
      <c r="B381" s="608" t="s">
        <v>146</v>
      </c>
      <c r="C381" s="657">
        <f>C382</f>
        <v>676827000</v>
      </c>
      <c r="D381" s="658"/>
      <c r="E381" s="659"/>
      <c r="F381" s="659"/>
      <c r="G381" s="660"/>
      <c r="H381" s="659"/>
      <c r="I381" s="659"/>
      <c r="J381" s="658"/>
      <c r="K381" s="658"/>
    </row>
    <row r="382" spans="1:11" x14ac:dyDescent="0.2">
      <c r="A382" s="661"/>
      <c r="B382" s="610" t="s">
        <v>147</v>
      </c>
      <c r="C382" s="662">
        <f>C383</f>
        <v>676827000</v>
      </c>
      <c r="D382" s="663"/>
      <c r="E382" s="664"/>
      <c r="F382" s="664"/>
      <c r="G382" s="504"/>
      <c r="H382" s="664"/>
      <c r="I382" s="664"/>
      <c r="J382" s="663"/>
      <c r="K382" s="663"/>
    </row>
    <row r="383" spans="1:11" ht="25.5" x14ac:dyDescent="0.2">
      <c r="A383" s="625" t="s">
        <v>148</v>
      </c>
      <c r="B383" s="612" t="s">
        <v>151</v>
      </c>
      <c r="C383" s="662">
        <v>676827000</v>
      </c>
      <c r="D383" s="585">
        <f>C383/C382*100</f>
        <v>100</v>
      </c>
      <c r="E383" s="543">
        <f>G383/C383*100</f>
        <v>89.805371239622531</v>
      </c>
      <c r="F383" s="543">
        <f t="shared" ref="F383" si="100">(D383*E383)/100</f>
        <v>89.805371239622531</v>
      </c>
      <c r="G383" s="504">
        <f>173158000+9660000+8920000+75525000+77500000+3960000+6690000+236644000+6440000+2640000+6690000</f>
        <v>607827000</v>
      </c>
      <c r="H383" s="543">
        <f t="shared" ref="H383" si="101">+G383/C383*100</f>
        <v>89.805371239622531</v>
      </c>
      <c r="I383" s="543">
        <f t="shared" ref="I383" si="102">(D383*H383)/100</f>
        <v>89.805371239622531</v>
      </c>
      <c r="J383" s="586">
        <f t="shared" ref="J383" si="103">C383-G383</f>
        <v>69000000</v>
      </c>
      <c r="K383" s="663"/>
    </row>
    <row r="384" spans="1:11" x14ac:dyDescent="0.2">
      <c r="A384" s="665"/>
      <c r="B384" s="566" t="s">
        <v>95</v>
      </c>
      <c r="C384" s="666"/>
      <c r="D384" s="667"/>
      <c r="E384" s="668"/>
      <c r="F384" s="669"/>
      <c r="G384" s="670">
        <f>SUM(G383)</f>
        <v>607827000</v>
      </c>
      <c r="H384" s="671"/>
      <c r="I384" s="669"/>
      <c r="J384" s="672" t="e">
        <f>SUM(#REF!)</f>
        <v>#REF!</v>
      </c>
      <c r="K384" s="673"/>
    </row>
    <row r="385" spans="1:13" x14ac:dyDescent="0.2">
      <c r="A385" s="417"/>
      <c r="B385" s="568"/>
      <c r="C385" s="569"/>
      <c r="D385" s="570"/>
      <c r="E385" s="457"/>
      <c r="F385" s="378"/>
      <c r="G385" s="379"/>
      <c r="H385" s="457"/>
      <c r="I385" s="378"/>
      <c r="J385" s="571"/>
      <c r="K385" s="453"/>
    </row>
    <row r="387" spans="1:13" ht="13.5" thickBot="1" x14ac:dyDescent="0.25"/>
    <row r="388" spans="1:13" x14ac:dyDescent="0.2">
      <c r="A388" s="961" t="s">
        <v>304</v>
      </c>
      <c r="B388" s="953" t="s">
        <v>362</v>
      </c>
      <c r="C388" s="961" t="s">
        <v>326</v>
      </c>
      <c r="D388" s="964" t="s">
        <v>5</v>
      </c>
      <c r="E388" s="965"/>
      <c r="F388" s="965"/>
      <c r="G388" s="966" t="s">
        <v>6</v>
      </c>
      <c r="H388" s="965"/>
      <c r="I388" s="965"/>
      <c r="J388" s="967" t="s">
        <v>7</v>
      </c>
      <c r="K388" s="630" t="s">
        <v>8</v>
      </c>
    </row>
    <row r="389" spans="1:13" x14ac:dyDescent="0.2">
      <c r="A389" s="962"/>
      <c r="B389" s="954"/>
      <c r="C389" s="962"/>
      <c r="D389" s="601" t="s">
        <v>9</v>
      </c>
      <c r="E389" s="602" t="s">
        <v>10</v>
      </c>
      <c r="F389" s="602" t="s">
        <v>11</v>
      </c>
      <c r="G389" s="603" t="s">
        <v>12</v>
      </c>
      <c r="H389" s="602" t="s">
        <v>13</v>
      </c>
      <c r="I389" s="602" t="s">
        <v>11</v>
      </c>
      <c r="J389" s="968"/>
      <c r="K389" s="631"/>
    </row>
    <row r="390" spans="1:13" ht="13.5" thickBot="1" x14ac:dyDescent="0.25">
      <c r="A390" s="963"/>
      <c r="B390" s="955"/>
      <c r="C390" s="963"/>
      <c r="D390" s="604" t="s">
        <v>14</v>
      </c>
      <c r="E390" s="605" t="s">
        <v>14</v>
      </c>
      <c r="F390" s="605" t="s">
        <v>14</v>
      </c>
      <c r="G390" s="606" t="s">
        <v>15</v>
      </c>
      <c r="H390" s="605" t="s">
        <v>14</v>
      </c>
      <c r="I390" s="605" t="s">
        <v>14</v>
      </c>
      <c r="J390" s="604" t="s">
        <v>15</v>
      </c>
      <c r="K390" s="632"/>
    </row>
    <row r="391" spans="1:13" ht="13.5" thickBot="1" x14ac:dyDescent="0.25">
      <c r="A391" s="647"/>
      <c r="B391" s="608" t="s">
        <v>146</v>
      </c>
      <c r="C391" s="609">
        <f>C392</f>
        <v>652652000</v>
      </c>
      <c r="D391" s="437"/>
      <c r="E391" s="339"/>
      <c r="F391" s="339"/>
      <c r="G391" s="340"/>
      <c r="H391" s="339"/>
      <c r="I391" s="339"/>
      <c r="J391" s="437"/>
      <c r="K391" s="437"/>
    </row>
    <row r="392" spans="1:13" x14ac:dyDescent="0.2">
      <c r="A392" s="625"/>
      <c r="B392" s="610" t="s">
        <v>150</v>
      </c>
      <c r="C392" s="611">
        <f>C393+C394</f>
        <v>652652000</v>
      </c>
      <c r="D392" s="441"/>
      <c r="E392" s="346"/>
      <c r="F392" s="346"/>
      <c r="G392" s="347"/>
      <c r="H392" s="346"/>
      <c r="I392" s="346"/>
      <c r="J392" s="441"/>
      <c r="K392" s="441"/>
    </row>
    <row r="393" spans="1:13" ht="25.5" x14ac:dyDescent="0.2">
      <c r="A393" s="625" t="s">
        <v>148</v>
      </c>
      <c r="B393" s="612" t="s">
        <v>151</v>
      </c>
      <c r="C393" s="620">
        <v>253652000</v>
      </c>
      <c r="D393" s="585">
        <f>C393/C391*100</f>
        <v>38.864816165429659</v>
      </c>
      <c r="E393" s="543">
        <f>G393/C393*100</f>
        <v>80.015927333512053</v>
      </c>
      <c r="F393" s="543">
        <f t="shared" ref="F393:F394" si="104">(D393*E393)/100</f>
        <v>31.098043061233241</v>
      </c>
      <c r="G393" s="674">
        <f>7350000+3150000+1800000+2310000+4800000+5490000+200000+15750000+5040000+2880000+5250000+3900000+570000+450000+4725000+2700000+5250000+470000+540000+6825000+3900000+3082000+980000+200000+4230000+5460000+1425000+1750000+1000000+1900000+15200000+1600000+200000+200000+200000+11920000+3937500+5250000+4725000+2700000+42000000+200000+3000000+592500+400000+1000000+6460000</f>
        <v>202962000</v>
      </c>
      <c r="H393" s="543">
        <f t="shared" ref="H393:H394" si="105">+G393/C393*100</f>
        <v>80.015927333512053</v>
      </c>
      <c r="I393" s="543">
        <f t="shared" ref="I393:I394" si="106">(D393*H393)/100</f>
        <v>31.098043061233241</v>
      </c>
      <c r="J393" s="586">
        <f t="shared" ref="J393:J394" si="107">C393-G393</f>
        <v>50690000</v>
      </c>
      <c r="K393" s="441"/>
      <c r="L393" s="323">
        <v>207192000</v>
      </c>
      <c r="M393" s="401">
        <f>G393-L393</f>
        <v>-4230000</v>
      </c>
    </row>
    <row r="394" spans="1:13" ht="25.5" x14ac:dyDescent="0.2">
      <c r="A394" s="625" t="s">
        <v>152</v>
      </c>
      <c r="B394" s="645" t="s">
        <v>153</v>
      </c>
      <c r="C394" s="623">
        <v>399000000</v>
      </c>
      <c r="D394" s="585">
        <f>C394/C392*100</f>
        <v>61.135183834570341</v>
      </c>
      <c r="E394" s="543">
        <f>G394/C394*100</f>
        <v>80.952380952380949</v>
      </c>
      <c r="F394" s="543">
        <f t="shared" si="104"/>
        <v>49.490386913699794</v>
      </c>
      <c r="G394" s="479">
        <f>38000000+19000000+76000000+38000000+38000000+114000000</f>
        <v>323000000</v>
      </c>
      <c r="H394" s="543">
        <f t="shared" si="105"/>
        <v>80.952380952380949</v>
      </c>
      <c r="I394" s="543">
        <f t="shared" si="106"/>
        <v>49.490386913699794</v>
      </c>
      <c r="J394" s="586">
        <f t="shared" si="107"/>
        <v>76000000</v>
      </c>
      <c r="K394" s="624"/>
      <c r="L394" s="323">
        <v>209000000</v>
      </c>
      <c r="M394" s="401">
        <f>G394-L394</f>
        <v>114000000</v>
      </c>
    </row>
    <row r="395" spans="1:13" x14ac:dyDescent="0.2">
      <c r="A395" s="497"/>
      <c r="B395" s="507" t="s">
        <v>95</v>
      </c>
      <c r="C395" s="392"/>
      <c r="D395" s="511"/>
      <c r="E395" s="513"/>
      <c r="F395" s="511"/>
      <c r="G395" s="518">
        <f>SUM(G393:G394)</f>
        <v>525962000</v>
      </c>
      <c r="H395" s="513"/>
      <c r="I395" s="511"/>
      <c r="J395" s="616">
        <f>SUM(J394)</f>
        <v>76000000</v>
      </c>
      <c r="K395" s="375"/>
    </row>
    <row r="396" spans="1:13" x14ac:dyDescent="0.2">
      <c r="A396" s="417"/>
      <c r="B396" s="568"/>
      <c r="C396" s="569"/>
      <c r="D396" s="570"/>
      <c r="E396" s="457"/>
      <c r="F396" s="378"/>
      <c r="G396" s="379"/>
      <c r="H396" s="457"/>
      <c r="I396" s="378"/>
      <c r="J396" s="571"/>
      <c r="K396" s="453"/>
    </row>
    <row r="397" spans="1:13" x14ac:dyDescent="0.2">
      <c r="A397" s="417"/>
      <c r="B397" s="568"/>
      <c r="C397" s="569"/>
      <c r="D397" s="570"/>
      <c r="E397" s="457"/>
      <c r="F397" s="378"/>
      <c r="G397" s="379"/>
      <c r="H397" s="457"/>
      <c r="I397" s="378"/>
      <c r="J397" s="571"/>
      <c r="K397" s="453"/>
    </row>
    <row r="398" spans="1:13" ht="13.5" thickBot="1" x14ac:dyDescent="0.25">
      <c r="A398" s="376"/>
      <c r="B398" s="377"/>
      <c r="C398" s="376"/>
      <c r="D398" s="453"/>
      <c r="E398" s="454"/>
      <c r="F398" s="455"/>
      <c r="G398" s="456"/>
      <c r="H398" s="457"/>
      <c r="I398" s="455"/>
      <c r="J398" s="456"/>
      <c r="K398" s="485"/>
    </row>
    <row r="399" spans="1:13" x14ac:dyDescent="0.2">
      <c r="A399" s="950" t="s">
        <v>304</v>
      </c>
      <c r="B399" s="953" t="s">
        <v>362</v>
      </c>
      <c r="C399" s="950" t="s">
        <v>326</v>
      </c>
      <c r="D399" s="956" t="s">
        <v>5</v>
      </c>
      <c r="E399" s="957"/>
      <c r="F399" s="957"/>
      <c r="G399" s="958" t="s">
        <v>6</v>
      </c>
      <c r="H399" s="957"/>
      <c r="I399" s="957"/>
      <c r="J399" s="959" t="s">
        <v>7</v>
      </c>
      <c r="K399" s="649" t="s">
        <v>8</v>
      </c>
    </row>
    <row r="400" spans="1:13" x14ac:dyDescent="0.2">
      <c r="A400" s="951"/>
      <c r="B400" s="954"/>
      <c r="C400" s="951"/>
      <c r="D400" s="650" t="s">
        <v>9</v>
      </c>
      <c r="E400" s="651" t="s">
        <v>10</v>
      </c>
      <c r="F400" s="651" t="s">
        <v>11</v>
      </c>
      <c r="G400" s="652" t="s">
        <v>12</v>
      </c>
      <c r="H400" s="651" t="s">
        <v>13</v>
      </c>
      <c r="I400" s="651" t="s">
        <v>11</v>
      </c>
      <c r="J400" s="960"/>
      <c r="K400" s="650"/>
    </row>
    <row r="401" spans="1:13" ht="13.5" thickBot="1" x14ac:dyDescent="0.25">
      <c r="A401" s="952"/>
      <c r="B401" s="955"/>
      <c r="C401" s="952"/>
      <c r="D401" s="653" t="s">
        <v>14</v>
      </c>
      <c r="E401" s="654" t="s">
        <v>14</v>
      </c>
      <c r="F401" s="654" t="s">
        <v>14</v>
      </c>
      <c r="G401" s="655" t="s">
        <v>15</v>
      </c>
      <c r="H401" s="654" t="s">
        <v>14</v>
      </c>
      <c r="I401" s="654" t="s">
        <v>14</v>
      </c>
      <c r="J401" s="653" t="s">
        <v>15</v>
      </c>
      <c r="K401" s="653"/>
    </row>
    <row r="402" spans="1:13" ht="13.5" thickBot="1" x14ac:dyDescent="0.25">
      <c r="A402" s="656"/>
      <c r="B402" s="608" t="s">
        <v>146</v>
      </c>
      <c r="C402" s="657">
        <f>C403</f>
        <v>426106000</v>
      </c>
      <c r="D402" s="658"/>
      <c r="E402" s="659"/>
      <c r="F402" s="659"/>
      <c r="G402" s="660"/>
      <c r="H402" s="659"/>
      <c r="I402" s="659"/>
      <c r="J402" s="658"/>
      <c r="K402" s="658"/>
    </row>
    <row r="403" spans="1:13" x14ac:dyDescent="0.2">
      <c r="A403" s="661"/>
      <c r="B403" s="610" t="s">
        <v>147</v>
      </c>
      <c r="C403" s="662">
        <f>C404</f>
        <v>426106000</v>
      </c>
      <c r="D403" s="663"/>
      <c r="E403" s="664"/>
      <c r="F403" s="664"/>
      <c r="G403" s="504"/>
      <c r="H403" s="664"/>
      <c r="I403" s="664"/>
      <c r="J403" s="663"/>
      <c r="K403" s="663"/>
    </row>
    <row r="404" spans="1:13" ht="25.5" x14ac:dyDescent="0.2">
      <c r="A404" s="625" t="s">
        <v>148</v>
      </c>
      <c r="B404" s="612" t="s">
        <v>151</v>
      </c>
      <c r="C404" s="675">
        <v>426106000</v>
      </c>
      <c r="D404" s="585">
        <f>C404/C403*100</f>
        <v>100</v>
      </c>
      <c r="E404" s="543">
        <f>G404/C404*100</f>
        <v>85.257189525610997</v>
      </c>
      <c r="F404" s="543">
        <f t="shared" ref="F404" si="108">(D404*E404)/100</f>
        <v>85.257189525610997</v>
      </c>
      <c r="G404" s="676">
        <f>10638094+894000+10638094+894000+7572786+895120+10638094+894000+24380000+284000+15948000+2520000+1381000+955000+7572786+895120+7572786+895120+8390000+1342000+8460000+20073901+165000+15471099+1785000+17515000+2698000+9310000+1477000+34890000+4500000+19180000+2930000+17515000+2698000+9310000+1477000+2622000+2820000+16630000+2749000+9030000+7020000+16327500+165000+14007500+4440000+2820000</f>
        <v>363286000</v>
      </c>
      <c r="H404" s="543">
        <f t="shared" ref="H404" si="109">+G404/C404*100</f>
        <v>85.257189525610997</v>
      </c>
      <c r="I404" s="543">
        <f t="shared" ref="I404" si="110">(D404*H404)/100</f>
        <v>85.257189525610997</v>
      </c>
      <c r="J404" s="586">
        <f t="shared" ref="J404" si="111">C404-G404</f>
        <v>62820000</v>
      </c>
      <c r="K404" s="677"/>
      <c r="L404" s="323">
        <v>363286000</v>
      </c>
      <c r="M404" s="401">
        <f>G404-L404</f>
        <v>0</v>
      </c>
    </row>
    <row r="405" spans="1:13" x14ac:dyDescent="0.2">
      <c r="A405" s="665"/>
      <c r="B405" s="566" t="s">
        <v>95</v>
      </c>
      <c r="C405" s="666"/>
      <c r="D405" s="667"/>
      <c r="E405" s="668"/>
      <c r="F405" s="669"/>
      <c r="G405" s="670">
        <f>SUM(G404)</f>
        <v>363286000</v>
      </c>
      <c r="H405" s="671"/>
      <c r="I405" s="669"/>
      <c r="J405" s="672" t="e">
        <f>SUM(#REF!)</f>
        <v>#REF!</v>
      </c>
      <c r="K405" s="673"/>
    </row>
    <row r="409" spans="1:13" x14ac:dyDescent="0.2">
      <c r="B409" s="678" t="s">
        <v>363</v>
      </c>
      <c r="C409" s="679"/>
      <c r="I409" s="680" t="s">
        <v>364</v>
      </c>
      <c r="J409" s="681"/>
    </row>
    <row r="410" spans="1:13" x14ac:dyDescent="0.2">
      <c r="B410" s="682" t="s">
        <v>365</v>
      </c>
      <c r="C410" s="683"/>
      <c r="E410" s="423" t="s">
        <v>366</v>
      </c>
      <c r="I410" s="948" t="s">
        <v>367</v>
      </c>
      <c r="J410" s="949"/>
    </row>
    <row r="411" spans="1:13" x14ac:dyDescent="0.2">
      <c r="B411" s="682"/>
      <c r="C411" s="683"/>
      <c r="I411" s="680"/>
      <c r="J411" s="682"/>
    </row>
    <row r="412" spans="1:13" x14ac:dyDescent="0.2">
      <c r="B412" s="684" t="s">
        <v>368</v>
      </c>
      <c r="C412" s="683"/>
      <c r="I412" s="685" t="s">
        <v>369</v>
      </c>
      <c r="J412" s="686"/>
    </row>
    <row r="413" spans="1:13" x14ac:dyDescent="0.2">
      <c r="B413" s="682" t="s">
        <v>370</v>
      </c>
      <c r="C413" s="687"/>
      <c r="I413" s="688" t="s">
        <v>167</v>
      </c>
      <c r="J413" s="682"/>
    </row>
  </sheetData>
  <mergeCells count="151">
    <mergeCell ref="A1:K1"/>
    <mergeCell ref="A2:K2"/>
    <mergeCell ref="A3:K3"/>
    <mergeCell ref="A5:A7"/>
    <mergeCell ref="B5:B7"/>
    <mergeCell ref="C5:C7"/>
    <mergeCell ref="D5:F5"/>
    <mergeCell ref="G5:I5"/>
    <mergeCell ref="J5:J6"/>
    <mergeCell ref="A114:C114"/>
    <mergeCell ref="A118:A120"/>
    <mergeCell ref="B118:B120"/>
    <mergeCell ref="C118:C120"/>
    <mergeCell ref="D118:F118"/>
    <mergeCell ref="G118:I118"/>
    <mergeCell ref="A68:C68"/>
    <mergeCell ref="A70:K70"/>
    <mergeCell ref="A71:K71"/>
    <mergeCell ref="A72:K72"/>
    <mergeCell ref="A73:A75"/>
    <mergeCell ref="B73:B75"/>
    <mergeCell ref="C73:C75"/>
    <mergeCell ref="D73:F73"/>
    <mergeCell ref="G73:I73"/>
    <mergeCell ref="J73:J74"/>
    <mergeCell ref="A149:C149"/>
    <mergeCell ref="A153:A155"/>
    <mergeCell ref="B153:B155"/>
    <mergeCell ref="D153:F153"/>
    <mergeCell ref="G153:I153"/>
    <mergeCell ref="J153:J154"/>
    <mergeCell ref="J118:J119"/>
    <mergeCell ref="A132:B132"/>
    <mergeCell ref="A136:A138"/>
    <mergeCell ref="B136:B138"/>
    <mergeCell ref="D136:F136"/>
    <mergeCell ref="G136:I136"/>
    <mergeCell ref="J136:J137"/>
    <mergeCell ref="K174:K176"/>
    <mergeCell ref="A193:A195"/>
    <mergeCell ref="B193:B195"/>
    <mergeCell ref="C193:C194"/>
    <mergeCell ref="D193:F193"/>
    <mergeCell ref="G193:I193"/>
    <mergeCell ref="J193:J194"/>
    <mergeCell ref="K193:K195"/>
    <mergeCell ref="A174:A176"/>
    <mergeCell ref="B174:B176"/>
    <mergeCell ref="C174:C176"/>
    <mergeCell ref="D174:F174"/>
    <mergeCell ref="G174:I174"/>
    <mergeCell ref="J174:J175"/>
    <mergeCell ref="J210:J211"/>
    <mergeCell ref="K210:K212"/>
    <mergeCell ref="A229:A231"/>
    <mergeCell ref="B229:B231"/>
    <mergeCell ref="C229:C231"/>
    <mergeCell ref="D229:F229"/>
    <mergeCell ref="G229:I229"/>
    <mergeCell ref="J229:J230"/>
    <mergeCell ref="A207:B207"/>
    <mergeCell ref="A210:A212"/>
    <mergeCell ref="B210:B212"/>
    <mergeCell ref="C210:C212"/>
    <mergeCell ref="D210:F210"/>
    <mergeCell ref="G210:I210"/>
    <mergeCell ref="A261:A263"/>
    <mergeCell ref="B261:B263"/>
    <mergeCell ref="C261:C263"/>
    <mergeCell ref="D261:F261"/>
    <mergeCell ref="G261:I261"/>
    <mergeCell ref="J261:J262"/>
    <mergeCell ref="A252:A254"/>
    <mergeCell ref="B252:B254"/>
    <mergeCell ref="C252:C254"/>
    <mergeCell ref="D252:F252"/>
    <mergeCell ref="G252:I252"/>
    <mergeCell ref="J252:J253"/>
    <mergeCell ref="A294:A296"/>
    <mergeCell ref="B294:B296"/>
    <mergeCell ref="C294:C296"/>
    <mergeCell ref="D294:F294"/>
    <mergeCell ref="G294:I294"/>
    <mergeCell ref="J294:J295"/>
    <mergeCell ref="A272:A274"/>
    <mergeCell ref="B272:B274"/>
    <mergeCell ref="C272:C274"/>
    <mergeCell ref="D272:F272"/>
    <mergeCell ref="G272:I272"/>
    <mergeCell ref="J272:J273"/>
    <mergeCell ref="A316:A318"/>
    <mergeCell ref="B316:B318"/>
    <mergeCell ref="C316:C318"/>
    <mergeCell ref="D316:F316"/>
    <mergeCell ref="G316:I316"/>
    <mergeCell ref="J316:J317"/>
    <mergeCell ref="A305:A307"/>
    <mergeCell ref="B305:B307"/>
    <mergeCell ref="C305:C307"/>
    <mergeCell ref="D305:F305"/>
    <mergeCell ref="G305:I305"/>
    <mergeCell ref="J305:J306"/>
    <mergeCell ref="A336:A338"/>
    <mergeCell ref="B336:B338"/>
    <mergeCell ref="C336:C338"/>
    <mergeCell ref="D336:F336"/>
    <mergeCell ref="G336:I336"/>
    <mergeCell ref="J336:J337"/>
    <mergeCell ref="A327:A329"/>
    <mergeCell ref="B327:B329"/>
    <mergeCell ref="C327:C329"/>
    <mergeCell ref="D327:F327"/>
    <mergeCell ref="G327:I327"/>
    <mergeCell ref="J327:J328"/>
    <mergeCell ref="A355:A357"/>
    <mergeCell ref="B355:B357"/>
    <mergeCell ref="C355:C357"/>
    <mergeCell ref="D355:F355"/>
    <mergeCell ref="G355:I355"/>
    <mergeCell ref="J355:J356"/>
    <mergeCell ref="A346:A348"/>
    <mergeCell ref="B346:B348"/>
    <mergeCell ref="C346:C348"/>
    <mergeCell ref="D346:F346"/>
    <mergeCell ref="G346:I346"/>
    <mergeCell ref="J346:J347"/>
    <mergeCell ref="A378:A380"/>
    <mergeCell ref="B378:B380"/>
    <mergeCell ref="C378:C380"/>
    <mergeCell ref="D378:F378"/>
    <mergeCell ref="G378:I378"/>
    <mergeCell ref="J378:J379"/>
    <mergeCell ref="A367:A369"/>
    <mergeCell ref="B367:B369"/>
    <mergeCell ref="C367:C369"/>
    <mergeCell ref="D367:F367"/>
    <mergeCell ref="G367:I367"/>
    <mergeCell ref="J367:J368"/>
    <mergeCell ref="I410:J410"/>
    <mergeCell ref="A399:A401"/>
    <mergeCell ref="B399:B401"/>
    <mergeCell ref="C399:C401"/>
    <mergeCell ref="D399:F399"/>
    <mergeCell ref="G399:I399"/>
    <mergeCell ref="J399:J400"/>
    <mergeCell ref="A388:A390"/>
    <mergeCell ref="B388:B390"/>
    <mergeCell ref="C388:C390"/>
    <mergeCell ref="D388:F388"/>
    <mergeCell ref="G388:I388"/>
    <mergeCell ref="J388:J38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49"/>
  <sheetViews>
    <sheetView topLeftCell="A238" workbookViewId="0">
      <selection activeCell="M259" sqref="M259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559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881" t="s">
        <v>1</v>
      </c>
      <c r="B4" s="881"/>
      <c r="C4" s="881"/>
      <c r="D4" s="881"/>
      <c r="E4" s="882"/>
      <c r="F4" s="882"/>
      <c r="G4" s="47"/>
      <c r="H4" s="882"/>
      <c r="I4" s="882"/>
      <c r="J4" s="881"/>
      <c r="K4" s="881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C11+C16+C21+C29+C40+C45+C53+C55+C58+C63+C65+C69+C73+C77+C80+C86+C90+C92</f>
        <v>14557351544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>
        <f>1150000</f>
        <v>1150000</v>
      </c>
      <c r="H12" s="161"/>
      <c r="I12" s="161"/>
      <c r="J12" s="6">
        <v>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18.510158013544018</v>
      </c>
      <c r="F13" s="134">
        <f>(D13*E13)/100</f>
        <v>2.7333333333333338</v>
      </c>
      <c r="G13" s="6">
        <f>820000</f>
        <v>820000</v>
      </c>
      <c r="H13" s="134">
        <f>G13/C13*100</f>
        <v>18.510158013544018</v>
      </c>
      <c r="I13" s="134">
        <f>(D13*H13)/100</f>
        <v>2.7333333333333338</v>
      </c>
      <c r="J13" s="6">
        <f t="shared" ref="J13:J15" si="0">G13-C13</f>
        <v>-3610000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f>4320000</f>
        <v>4320000</v>
      </c>
      <c r="H14" s="134"/>
      <c r="I14" s="134"/>
      <c r="J14" s="6">
        <f t="shared" si="0"/>
        <v>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f>3100000+5300000</f>
        <v>8400000</v>
      </c>
      <c r="H15" s="134"/>
      <c r="I15" s="134"/>
      <c r="J15" s="6">
        <f t="shared" si="0"/>
        <v>-11700000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f>4720000</f>
        <v>4720000</v>
      </c>
      <c r="H18" s="134"/>
      <c r="I18" s="134"/>
      <c r="J18" s="6">
        <f t="shared" si="1"/>
        <v>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f>1585000</f>
        <v>1585000</v>
      </c>
      <c r="H19" s="134"/>
      <c r="I19" s="134"/>
      <c r="J19" s="6">
        <f t="shared" si="1"/>
        <v>-4145000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f>4460000</f>
        <v>4460000</v>
      </c>
      <c r="H20" s="134"/>
      <c r="I20" s="134"/>
      <c r="J20" s="6">
        <f t="shared" si="1"/>
        <v>-4920000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100</v>
      </c>
      <c r="F24" s="134">
        <f t="shared" ref="F24:F26" si="3">(D24*E24)/100</f>
        <v>10.917999999999999</v>
      </c>
      <c r="G24" s="6">
        <f>5459000</f>
        <v>5459000</v>
      </c>
      <c r="H24" s="134">
        <f t="shared" ref="H24:H26" si="4">G24/C24*100</f>
        <v>100</v>
      </c>
      <c r="I24" s="134">
        <f t="shared" ref="I24:I26" si="5">(D24*H24)/100</f>
        <v>10.917999999999999</v>
      </c>
      <c r="J24" s="6">
        <f t="shared" si="2"/>
        <v>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72.456267467135902</v>
      </c>
      <c r="F25" s="134">
        <f t="shared" si="3"/>
        <v>13.999999999999998</v>
      </c>
      <c r="G25" s="6">
        <f>7000000</f>
        <v>7000000</v>
      </c>
      <c r="H25" s="134">
        <f t="shared" si="4"/>
        <v>72.456267467135902</v>
      </c>
      <c r="I25" s="134">
        <f t="shared" si="5"/>
        <v>13.999999999999998</v>
      </c>
      <c r="J25" s="6">
        <f t="shared" si="2"/>
        <v>-2661000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32.777777777777779</v>
      </c>
      <c r="F26" s="134">
        <f t="shared" si="3"/>
        <v>9.44</v>
      </c>
      <c r="G26" s="6">
        <f>4720000</f>
        <v>4720000</v>
      </c>
      <c r="H26" s="134">
        <f t="shared" si="4"/>
        <v>32.777777777777779</v>
      </c>
      <c r="I26" s="134">
        <f t="shared" si="5"/>
        <v>9.44</v>
      </c>
      <c r="J26" s="6">
        <f t="shared" si="2"/>
        <v>-9680000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f>17851651</f>
        <v>17851651</v>
      </c>
      <c r="H27" s="134"/>
      <c r="I27" s="134"/>
      <c r="J27" s="6">
        <f t="shared" si="2"/>
        <v>-148349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4245540345</v>
      </c>
      <c r="D30" s="200">
        <f>C30/C29*100</f>
        <v>36.245950350934478</v>
      </c>
      <c r="E30" s="134">
        <f>G30/C30*100</f>
        <v>77.250980051633462</v>
      </c>
      <c r="F30" s="134">
        <f t="shared" ref="F30:F38" si="6">(D30*E30)/100</f>
        <v>28.000351875125361</v>
      </c>
      <c r="G30" s="6">
        <f>3279721525</f>
        <v>3279721525</v>
      </c>
      <c r="H30" s="134">
        <f>G30/C30*100</f>
        <v>77.250980051633462</v>
      </c>
      <c r="I30" s="134">
        <f t="shared" ref="I30:I38" si="7">(D30*H30)/100</f>
        <v>28.000351875125361</v>
      </c>
      <c r="J30" s="6">
        <f t="shared" ref="J30:J39" si="8">G30-C30</f>
        <v>-965818820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9" si="9">G31/C31*100</f>
        <v>44.518823210102077</v>
      </c>
      <c r="F31" s="134">
        <f t="shared" si="6"/>
        <v>2.6788854556725035</v>
      </c>
      <c r="G31" s="6">
        <f>313781710</f>
        <v>313781710</v>
      </c>
      <c r="H31" s="134">
        <f t="shared" ref="H31:H39" si="10">G31/C31*100</f>
        <v>44.518823210102077</v>
      </c>
      <c r="I31" s="134">
        <f t="shared" si="7"/>
        <v>2.6788854556725035</v>
      </c>
      <c r="J31" s="6">
        <f t="shared" si="8"/>
        <v>-391047590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57.586451111215432</v>
      </c>
      <c r="F32" s="134">
        <f t="shared" si="6"/>
        <v>1.9270658734519528</v>
      </c>
      <c r="G32" s="6">
        <f>225720000</f>
        <v>225720000</v>
      </c>
      <c r="H32" s="134">
        <f t="shared" si="10"/>
        <v>57.586451111215432</v>
      </c>
      <c r="I32" s="134">
        <f t="shared" si="7"/>
        <v>1.9270658734519528</v>
      </c>
      <c r="J32" s="6">
        <f t="shared" si="8"/>
        <v>-166247200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28.50678733031674</v>
      </c>
      <c r="F33" s="134">
        <f t="shared" si="6"/>
        <v>0.10757146024053962</v>
      </c>
      <c r="G33" s="6">
        <f>12600000</f>
        <v>12600000</v>
      </c>
      <c r="H33" s="134">
        <f t="shared" si="10"/>
        <v>28.50678733031674</v>
      </c>
      <c r="I33" s="134">
        <f t="shared" si="7"/>
        <v>0.10757146024053962</v>
      </c>
      <c r="J33" s="6">
        <f t="shared" si="8"/>
        <v>-31600000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73.429312704092297</v>
      </c>
      <c r="F34" s="134">
        <f t="shared" si="6"/>
        <v>0.71377078836589813</v>
      </c>
      <c r="G34" s="6">
        <f>83605000</f>
        <v>83605000</v>
      </c>
      <c r="H34" s="134">
        <f>G34/C34*100</f>
        <v>73.429312704092297</v>
      </c>
      <c r="I34" s="134">
        <f t="shared" si="7"/>
        <v>0.71377078836589813</v>
      </c>
      <c r="J34" s="6">
        <f t="shared" si="8"/>
        <v>-30252800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72.275132275132265</v>
      </c>
      <c r="F35" s="134">
        <f t="shared" si="6"/>
        <v>1.6891403421820248</v>
      </c>
      <c r="G35" s="6">
        <f>197851440</f>
        <v>197851440</v>
      </c>
      <c r="H35" s="134">
        <f t="shared" si="10"/>
        <v>72.275132275132265</v>
      </c>
      <c r="I35" s="134">
        <f t="shared" si="7"/>
        <v>1.6891403421820248</v>
      </c>
      <c r="J35" s="6">
        <f t="shared" si="8"/>
        <v>-75896160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44.864773333333332</v>
      </c>
      <c r="F36" s="134">
        <f t="shared" si="6"/>
        <v>5.745439500985107E-2</v>
      </c>
      <c r="G36" s="6">
        <f>6729716</f>
        <v>6729716</v>
      </c>
      <c r="H36" s="134">
        <f t="shared" si="10"/>
        <v>44.864773333333332</v>
      </c>
      <c r="I36" s="134">
        <f t="shared" si="7"/>
        <v>5.745439500985107E-2</v>
      </c>
      <c r="J36" s="6">
        <f t="shared" si="8"/>
        <v>-8270284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7.5681659693165964</v>
      </c>
      <c r="F37" s="134">
        <f t="shared" si="6"/>
        <v>3.7061783019857667E-4</v>
      </c>
      <c r="G37" s="6">
        <f>43411</f>
        <v>43411</v>
      </c>
      <c r="H37" s="134">
        <f>G37/C37*100</f>
        <v>7.5681659693165964</v>
      </c>
      <c r="I37" s="134">
        <f t="shared" si="7"/>
        <v>3.7061783019857667E-4</v>
      </c>
      <c r="J37" s="6">
        <f t="shared" si="8"/>
        <v>-530189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5647177786</v>
      </c>
      <c r="D38" s="200">
        <f>C38/C29*100</f>
        <v>48.212314339520454</v>
      </c>
      <c r="E38" s="134">
        <f t="shared" si="9"/>
        <v>60.692389559559011</v>
      </c>
      <c r="F38" s="134">
        <f t="shared" si="6"/>
        <v>29.261205634620882</v>
      </c>
      <c r="G38" s="6">
        <f>3427407141</f>
        <v>3427407141</v>
      </c>
      <c r="H38" s="134">
        <f t="shared" si="10"/>
        <v>60.692389559559011</v>
      </c>
      <c r="I38" s="134">
        <f t="shared" si="7"/>
        <v>29.261205634620882</v>
      </c>
      <c r="J38" s="6">
        <f t="shared" si="8"/>
        <v>-2219770645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276250331</v>
      </c>
      <c r="D39" s="200"/>
      <c r="E39" s="134">
        <f t="shared" si="9"/>
        <v>65.835908084396095</v>
      </c>
      <c r="F39" s="134"/>
      <c r="G39" s="6">
        <f>181871914</f>
        <v>181871914</v>
      </c>
      <c r="H39" s="134">
        <f t="shared" si="10"/>
        <v>65.835908084396095</v>
      </c>
      <c r="I39" s="134"/>
      <c r="J39" s="6">
        <f t="shared" si="8"/>
        <v>-94378417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1853928000</v>
      </c>
      <c r="D40" s="241"/>
      <c r="E40" s="242"/>
      <c r="F40" s="242"/>
      <c r="G40" s="791">
        <v>0</v>
      </c>
      <c r="H40" s="242"/>
      <c r="I40" s="242"/>
      <c r="J40" s="791">
        <v>0</v>
      </c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1723250000</v>
      </c>
      <c r="D41" s="200">
        <f>C41/C40*100</f>
        <v>92.95129044925153</v>
      </c>
      <c r="E41" s="134">
        <f>G41/C41*100</f>
        <v>70.072537356738721</v>
      </c>
      <c r="F41" s="134">
        <f t="shared" ref="F41:F44" si="11">(D41*E41)/100</f>
        <v>65.133327723622486</v>
      </c>
      <c r="G41" s="6">
        <f>1207525000</f>
        <v>1207525000</v>
      </c>
      <c r="H41" s="134">
        <f t="shared" ref="H41:H44" si="12">G41/C41*100</f>
        <v>70.072537356738721</v>
      </c>
      <c r="I41" s="134">
        <f t="shared" ref="I41:I44" si="13">(D41*H41)/100</f>
        <v>65.133327723622486</v>
      </c>
      <c r="J41" s="6">
        <f t="shared" ref="J41:J44" si="14">G41-C41</f>
        <v>-515725000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122730550</v>
      </c>
      <c r="D42" s="200">
        <f>C42/C40*100</f>
        <v>6.6200278543719069</v>
      </c>
      <c r="E42" s="134">
        <f t="shared" ref="E42:E44" si="15">G42/C42*100</f>
        <v>78.110961777650317</v>
      </c>
      <c r="F42" s="134">
        <f t="shared" si="11"/>
        <v>5.170967426998244</v>
      </c>
      <c r="G42" s="6">
        <f>95866013</f>
        <v>95866013</v>
      </c>
      <c r="H42" s="134">
        <f t="shared" si="12"/>
        <v>78.110961777650317</v>
      </c>
      <c r="I42" s="134">
        <f t="shared" si="13"/>
        <v>5.170967426998244</v>
      </c>
      <c r="J42" s="6">
        <f t="shared" si="14"/>
        <v>-26864537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3532200</v>
      </c>
      <c r="D43" s="200">
        <f>C43/C40*100</f>
        <v>0.19052519838958148</v>
      </c>
      <c r="E43" s="134">
        <f t="shared" si="15"/>
        <v>82.791319857312729</v>
      </c>
      <c r="F43" s="134">
        <f t="shared" si="11"/>
        <v>0.15773832640749805</v>
      </c>
      <c r="G43" s="6">
        <f>2924355</f>
        <v>2924355</v>
      </c>
      <c r="H43" s="134">
        <f t="shared" si="12"/>
        <v>82.791319857312729</v>
      </c>
      <c r="I43" s="134">
        <f t="shared" si="13"/>
        <v>0.15773832640749805</v>
      </c>
      <c r="J43" s="6">
        <f t="shared" si="14"/>
        <v>-607845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4415250</v>
      </c>
      <c r="D44" s="200">
        <f>C44/C40*100</f>
        <v>0.23815649798697683</v>
      </c>
      <c r="E44" s="134">
        <f t="shared" si="15"/>
        <v>82.791574656021737</v>
      </c>
      <c r="F44" s="134">
        <f t="shared" si="11"/>
        <v>0.19717351482905482</v>
      </c>
      <c r="G44" s="6">
        <f>3655455</f>
        <v>3655455</v>
      </c>
      <c r="H44" s="134">
        <f t="shared" si="12"/>
        <v>82.791574656021737</v>
      </c>
      <c r="I44" s="134">
        <f t="shared" si="13"/>
        <v>0.19717351482905482</v>
      </c>
      <c r="J44" s="6">
        <f t="shared" si="14"/>
        <v>-759795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</v>
      </c>
      <c r="D47" s="741"/>
      <c r="E47" s="742"/>
      <c r="F47" s="742"/>
      <c r="G47" s="6">
        <v>0</v>
      </c>
      <c r="H47" s="742"/>
      <c r="I47" s="742"/>
      <c r="J47" s="6">
        <f t="shared" si="16"/>
        <v>-170000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8775400</v>
      </c>
      <c r="D48" s="200">
        <f>C48/C45*100</f>
        <v>17.550799999999999</v>
      </c>
      <c r="E48" s="134">
        <f t="shared" ref="E48:E50" si="17">G48/C48*100</f>
        <v>63.788260364199921</v>
      </c>
      <c r="F48" s="134">
        <f t="shared" ref="F48:F50" si="18">(D48*E48)/100</f>
        <v>11.195349999999998</v>
      </c>
      <c r="G48" s="6">
        <f>4851675+746000</f>
        <v>5597675</v>
      </c>
      <c r="H48" s="134">
        <f t="shared" ref="H48:H50" si="19">G48/C48*100</f>
        <v>63.788260364199921</v>
      </c>
      <c r="I48" s="134">
        <f t="shared" ref="I48:I50" si="20">(D48*H48)/100</f>
        <v>11.195349999999998</v>
      </c>
      <c r="J48" s="6">
        <f t="shared" si="16"/>
        <v>-3177725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42.404111913882559</v>
      </c>
      <c r="F49" s="134">
        <f t="shared" si="18"/>
        <v>3.4980000000000002</v>
      </c>
      <c r="G49" s="6">
        <v>1749000</v>
      </c>
      <c r="H49" s="134">
        <f t="shared" si="19"/>
        <v>42.404111913882559</v>
      </c>
      <c r="I49" s="134">
        <f t="shared" si="20"/>
        <v>3.4980000000000002</v>
      </c>
      <c r="J49" s="6">
        <f t="shared" si="16"/>
        <v>-2375600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14520000</v>
      </c>
      <c r="D50" s="200">
        <f>C50/C45*100</f>
        <v>29.04</v>
      </c>
      <c r="E50" s="134">
        <f t="shared" si="17"/>
        <v>34.380165289256198</v>
      </c>
      <c r="F50" s="134">
        <f t="shared" si="18"/>
        <v>9.984</v>
      </c>
      <c r="G50" s="6">
        <f>4992000</f>
        <v>4992000</v>
      </c>
      <c r="H50" s="134">
        <f t="shared" si="19"/>
        <v>34.380165289256198</v>
      </c>
      <c r="I50" s="134">
        <f t="shared" si="20"/>
        <v>9.984</v>
      </c>
      <c r="J50" s="6">
        <f t="shared" si="16"/>
        <v>-9528000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f>12450000</f>
        <v>12450000</v>
      </c>
      <c r="H51" s="134"/>
      <c r="I51" s="134"/>
      <c r="J51" s="6">
        <f t="shared" si="16"/>
        <v>-7650000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26.472006826698326</v>
      </c>
      <c r="F54" s="134">
        <f t="shared" ref="F54:F57" si="21">(D54*E54)/100</f>
        <v>26.472006826698326</v>
      </c>
      <c r="G54" s="6">
        <f>3567500</f>
        <v>3567500</v>
      </c>
      <c r="H54" s="134">
        <f>G54/C54*100</f>
        <v>26.472006826698326</v>
      </c>
      <c r="I54" s="134">
        <f>(D54*H54)/100</f>
        <v>26.472006826698326</v>
      </c>
      <c r="J54" s="6">
        <f>G54-C54</f>
        <v>-9909000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SUM(C56:C57)</f>
        <v>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2.5342874180083479</v>
      </c>
      <c r="E56" s="134">
        <f t="shared" ref="E56:E57" si="22">G56/C56*100</f>
        <v>0</v>
      </c>
      <c r="F56" s="134">
        <f t="shared" si="21"/>
        <v>0</v>
      </c>
      <c r="G56" s="6">
        <v>0</v>
      </c>
      <c r="H56" s="134">
        <f t="shared" ref="H56:H58" si="23">G56/C56*100</f>
        <v>0</v>
      </c>
      <c r="I56" s="134">
        <f t="shared" ref="I56:I57" si="24">(D56*H56)/100</f>
        <v>0</v>
      </c>
      <c r="J56" s="6">
        <f t="shared" ref="J56:J57" si="25">G56-C56</f>
        <v>-170000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6538000</v>
      </c>
      <c r="D57" s="200">
        <f>C57/C55*100</f>
        <v>97.465712581991653</v>
      </c>
      <c r="E57" s="134">
        <f t="shared" si="22"/>
        <v>56.079840929947999</v>
      </c>
      <c r="F57" s="134">
        <f t="shared" si="21"/>
        <v>54.658616577221231</v>
      </c>
      <c r="G57" s="6">
        <f>3666500</f>
        <v>3666500</v>
      </c>
      <c r="H57" s="134">
        <f t="shared" si="23"/>
        <v>56.079840929947999</v>
      </c>
      <c r="I57" s="134">
        <f t="shared" si="24"/>
        <v>54.658616577221231</v>
      </c>
      <c r="J57" s="6">
        <f t="shared" si="25"/>
        <v>-2871500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238" t="s">
        <v>503</v>
      </c>
      <c r="B58" s="238" t="s">
        <v>61</v>
      </c>
      <c r="C58" s="239">
        <f>SUM(C59:C62)</f>
        <v>62599600</v>
      </c>
      <c r="D58" s="241"/>
      <c r="E58" s="242"/>
      <c r="F58" s="242"/>
      <c r="G58" s="791">
        <v>0</v>
      </c>
      <c r="H58" s="242">
        <f t="shared" si="23"/>
        <v>0</v>
      </c>
      <c r="I58" s="242"/>
      <c r="J58" s="791">
        <v>0</v>
      </c>
      <c r="K58" s="237"/>
      <c r="L58" s="4"/>
      <c r="M58" s="4"/>
      <c r="N58" s="4"/>
      <c r="O58" s="4"/>
      <c r="P58" s="4"/>
      <c r="Q58" s="4"/>
      <c r="R58" s="9"/>
    </row>
    <row r="59" spans="1:18" ht="22.5" customHeight="1" x14ac:dyDescent="0.25">
      <c r="A59" s="49" t="s">
        <v>450</v>
      </c>
      <c r="B59" s="707" t="s">
        <v>384</v>
      </c>
      <c r="C59" s="56">
        <v>3090000</v>
      </c>
      <c r="D59" s="200">
        <f>C59/C58*100</f>
        <v>4.9361337772126337</v>
      </c>
      <c r="E59" s="134">
        <f>G59/C59*100</f>
        <v>100</v>
      </c>
      <c r="F59" s="134">
        <f t="shared" ref="F59:F71" si="26">(D59*E59)/100</f>
        <v>4.9361337772126337</v>
      </c>
      <c r="G59" s="6">
        <f>3090000</f>
        <v>3090000</v>
      </c>
      <c r="H59" s="134">
        <f>G59/C59*100</f>
        <v>100</v>
      </c>
      <c r="I59" s="134">
        <f>(D59*H59)/100</f>
        <v>4.9361337772126337</v>
      </c>
      <c r="J59" s="6">
        <f t="shared" ref="J59:J62" si="27">G59-C59</f>
        <v>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448</v>
      </c>
      <c r="B60" s="707" t="s">
        <v>445</v>
      </c>
      <c r="C60" s="56">
        <v>170000</v>
      </c>
      <c r="D60" s="200"/>
      <c r="E60" s="134"/>
      <c r="F60" s="134"/>
      <c r="G60" s="6">
        <v>0</v>
      </c>
      <c r="H60" s="134"/>
      <c r="I60" s="134"/>
      <c r="J60" s="6">
        <f t="shared" si="27"/>
        <v>-170000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415</v>
      </c>
      <c r="B61" s="707" t="s">
        <v>197</v>
      </c>
      <c r="C61" s="56">
        <v>7993000</v>
      </c>
      <c r="D61" s="200"/>
      <c r="E61" s="134"/>
      <c r="F61" s="134"/>
      <c r="G61" s="6">
        <f>7664500+302500</f>
        <v>7967000</v>
      </c>
      <c r="H61" s="134"/>
      <c r="I61" s="134"/>
      <c r="J61" s="6">
        <f t="shared" si="27"/>
        <v>-26000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413</v>
      </c>
      <c r="B62" s="707" t="s">
        <v>334</v>
      </c>
      <c r="C62" s="56">
        <v>51346600</v>
      </c>
      <c r="D62" s="200"/>
      <c r="E62" s="134"/>
      <c r="F62" s="134"/>
      <c r="G62" s="6">
        <f>25575000+14860800</f>
        <v>40435800</v>
      </c>
      <c r="H62" s="134"/>
      <c r="I62" s="134"/>
      <c r="J62" s="6">
        <f t="shared" si="27"/>
        <v>-10910800</v>
      </c>
      <c r="K62" s="163"/>
      <c r="L62" s="4"/>
      <c r="M62" s="4"/>
      <c r="N62" s="4"/>
      <c r="O62" s="4"/>
      <c r="P62" s="4"/>
      <c r="Q62" s="4"/>
      <c r="R62" s="9"/>
    </row>
    <row r="63" spans="1:18" s="796" customFormat="1" x14ac:dyDescent="0.25">
      <c r="A63" s="799" t="s">
        <v>468</v>
      </c>
      <c r="B63" s="736" t="s">
        <v>467</v>
      </c>
      <c r="C63" s="800">
        <v>3000000</v>
      </c>
      <c r="D63" s="789"/>
      <c r="E63" s="790"/>
      <c r="F63" s="790"/>
      <c r="G63" s="791">
        <v>0</v>
      </c>
      <c r="H63" s="790"/>
      <c r="I63" s="790"/>
      <c r="J63" s="791">
        <v>0</v>
      </c>
      <c r="K63" s="793"/>
      <c r="L63" s="794"/>
      <c r="M63" s="794"/>
      <c r="N63" s="794"/>
      <c r="O63" s="794"/>
      <c r="P63" s="794"/>
      <c r="Q63" s="794"/>
      <c r="R63" s="795"/>
    </row>
    <row r="64" spans="1:18" x14ac:dyDescent="0.25">
      <c r="A64" s="49" t="s">
        <v>413</v>
      </c>
      <c r="B64" s="707" t="s">
        <v>334</v>
      </c>
      <c r="C64" s="56">
        <v>3000000</v>
      </c>
      <c r="D64" s="200"/>
      <c r="E64" s="134"/>
      <c r="F64" s="134"/>
      <c r="G64" s="6">
        <v>0</v>
      </c>
      <c r="H64" s="134"/>
      <c r="I64" s="134"/>
      <c r="J64" s="6">
        <f>G64-C64</f>
        <v>-3000000</v>
      </c>
      <c r="K64" s="163"/>
      <c r="L64" s="4"/>
      <c r="M64" s="4"/>
      <c r="N64" s="4"/>
      <c r="O64" s="4"/>
      <c r="P64" s="4"/>
      <c r="Q64" s="4"/>
      <c r="R64" s="9"/>
    </row>
    <row r="65" spans="1:18" s="796" customFormat="1" x14ac:dyDescent="0.25">
      <c r="A65" s="799" t="s">
        <v>469</v>
      </c>
      <c r="B65" s="736" t="s">
        <v>470</v>
      </c>
      <c r="C65" s="800">
        <f>SUM(C66:C68)</f>
        <v>12000000</v>
      </c>
      <c r="D65" s="789"/>
      <c r="E65" s="790"/>
      <c r="F65" s="790"/>
      <c r="G65" s="791">
        <v>0</v>
      </c>
      <c r="H65" s="790"/>
      <c r="I65" s="790"/>
      <c r="J65" s="791">
        <v>0</v>
      </c>
      <c r="K65" s="793"/>
      <c r="L65" s="794"/>
      <c r="M65" s="794"/>
      <c r="N65" s="794"/>
      <c r="O65" s="794"/>
      <c r="P65" s="794"/>
      <c r="Q65" s="794"/>
      <c r="R65" s="795"/>
    </row>
    <row r="66" spans="1:18" x14ac:dyDescent="0.25">
      <c r="A66" s="49" t="s">
        <v>448</v>
      </c>
      <c r="B66" s="707" t="s">
        <v>445</v>
      </c>
      <c r="C66" s="56">
        <v>170000</v>
      </c>
      <c r="D66" s="200"/>
      <c r="E66" s="134"/>
      <c r="F66" s="134"/>
      <c r="G66" s="6">
        <v>0</v>
      </c>
      <c r="H66" s="134"/>
      <c r="I66" s="134"/>
      <c r="J66" s="6">
        <f t="shared" ref="J66:J68" si="28">G66-C66</f>
        <v>-170000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413</v>
      </c>
      <c r="B67" s="707" t="s">
        <v>334</v>
      </c>
      <c r="C67" s="56">
        <v>820000</v>
      </c>
      <c r="D67" s="200"/>
      <c r="E67" s="134"/>
      <c r="F67" s="134"/>
      <c r="G67" s="6">
        <v>0</v>
      </c>
      <c r="H67" s="134"/>
      <c r="I67" s="134"/>
      <c r="J67" s="6">
        <f t="shared" si="28"/>
        <v>-820000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391</v>
      </c>
      <c r="B68" s="218" t="s">
        <v>198</v>
      </c>
      <c r="C68" s="56">
        <v>11010000</v>
      </c>
      <c r="D68" s="200"/>
      <c r="E68" s="134"/>
      <c r="F68" s="134"/>
      <c r="G68" s="6">
        <v>0</v>
      </c>
      <c r="H68" s="134"/>
      <c r="I68" s="134"/>
      <c r="J68" s="6">
        <f t="shared" si="28"/>
        <v>-11010000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238" t="s">
        <v>504</v>
      </c>
      <c r="B69" s="238" t="s">
        <v>64</v>
      </c>
      <c r="C69" s="239">
        <f>SUM(C70:C71)</f>
        <v>148714000</v>
      </c>
      <c r="D69" s="241"/>
      <c r="E69" s="242"/>
      <c r="F69" s="242"/>
      <c r="G69" s="791">
        <v>0</v>
      </c>
      <c r="H69" s="242"/>
      <c r="I69" s="242"/>
      <c r="J69" s="791">
        <v>0</v>
      </c>
      <c r="K69" s="237"/>
      <c r="L69" s="4"/>
      <c r="M69" s="4"/>
      <c r="N69" s="4"/>
      <c r="O69" s="4"/>
      <c r="P69" s="4"/>
      <c r="Q69" s="4"/>
      <c r="R69" s="9"/>
    </row>
    <row r="70" spans="1:18" ht="21" customHeight="1" x14ac:dyDescent="0.25">
      <c r="A70" s="49" t="s">
        <v>450</v>
      </c>
      <c r="B70" s="707" t="s">
        <v>384</v>
      </c>
      <c r="C70" s="56">
        <v>3480000</v>
      </c>
      <c r="D70" s="200">
        <f>C70/C69*100</f>
        <v>2.3400621326842126</v>
      </c>
      <c r="E70" s="134">
        <f t="shared" ref="E70:E71" si="29">G70/C70*100</f>
        <v>100</v>
      </c>
      <c r="F70" s="134">
        <f t="shared" si="26"/>
        <v>2.3400621326842126</v>
      </c>
      <c r="G70" s="6">
        <f>3480000</f>
        <v>3480000</v>
      </c>
      <c r="H70" s="134">
        <f t="shared" ref="H70:H71" si="30">G70/C70*100</f>
        <v>100</v>
      </c>
      <c r="I70" s="134">
        <f t="shared" ref="I70:I71" si="31">(D70*H70)/100</f>
        <v>2.3400621326842126</v>
      </c>
      <c r="J70" s="6">
        <f t="shared" ref="J70:J71" si="32">G70-C70</f>
        <v>0</v>
      </c>
      <c r="K70" s="163"/>
      <c r="L70" s="4"/>
      <c r="M70" s="4"/>
      <c r="N70" s="4"/>
      <c r="O70" s="4"/>
      <c r="P70" s="4"/>
      <c r="Q70" s="4"/>
      <c r="R70" s="9"/>
    </row>
    <row r="71" spans="1:18" ht="15.75" thickBot="1" x14ac:dyDescent="0.3">
      <c r="A71" s="217" t="s">
        <v>449</v>
      </c>
      <c r="B71" s="78" t="s">
        <v>23</v>
      </c>
      <c r="C71" s="219">
        <v>145234000</v>
      </c>
      <c r="D71" s="200">
        <f>C71/C69*100</f>
        <v>97.659937867315776</v>
      </c>
      <c r="E71" s="134">
        <f t="shared" si="29"/>
        <v>98.406741534351454</v>
      </c>
      <c r="F71" s="134">
        <f t="shared" si="26"/>
        <v>96.103962639697656</v>
      </c>
      <c r="G71" s="6">
        <f>86169136+56750911</f>
        <v>142920047</v>
      </c>
      <c r="H71" s="134">
        <f t="shared" si="30"/>
        <v>98.406741534351454</v>
      </c>
      <c r="I71" s="134">
        <f t="shared" si="31"/>
        <v>96.103962639697656</v>
      </c>
      <c r="J71" s="6">
        <f t="shared" si="32"/>
        <v>-2313953</v>
      </c>
      <c r="K71" s="163"/>
      <c r="L71" s="4"/>
      <c r="M71" s="4"/>
      <c r="N71" s="4"/>
      <c r="O71" s="694"/>
      <c r="P71" s="4"/>
      <c r="Q71" s="4"/>
      <c r="R71" s="9"/>
    </row>
    <row r="72" spans="1:18" ht="15.75" thickBot="1" x14ac:dyDescent="0.3">
      <c r="A72" s="689" t="s">
        <v>248</v>
      </c>
      <c r="B72" s="708" t="s">
        <v>68</v>
      </c>
      <c r="C72" s="690"/>
      <c r="D72" s="216"/>
      <c r="E72" s="134"/>
      <c r="F72" s="134"/>
      <c r="G72" s="6">
        <v>0</v>
      </c>
      <c r="H72" s="134"/>
      <c r="I72" s="134"/>
      <c r="J72" s="6">
        <v>0</v>
      </c>
      <c r="K72" s="163"/>
      <c r="L72" s="4"/>
      <c r="M72" s="4"/>
      <c r="N72" s="4"/>
      <c r="O72" s="4"/>
      <c r="P72" s="4"/>
      <c r="Q72" s="4"/>
      <c r="R72" s="9"/>
    </row>
    <row r="73" spans="1:18" x14ac:dyDescent="0.25">
      <c r="A73" s="233" t="s">
        <v>249</v>
      </c>
      <c r="B73" s="696" t="s">
        <v>387</v>
      </c>
      <c r="C73" s="234">
        <f>SUM(C74:C76)</f>
        <v>237367500</v>
      </c>
      <c r="D73" s="241"/>
      <c r="E73" s="242"/>
      <c r="F73" s="242"/>
      <c r="G73" s="791">
        <v>0</v>
      </c>
      <c r="H73" s="242"/>
      <c r="I73" s="242"/>
      <c r="J73" s="791">
        <v>0</v>
      </c>
      <c r="K73" s="237"/>
      <c r="L73" s="4"/>
      <c r="M73" s="4"/>
      <c r="N73" s="4"/>
      <c r="O73" s="713"/>
      <c r="P73" s="4"/>
      <c r="Q73" s="4"/>
      <c r="R73" s="9"/>
    </row>
    <row r="74" spans="1:18" x14ac:dyDescent="0.25">
      <c r="A74" s="49" t="s">
        <v>471</v>
      </c>
      <c r="B74" s="78" t="s">
        <v>388</v>
      </c>
      <c r="C74" s="56">
        <v>54000000</v>
      </c>
      <c r="D74" s="200">
        <f>C74/C73*100</f>
        <v>22.749533950519762</v>
      </c>
      <c r="E74" s="134">
        <f t="shared" ref="E74:E76" si="33">G74/C74*100</f>
        <v>53.015325925925929</v>
      </c>
      <c r="F74" s="134">
        <f t="shared" ref="F74:F76" si="34">(D74*E74)/100</f>
        <v>12.060739570497224</v>
      </c>
      <c r="G74" s="6">
        <f>28628276</f>
        <v>28628276</v>
      </c>
      <c r="H74" s="134">
        <f t="shared" ref="H74:H78" si="35">G74/C74*100</f>
        <v>53.015325925925929</v>
      </c>
      <c r="I74" s="134">
        <f t="shared" ref="I74:I76" si="36">(D74*H74)/100</f>
        <v>12.060739570497224</v>
      </c>
      <c r="J74" s="6">
        <f t="shared" ref="J74:J76" si="37">G74-C74</f>
        <v>-25371724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472</v>
      </c>
      <c r="B75" s="78" t="s">
        <v>73</v>
      </c>
      <c r="C75" s="56">
        <v>39000000</v>
      </c>
      <c r="D75" s="200">
        <f>C75/C73*100</f>
        <v>16.430218964264274</v>
      </c>
      <c r="E75" s="134">
        <f t="shared" si="33"/>
        <v>41.140841025641031</v>
      </c>
      <c r="F75" s="134">
        <f t="shared" si="34"/>
        <v>6.7595302642526898</v>
      </c>
      <c r="G75" s="6">
        <f>15171638+873290</f>
        <v>16044928</v>
      </c>
      <c r="H75" s="134">
        <f t="shared" si="35"/>
        <v>41.140841025641031</v>
      </c>
      <c r="I75" s="134">
        <f t="shared" si="36"/>
        <v>6.7595302642526898</v>
      </c>
      <c r="J75" s="6">
        <f t="shared" si="37"/>
        <v>-22955072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473</v>
      </c>
      <c r="B76" s="78" t="s">
        <v>75</v>
      </c>
      <c r="C76" s="56">
        <v>144367500</v>
      </c>
      <c r="D76" s="200">
        <f>C76/C73*100</f>
        <v>60.820247085215961</v>
      </c>
      <c r="E76" s="134">
        <f t="shared" si="33"/>
        <v>73.305712850884035</v>
      </c>
      <c r="F76" s="134">
        <f t="shared" si="34"/>
        <v>44.584715683486586</v>
      </c>
      <c r="G76" s="6">
        <f>102060125+3769500</f>
        <v>105829625</v>
      </c>
      <c r="H76" s="134">
        <f t="shared" si="35"/>
        <v>73.305712850884035</v>
      </c>
      <c r="I76" s="134">
        <f t="shared" si="36"/>
        <v>44.584715683486586</v>
      </c>
      <c r="J76" s="6">
        <f t="shared" si="37"/>
        <v>-38537875</v>
      </c>
      <c r="K76" s="163"/>
      <c r="L76" s="4"/>
      <c r="M76" s="4"/>
      <c r="N76" s="4"/>
      <c r="O76" s="4"/>
      <c r="P76" s="4"/>
      <c r="Q76" s="4"/>
      <c r="R76" s="9"/>
    </row>
    <row r="77" spans="1:18" x14ac:dyDescent="0.25">
      <c r="A77" s="238" t="s">
        <v>505</v>
      </c>
      <c r="B77" s="238" t="s">
        <v>76</v>
      </c>
      <c r="C77" s="239">
        <f>SUM(C78:C78)</f>
        <v>20000000</v>
      </c>
      <c r="D77" s="241"/>
      <c r="E77" s="242"/>
      <c r="F77" s="242"/>
      <c r="G77" s="791">
        <v>0</v>
      </c>
      <c r="H77" s="242"/>
      <c r="I77" s="242"/>
      <c r="J77" s="791">
        <v>0</v>
      </c>
      <c r="K77" s="237"/>
      <c r="L77" s="4"/>
      <c r="M77" s="4"/>
      <c r="N77" s="4"/>
      <c r="O77" s="4"/>
      <c r="P77" s="4"/>
      <c r="Q77" s="4"/>
      <c r="R77" s="9"/>
    </row>
    <row r="78" spans="1:18" ht="14.25" customHeight="1" thickBot="1" x14ac:dyDescent="0.3">
      <c r="A78" s="49" t="s">
        <v>450</v>
      </c>
      <c r="B78" s="707" t="s">
        <v>384</v>
      </c>
      <c r="C78" s="56">
        <v>20000000</v>
      </c>
      <c r="D78" s="200">
        <f>C78/C77*100</f>
        <v>100</v>
      </c>
      <c r="E78" s="134">
        <f t="shared" ref="E78" si="38">G78/C78*100</f>
        <v>42.5</v>
      </c>
      <c r="F78" s="134">
        <f t="shared" ref="F78" si="39">(D78*E78)/100</f>
        <v>42.5</v>
      </c>
      <c r="G78" s="6">
        <f>8500000</f>
        <v>8500000</v>
      </c>
      <c r="H78" s="134">
        <f t="shared" si="35"/>
        <v>42.5</v>
      </c>
      <c r="I78" s="134">
        <f t="shared" ref="I78" si="40">(D78*H78)/100</f>
        <v>42.5</v>
      </c>
      <c r="J78" s="6">
        <f>G78-C78</f>
        <v>-11500000</v>
      </c>
      <c r="K78" s="163"/>
      <c r="L78" s="4"/>
      <c r="M78" s="4"/>
      <c r="N78" s="4"/>
      <c r="O78" s="4"/>
      <c r="P78" s="4"/>
      <c r="Q78" s="4"/>
      <c r="R78" s="9"/>
    </row>
    <row r="79" spans="1:18" ht="26.25" thickBot="1" x14ac:dyDescent="0.3">
      <c r="A79" s="689" t="s">
        <v>506</v>
      </c>
      <c r="B79" s="692" t="s">
        <v>377</v>
      </c>
      <c r="C79" s="690"/>
      <c r="D79" s="216"/>
      <c r="E79" s="134"/>
      <c r="F79" s="134"/>
      <c r="G79" s="6">
        <v>0</v>
      </c>
      <c r="H79" s="134"/>
      <c r="I79" s="134"/>
      <c r="J79" s="6">
        <v>0</v>
      </c>
      <c r="K79" s="163"/>
      <c r="L79" s="4"/>
      <c r="M79" s="4"/>
      <c r="N79" s="4"/>
      <c r="O79" s="694"/>
      <c r="P79" s="4"/>
      <c r="Q79" s="4"/>
      <c r="R79" s="9"/>
    </row>
    <row r="80" spans="1:18" ht="26.25" x14ac:dyDescent="0.25">
      <c r="A80" s="693" t="s">
        <v>507</v>
      </c>
      <c r="B80" s="691" t="s">
        <v>474</v>
      </c>
      <c r="C80" s="234">
        <f>SUM(C81:C85)</f>
        <v>151843982</v>
      </c>
      <c r="D80" s="241"/>
      <c r="E80" s="242"/>
      <c r="F80" s="242"/>
      <c r="G80" s="791">
        <v>0</v>
      </c>
      <c r="H80" s="242"/>
      <c r="I80" s="242"/>
      <c r="J80" s="791">
        <v>0</v>
      </c>
      <c r="K80" s="244"/>
      <c r="L80" s="4"/>
      <c r="M80" s="4"/>
      <c r="N80" s="4"/>
      <c r="O80" s="4"/>
      <c r="P80" s="4"/>
      <c r="Q80" s="4"/>
      <c r="R80" s="9"/>
    </row>
    <row r="81" spans="1:18" s="783" customFormat="1" ht="25.5" x14ac:dyDescent="0.25">
      <c r="A81" s="801" t="s">
        <v>450</v>
      </c>
      <c r="B81" s="707" t="s">
        <v>384</v>
      </c>
      <c r="C81" s="788">
        <v>7330000</v>
      </c>
      <c r="D81" s="741"/>
      <c r="E81" s="742"/>
      <c r="F81" s="742"/>
      <c r="G81" s="6">
        <f>3670000</f>
        <v>3670000</v>
      </c>
      <c r="H81" s="742"/>
      <c r="I81" s="742"/>
      <c r="J81" s="6">
        <f t="shared" ref="J81:J85" si="41">G81-C81</f>
        <v>-3660000</v>
      </c>
      <c r="K81" s="743"/>
      <c r="L81" s="737"/>
      <c r="M81" s="737"/>
      <c r="N81" s="737"/>
      <c r="O81" s="737"/>
      <c r="P81" s="737"/>
      <c r="Q81" s="737"/>
      <c r="R81" s="782"/>
    </row>
    <row r="82" spans="1:18" x14ac:dyDescent="0.25">
      <c r="A82" s="224" t="s">
        <v>475</v>
      </c>
      <c r="B82" s="78" t="s">
        <v>81</v>
      </c>
      <c r="C82" s="56">
        <v>79356018</v>
      </c>
      <c r="D82" s="200">
        <f>C82/C80*100</f>
        <v>52.261549621373874</v>
      </c>
      <c r="E82" s="134">
        <f t="shared" ref="E82:E85" si="42">G82/C82*100</f>
        <v>84.561756866379056</v>
      </c>
      <c r="F82" s="134">
        <f t="shared" ref="F82:F85" si="43">(D82*E82)/100</f>
        <v>44.193284525428219</v>
      </c>
      <c r="G82" s="6">
        <f>67104843</f>
        <v>67104843</v>
      </c>
      <c r="H82" s="134">
        <f t="shared" ref="H82:H85" si="44">G82/C82*100</f>
        <v>84.561756866379056</v>
      </c>
      <c r="I82" s="134">
        <f t="shared" ref="I82:I85" si="45">(D82*H82)/100</f>
        <v>44.193284525428219</v>
      </c>
      <c r="J82" s="6">
        <f t="shared" si="41"/>
        <v>-12251175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476</v>
      </c>
      <c r="B83" s="78" t="s">
        <v>83</v>
      </c>
      <c r="C83" s="56">
        <v>22600000</v>
      </c>
      <c r="D83" s="200">
        <f>C83/C80*100</f>
        <v>14.883698189632566</v>
      </c>
      <c r="E83" s="134">
        <f t="shared" si="42"/>
        <v>31.796460176991147</v>
      </c>
      <c r="F83" s="134">
        <f t="shared" si="43"/>
        <v>4.7324891677300709</v>
      </c>
      <c r="G83" s="6">
        <f>7186000</f>
        <v>7186000</v>
      </c>
      <c r="H83" s="134">
        <f t="shared" si="44"/>
        <v>31.796460176991147</v>
      </c>
      <c r="I83" s="134">
        <f t="shared" si="45"/>
        <v>4.7324891677300709</v>
      </c>
      <c r="J83" s="6">
        <f t="shared" si="41"/>
        <v>-15414000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477</v>
      </c>
      <c r="B84" s="78" t="s">
        <v>85</v>
      </c>
      <c r="C84" s="56">
        <v>13307964</v>
      </c>
      <c r="D84" s="200">
        <f>C84/C80*100</f>
        <v>8.7642353847121832</v>
      </c>
      <c r="E84" s="134">
        <f t="shared" si="42"/>
        <v>2.6856099099757107</v>
      </c>
      <c r="F84" s="134">
        <f t="shared" si="43"/>
        <v>0.23537317402542826</v>
      </c>
      <c r="G84" s="6">
        <f>357400</f>
        <v>357400</v>
      </c>
      <c r="H84" s="134">
        <f t="shared" si="44"/>
        <v>2.6856099099757107</v>
      </c>
      <c r="I84" s="134">
        <f t="shared" si="45"/>
        <v>0.23537317402542826</v>
      </c>
      <c r="J84" s="6">
        <f t="shared" si="41"/>
        <v>-12950564</v>
      </c>
      <c r="K84" s="56"/>
      <c r="L84" s="4"/>
      <c r="M84" s="4"/>
      <c r="N84" s="4"/>
      <c r="O84" s="713"/>
      <c r="P84" s="4"/>
      <c r="Q84" s="4"/>
      <c r="R84" s="9"/>
    </row>
    <row r="85" spans="1:18" ht="25.5" x14ac:dyDescent="0.25">
      <c r="A85" s="49" t="s">
        <v>478</v>
      </c>
      <c r="B85" s="77" t="s">
        <v>87</v>
      </c>
      <c r="C85" s="56">
        <v>29250000</v>
      </c>
      <c r="D85" s="200">
        <f>C85/C80*100</f>
        <v>19.263193453396134</v>
      </c>
      <c r="E85" s="134">
        <f t="shared" si="42"/>
        <v>85.294017094017093</v>
      </c>
      <c r="F85" s="134">
        <f t="shared" si="43"/>
        <v>16.43035151699328</v>
      </c>
      <c r="G85" s="6">
        <f>17270000+7678500</f>
        <v>24948500</v>
      </c>
      <c r="H85" s="134">
        <f t="shared" si="44"/>
        <v>85.294017094017093</v>
      </c>
      <c r="I85" s="134">
        <f t="shared" si="45"/>
        <v>16.43035151699328</v>
      </c>
      <c r="J85" s="6">
        <f t="shared" si="41"/>
        <v>-4301500</v>
      </c>
      <c r="K85" s="56"/>
      <c r="L85" s="4"/>
      <c r="M85" s="4"/>
      <c r="N85" s="4"/>
      <c r="O85" s="4"/>
      <c r="P85" s="4"/>
      <c r="Q85" s="4"/>
      <c r="R85" s="9"/>
    </row>
    <row r="86" spans="1:18" s="796" customFormat="1" x14ac:dyDescent="0.25">
      <c r="A86" s="799" t="s">
        <v>483</v>
      </c>
      <c r="B86" s="691" t="s">
        <v>479</v>
      </c>
      <c r="C86" s="800">
        <f>SUM(C87:C89)</f>
        <v>30280000</v>
      </c>
      <c r="D86" s="789"/>
      <c r="E86" s="790"/>
      <c r="F86" s="790"/>
      <c r="G86" s="791">
        <v>0</v>
      </c>
      <c r="H86" s="790"/>
      <c r="I86" s="790"/>
      <c r="J86" s="791">
        <v>0</v>
      </c>
      <c r="K86" s="792"/>
      <c r="L86" s="794"/>
      <c r="M86" s="794"/>
      <c r="N86" s="794"/>
      <c r="O86" s="794"/>
      <c r="P86" s="794"/>
      <c r="Q86" s="794"/>
      <c r="R86" s="795"/>
    </row>
    <row r="87" spans="1:18" ht="25.5" x14ac:dyDescent="0.25">
      <c r="A87" s="49" t="s">
        <v>484</v>
      </c>
      <c r="B87" s="77" t="s">
        <v>480</v>
      </c>
      <c r="C87" s="56">
        <v>4110000</v>
      </c>
      <c r="D87" s="200"/>
      <c r="E87" s="134"/>
      <c r="F87" s="134"/>
      <c r="G87" s="132">
        <f>2870000</f>
        <v>2870000</v>
      </c>
      <c r="H87" s="134"/>
      <c r="I87" s="134"/>
      <c r="J87" s="6">
        <f t="shared" ref="J87:J89" si="46">G87-C87</f>
        <v>-1240000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485</v>
      </c>
      <c r="B88" s="77" t="s">
        <v>481</v>
      </c>
      <c r="C88" s="56">
        <v>14490000</v>
      </c>
      <c r="D88" s="200"/>
      <c r="E88" s="134"/>
      <c r="F88" s="134"/>
      <c r="G88" s="6">
        <f>6300000</f>
        <v>6300000</v>
      </c>
      <c r="H88" s="134"/>
      <c r="I88" s="134"/>
      <c r="J88" s="6">
        <f t="shared" si="46"/>
        <v>-8190000</v>
      </c>
      <c r="K88" s="56"/>
      <c r="L88" s="4"/>
      <c r="M88" s="4"/>
      <c r="N88" s="4"/>
      <c r="O88" s="4"/>
      <c r="P88" s="4"/>
      <c r="Q88" s="4"/>
      <c r="R88" s="9"/>
    </row>
    <row r="89" spans="1:18" ht="25.5" x14ac:dyDescent="0.25">
      <c r="A89" s="49" t="s">
        <v>486</v>
      </c>
      <c r="B89" s="77" t="s">
        <v>482</v>
      </c>
      <c r="C89" s="56">
        <v>11680000</v>
      </c>
      <c r="D89" s="200"/>
      <c r="E89" s="134"/>
      <c r="F89" s="134"/>
      <c r="G89" s="132">
        <f>9560000</f>
        <v>9560000</v>
      </c>
      <c r="H89" s="134"/>
      <c r="I89" s="134"/>
      <c r="J89" s="6">
        <f t="shared" si="46"/>
        <v>-2120000</v>
      </c>
      <c r="K89" s="56"/>
      <c r="L89" s="4"/>
      <c r="M89" s="4"/>
      <c r="N89" s="4"/>
      <c r="O89" s="4"/>
      <c r="P89" s="4"/>
      <c r="Q89" s="4"/>
      <c r="R89" s="9"/>
    </row>
    <row r="90" spans="1:18" s="796" customFormat="1" ht="25.5" x14ac:dyDescent="0.25">
      <c r="A90" s="799" t="s">
        <v>508</v>
      </c>
      <c r="B90" s="802" t="s">
        <v>90</v>
      </c>
      <c r="C90" s="800">
        <v>107280000</v>
      </c>
      <c r="D90" s="789"/>
      <c r="E90" s="790"/>
      <c r="F90" s="790"/>
      <c r="G90" s="791"/>
      <c r="H90" s="790"/>
      <c r="I90" s="790"/>
      <c r="J90" s="791"/>
      <c r="K90" s="792"/>
      <c r="L90" s="794"/>
      <c r="M90" s="794"/>
      <c r="N90" s="794"/>
      <c r="O90" s="794"/>
      <c r="P90" s="794"/>
      <c r="Q90" s="794"/>
      <c r="R90" s="795"/>
    </row>
    <row r="91" spans="1:18" ht="25.5" x14ac:dyDescent="0.25">
      <c r="A91" s="49" t="s">
        <v>487</v>
      </c>
      <c r="B91" s="77" t="s">
        <v>509</v>
      </c>
      <c r="C91" s="56">
        <v>107280000</v>
      </c>
      <c r="D91" s="200"/>
      <c r="E91" s="134"/>
      <c r="F91" s="134"/>
      <c r="G91" s="132">
        <f>11450000+1093000</f>
        <v>12543000</v>
      </c>
      <c r="H91" s="134"/>
      <c r="I91" s="134"/>
      <c r="J91" s="6">
        <f>G91-C91</f>
        <v>-94737000</v>
      </c>
      <c r="K91" s="56"/>
      <c r="L91" s="4"/>
      <c r="M91" s="4"/>
      <c r="N91" s="4"/>
      <c r="O91" s="4"/>
      <c r="P91" s="4"/>
      <c r="Q91" s="4"/>
      <c r="R91" s="9"/>
    </row>
    <row r="92" spans="1:18" ht="25.5" x14ac:dyDescent="0.25">
      <c r="A92" s="238" t="s">
        <v>510</v>
      </c>
      <c r="B92" s="240" t="s">
        <v>90</v>
      </c>
      <c r="C92" s="239">
        <v>47010000</v>
      </c>
      <c r="D92" s="241"/>
      <c r="E92" s="242"/>
      <c r="F92" s="242"/>
      <c r="G92" s="791">
        <v>0</v>
      </c>
      <c r="H92" s="242"/>
      <c r="I92" s="242"/>
      <c r="J92" s="791">
        <v>0</v>
      </c>
      <c r="K92" s="244"/>
      <c r="L92" s="4"/>
      <c r="M92" s="4"/>
      <c r="N92" s="4"/>
      <c r="O92" s="4"/>
      <c r="P92" s="4"/>
      <c r="Q92" s="4"/>
      <c r="R92" s="9"/>
    </row>
    <row r="93" spans="1:18" s="783" customFormat="1" x14ac:dyDescent="0.25">
      <c r="A93" s="124" t="s">
        <v>448</v>
      </c>
      <c r="B93" s="707" t="s">
        <v>445</v>
      </c>
      <c r="C93" s="743">
        <v>170000</v>
      </c>
      <c r="D93" s="741"/>
      <c r="E93" s="742"/>
      <c r="F93" s="742"/>
      <c r="G93" s="6">
        <v>0</v>
      </c>
      <c r="H93" s="742"/>
      <c r="I93" s="742"/>
      <c r="J93" s="6">
        <f t="shared" ref="J93:J95" si="47">G93-C93</f>
        <v>-170000</v>
      </c>
      <c r="K93" s="743"/>
      <c r="L93" s="737"/>
      <c r="M93" s="737"/>
      <c r="N93" s="737"/>
      <c r="O93" s="737"/>
      <c r="P93" s="737"/>
      <c r="Q93" s="737"/>
      <c r="R93" s="782"/>
    </row>
    <row r="94" spans="1:18" x14ac:dyDescent="0.25">
      <c r="A94" s="49" t="s">
        <v>490</v>
      </c>
      <c r="B94" s="316" t="s">
        <v>488</v>
      </c>
      <c r="C94" s="56">
        <v>8500000</v>
      </c>
      <c r="D94" s="200">
        <f>C94/C92*100</f>
        <v>18.081259306530526</v>
      </c>
      <c r="E94" s="134">
        <f t="shared" ref="E94:E95" si="48">G94/C94*100</f>
        <v>0</v>
      </c>
      <c r="F94" s="134">
        <f t="shared" ref="F94:F95" si="49">(D94*E94)/100</f>
        <v>0</v>
      </c>
      <c r="G94" s="6">
        <v>0</v>
      </c>
      <c r="H94" s="134">
        <f t="shared" ref="H94:H95" si="50">G94/C94*100</f>
        <v>0</v>
      </c>
      <c r="I94" s="134">
        <f t="shared" ref="I94:I95" si="51">(D94*H94)/100</f>
        <v>0</v>
      </c>
      <c r="J94" s="6">
        <f t="shared" si="47"/>
        <v>-8500000</v>
      </c>
      <c r="K94" s="56"/>
      <c r="L94" s="4"/>
      <c r="M94" s="4"/>
      <c r="N94" s="4"/>
      <c r="O94" s="4"/>
      <c r="P94" s="4"/>
      <c r="Q94" s="4"/>
      <c r="R94" s="9"/>
    </row>
    <row r="95" spans="1:18" ht="25.5" x14ac:dyDescent="0.25">
      <c r="A95" s="49" t="s">
        <v>491</v>
      </c>
      <c r="B95" s="77" t="s">
        <v>489</v>
      </c>
      <c r="C95" s="56">
        <v>38340000</v>
      </c>
      <c r="D95" s="200">
        <f>C95/C92*100</f>
        <v>81.557115507338864</v>
      </c>
      <c r="E95" s="134">
        <f t="shared" si="48"/>
        <v>73.888171622326553</v>
      </c>
      <c r="F95" s="134">
        <f t="shared" si="49"/>
        <v>60.26106147628164</v>
      </c>
      <c r="G95" s="138">
        <f>19048825+9279900</f>
        <v>28328725</v>
      </c>
      <c r="H95" s="134">
        <f t="shared" si="50"/>
        <v>73.888171622326553</v>
      </c>
      <c r="I95" s="134">
        <f t="shared" si="51"/>
        <v>60.26106147628164</v>
      </c>
      <c r="J95" s="6">
        <f t="shared" si="47"/>
        <v>-10011275</v>
      </c>
      <c r="K95" s="56"/>
      <c r="L95" s="4"/>
      <c r="M95" s="695"/>
      <c r="N95" s="4"/>
      <c r="O95" s="4"/>
      <c r="P95" s="4"/>
      <c r="Q95" s="4"/>
      <c r="R95" s="9"/>
    </row>
    <row r="96" spans="1:18" x14ac:dyDescent="0.25">
      <c r="A96" s="1045" t="s">
        <v>95</v>
      </c>
      <c r="B96" s="1046"/>
      <c r="C96" s="1047"/>
      <c r="D96" s="81"/>
      <c r="E96" s="134"/>
      <c r="F96" s="134"/>
      <c r="G96" s="768">
        <f>SUM(G12:G95)</f>
        <v>9656195150</v>
      </c>
      <c r="H96" s="134"/>
      <c r="I96" s="134"/>
      <c r="J96" s="781">
        <v>0</v>
      </c>
      <c r="K96" s="130"/>
      <c r="L96" s="1"/>
      <c r="M96" s="1"/>
      <c r="N96" s="1"/>
      <c r="O96" s="1"/>
      <c r="P96" s="1"/>
      <c r="Q96" s="1"/>
      <c r="R96" s="1"/>
    </row>
    <row r="97" spans="1:18" x14ac:dyDescent="0.25">
      <c r="A97" s="50"/>
      <c r="B97" s="5"/>
      <c r="C97" s="50"/>
      <c r="D97" s="9"/>
      <c r="E97" s="23"/>
      <c r="F97" s="23"/>
      <c r="G97" s="11"/>
      <c r="H97" s="23"/>
      <c r="I97" s="23"/>
      <c r="J97" s="4"/>
      <c r="K97" s="9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0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1"/>
      <c r="M98" s="1"/>
      <c r="N98" s="1"/>
      <c r="O98" s="1"/>
      <c r="P98" s="1"/>
      <c r="Q98" s="1"/>
      <c r="R98" s="1"/>
    </row>
    <row r="99" spans="1:18" x14ac:dyDescent="0.25">
      <c r="A99" s="1036" t="s">
        <v>511</v>
      </c>
      <c r="B99" s="1036"/>
      <c r="C99" s="1036"/>
      <c r="D99" s="1036"/>
      <c r="E99" s="1037"/>
      <c r="F99" s="1037"/>
      <c r="G99" s="1038"/>
      <c r="H99" s="1037"/>
      <c r="I99" s="1037"/>
      <c r="J99" s="1036"/>
      <c r="K99" s="1036"/>
      <c r="L99" s="9"/>
      <c r="M99" s="9"/>
      <c r="N99" s="9"/>
      <c r="O99" s="9"/>
      <c r="P99" s="9"/>
      <c r="Q99" s="9"/>
      <c r="R99" s="9"/>
    </row>
    <row r="100" spans="1:18" x14ac:dyDescent="0.25">
      <c r="A100" s="1161" t="s">
        <v>559</v>
      </c>
      <c r="B100" s="1161"/>
      <c r="C100" s="1161"/>
      <c r="D100" s="1161"/>
      <c r="E100" s="1161"/>
      <c r="F100" s="1161"/>
      <c r="G100" s="1161"/>
      <c r="H100" s="1161"/>
      <c r="I100" s="1161"/>
      <c r="J100" s="1161"/>
      <c r="K100" s="1161"/>
      <c r="L100" s="9"/>
      <c r="M100" s="9"/>
      <c r="N100" s="9"/>
      <c r="O100" s="9"/>
      <c r="P100" s="9"/>
      <c r="Q100" s="9"/>
      <c r="R100" s="9"/>
    </row>
    <row r="101" spans="1:18" x14ac:dyDescent="0.25">
      <c r="A101" s="1048" t="s">
        <v>2</v>
      </c>
      <c r="B101" s="1051" t="s">
        <v>3</v>
      </c>
      <c r="C101" s="1048" t="s">
        <v>4</v>
      </c>
      <c r="D101" s="1054" t="s">
        <v>5</v>
      </c>
      <c r="E101" s="1055"/>
      <c r="F101" s="1055"/>
      <c r="G101" s="1044" t="s">
        <v>6</v>
      </c>
      <c r="H101" s="1055"/>
      <c r="I101" s="1055"/>
      <c r="J101" s="1048" t="s">
        <v>7</v>
      </c>
      <c r="K101" s="213" t="s">
        <v>8</v>
      </c>
      <c r="L101" s="9"/>
      <c r="M101" s="9"/>
      <c r="N101" s="9"/>
      <c r="O101" s="9"/>
      <c r="P101" s="9"/>
      <c r="Q101" s="9"/>
      <c r="R101" s="9"/>
    </row>
    <row r="102" spans="1:18" x14ac:dyDescent="0.25">
      <c r="A102" s="1049"/>
      <c r="B102" s="1052"/>
      <c r="C102" s="1049"/>
      <c r="D102" s="209" t="s">
        <v>9</v>
      </c>
      <c r="E102" s="214" t="s">
        <v>10</v>
      </c>
      <c r="F102" s="214" t="s">
        <v>11</v>
      </c>
      <c r="G102" s="209" t="s">
        <v>12</v>
      </c>
      <c r="H102" s="214" t="s">
        <v>13</v>
      </c>
      <c r="I102" s="214" t="s">
        <v>11</v>
      </c>
      <c r="J102" s="1049"/>
      <c r="K102" s="209"/>
      <c r="L102" s="1"/>
      <c r="M102" s="1"/>
      <c r="N102" s="1"/>
      <c r="O102" s="1"/>
      <c r="P102" s="1"/>
      <c r="Q102" s="1"/>
      <c r="R102" s="1"/>
    </row>
    <row r="103" spans="1:18" x14ac:dyDescent="0.25">
      <c r="A103" s="1050"/>
      <c r="B103" s="1053"/>
      <c r="C103" s="1050"/>
      <c r="D103" s="212" t="s">
        <v>14</v>
      </c>
      <c r="E103" s="215" t="s">
        <v>14</v>
      </c>
      <c r="F103" s="215" t="s">
        <v>14</v>
      </c>
      <c r="G103" s="212" t="s">
        <v>15</v>
      </c>
      <c r="H103" s="215" t="s">
        <v>14</v>
      </c>
      <c r="I103" s="215" t="s">
        <v>14</v>
      </c>
      <c r="J103" s="212" t="s">
        <v>15</v>
      </c>
      <c r="K103" s="212"/>
      <c r="L103" s="1"/>
      <c r="M103" s="1"/>
      <c r="N103" s="1"/>
      <c r="O103" s="1"/>
      <c r="P103" s="1"/>
      <c r="Q103" s="1"/>
      <c r="R103" s="1"/>
    </row>
    <row r="104" spans="1:18" ht="26.25" thickBot="1" x14ac:dyDescent="0.3">
      <c r="A104" s="227" t="s">
        <v>220</v>
      </c>
      <c r="B104" s="704" t="s">
        <v>212</v>
      </c>
      <c r="C104" s="245">
        <f>SUM(C105:C105)</f>
        <v>1071720000</v>
      </c>
      <c r="D104" s="6"/>
      <c r="E104" s="203"/>
      <c r="F104" s="204"/>
      <c r="G104" s="6"/>
      <c r="H104" s="204"/>
      <c r="I104" s="204"/>
      <c r="J104" s="6"/>
      <c r="K104" s="6"/>
      <c r="L104" s="1"/>
      <c r="M104" s="1"/>
      <c r="N104" s="1"/>
      <c r="O104" s="714"/>
      <c r="P104" s="1"/>
      <c r="Q104" s="1"/>
      <c r="R104" s="1"/>
    </row>
    <row r="105" spans="1:18" ht="26.25" thickBot="1" x14ac:dyDescent="0.3">
      <c r="A105" s="703" t="s">
        <v>180</v>
      </c>
      <c r="B105" s="705" t="s">
        <v>379</v>
      </c>
      <c r="C105" s="246">
        <f>SUM(C106:C106)</f>
        <v>1071720000</v>
      </c>
      <c r="D105" s="226"/>
      <c r="E105" s="204"/>
      <c r="F105" s="204"/>
      <c r="G105" s="6"/>
      <c r="H105" s="204"/>
      <c r="I105" s="204"/>
      <c r="J105" s="6"/>
      <c r="K105" s="6"/>
      <c r="L105" s="1"/>
      <c r="M105" s="1"/>
      <c r="N105" s="1"/>
      <c r="O105" s="1"/>
      <c r="P105" s="1"/>
      <c r="Q105" s="1"/>
      <c r="R105" s="1"/>
    </row>
    <row r="106" spans="1:18" ht="25.5" x14ac:dyDescent="0.25">
      <c r="A106" s="698" t="s">
        <v>181</v>
      </c>
      <c r="B106" s="706" t="s">
        <v>380</v>
      </c>
      <c r="C106" s="246">
        <f>SUM(C107:C128)</f>
        <v>1071720000</v>
      </c>
      <c r="D106" s="236"/>
      <c r="E106" s="278"/>
      <c r="F106" s="278"/>
      <c r="G106" s="236"/>
      <c r="H106" s="278"/>
      <c r="I106" s="278"/>
      <c r="J106" s="236"/>
      <c r="K106" s="236"/>
      <c r="L106" s="1"/>
      <c r="M106" s="1"/>
      <c r="N106" s="1"/>
      <c r="O106" s="715"/>
      <c r="P106" s="1"/>
      <c r="Q106" s="1"/>
      <c r="R106" s="1"/>
    </row>
    <row r="107" spans="1:18" ht="15" customHeight="1" x14ac:dyDescent="0.25">
      <c r="A107" s="315" t="s">
        <v>44</v>
      </c>
      <c r="B107" s="707" t="s">
        <v>384</v>
      </c>
      <c r="C107" s="722">
        <v>53020000</v>
      </c>
      <c r="D107" s="722">
        <f>C107/C105*100</f>
        <v>4.947187698279401</v>
      </c>
      <c r="E107" s="134">
        <f t="shared" ref="E107:E127" si="52">G107/C107*100</f>
        <v>57.431158053564687</v>
      </c>
      <c r="F107" s="134">
        <f t="shared" ref="F107:F127" si="53">(D107*E107)/100</f>
        <v>2.841227186205352</v>
      </c>
      <c r="G107" s="6">
        <f>30450000</f>
        <v>30450000</v>
      </c>
      <c r="H107" s="134">
        <f t="shared" ref="H107:H127" si="54">G107/C107*100</f>
        <v>57.431158053564687</v>
      </c>
      <c r="I107" s="134">
        <f t="shared" ref="I107:I127" si="55">(D107*H107)/100</f>
        <v>2.841227186205352</v>
      </c>
      <c r="J107" s="6">
        <f t="shared" ref="J107:J128" si="56">G107-C107</f>
        <v>-22570000</v>
      </c>
      <c r="K107" s="6"/>
      <c r="L107" s="1"/>
      <c r="M107" s="1"/>
      <c r="N107" s="1"/>
      <c r="O107" s="1"/>
      <c r="P107" s="1"/>
      <c r="Q107" s="1"/>
      <c r="R107" s="1"/>
    </row>
    <row r="108" spans="1:18" ht="15" customHeight="1" x14ac:dyDescent="0.25">
      <c r="A108" s="315" t="s">
        <v>518</v>
      </c>
      <c r="B108" s="707" t="s">
        <v>512</v>
      </c>
      <c r="C108" s="722">
        <v>1500000</v>
      </c>
      <c r="D108" s="722"/>
      <c r="E108" s="134"/>
      <c r="F108" s="134"/>
      <c r="G108" s="6"/>
      <c r="H108" s="134"/>
      <c r="I108" s="134"/>
      <c r="J108" s="6">
        <f t="shared" si="56"/>
        <v>-1500000</v>
      </c>
      <c r="K108" s="6"/>
      <c r="L108" s="1"/>
      <c r="M108" s="1"/>
      <c r="N108" s="1"/>
      <c r="O108" s="1"/>
      <c r="P108" s="1"/>
      <c r="Q108" s="1"/>
      <c r="R108" s="1"/>
    </row>
    <row r="109" spans="1:18" x14ac:dyDescent="0.25">
      <c r="A109" s="315" t="s">
        <v>59</v>
      </c>
      <c r="B109" s="707" t="s">
        <v>197</v>
      </c>
      <c r="C109" s="247">
        <v>24044000</v>
      </c>
      <c r="D109" s="279">
        <f>C109/C105*100</f>
        <v>2.2434964356361737</v>
      </c>
      <c r="E109" s="134">
        <f t="shared" si="52"/>
        <v>80.527366494759605</v>
      </c>
      <c r="F109" s="134">
        <f t="shared" si="53"/>
        <v>1.80662859702161</v>
      </c>
      <c r="G109" s="6">
        <f>13845500+5516500</f>
        <v>19362000</v>
      </c>
      <c r="H109" s="134">
        <f t="shared" si="54"/>
        <v>80.527366494759605</v>
      </c>
      <c r="I109" s="134">
        <f t="shared" si="55"/>
        <v>1.80662859702161</v>
      </c>
      <c r="J109" s="6">
        <f t="shared" si="56"/>
        <v>-4682000</v>
      </c>
      <c r="K109" s="6"/>
      <c r="L109" s="1"/>
      <c r="M109" s="25"/>
    </row>
    <row r="110" spans="1:18" x14ac:dyDescent="0.25">
      <c r="A110" s="228" t="s">
        <v>62</v>
      </c>
      <c r="B110" s="707" t="s">
        <v>334</v>
      </c>
      <c r="C110" s="247">
        <v>25150000</v>
      </c>
      <c r="D110" s="279">
        <f>C110/C105*100</f>
        <v>2.3466950322845519</v>
      </c>
      <c r="E110" s="134">
        <f t="shared" si="52"/>
        <v>76.437773359840961</v>
      </c>
      <c r="F110" s="134">
        <f t="shared" si="53"/>
        <v>1.7937614302243126</v>
      </c>
      <c r="G110" s="6">
        <f>18524100+700000</f>
        <v>19224100</v>
      </c>
      <c r="H110" s="134">
        <f t="shared" si="54"/>
        <v>76.437773359840961</v>
      </c>
      <c r="I110" s="134">
        <f t="shared" si="55"/>
        <v>1.7937614302243126</v>
      </c>
      <c r="J110" s="6">
        <f t="shared" si="56"/>
        <v>-5925900</v>
      </c>
      <c r="K110" s="6"/>
      <c r="L110" s="1"/>
      <c r="M110" s="1"/>
      <c r="O110" s="716"/>
    </row>
    <row r="111" spans="1:18" x14ac:dyDescent="0.25">
      <c r="A111" s="315" t="s">
        <v>54</v>
      </c>
      <c r="B111" s="707" t="s">
        <v>386</v>
      </c>
      <c r="C111" s="248">
        <v>6000000</v>
      </c>
      <c r="D111" s="279">
        <f>C111/C105*100</f>
        <v>0.55984772141977379</v>
      </c>
      <c r="E111" s="134">
        <f t="shared" si="52"/>
        <v>0</v>
      </c>
      <c r="F111" s="134">
        <f t="shared" si="53"/>
        <v>0</v>
      </c>
      <c r="G111" s="6">
        <v>0</v>
      </c>
      <c r="H111" s="134">
        <f t="shared" si="54"/>
        <v>0</v>
      </c>
      <c r="I111" s="134">
        <f t="shared" si="55"/>
        <v>0</v>
      </c>
      <c r="J111" s="6">
        <f t="shared" si="56"/>
        <v>-6000000</v>
      </c>
      <c r="K111" s="6"/>
      <c r="L111" s="1"/>
      <c r="M111" s="1"/>
    </row>
    <row r="112" spans="1:18" ht="25.5" x14ac:dyDescent="0.25">
      <c r="A112" s="315" t="s">
        <v>86</v>
      </c>
      <c r="B112" s="707" t="s">
        <v>545</v>
      </c>
      <c r="C112" s="732">
        <v>6000000</v>
      </c>
      <c r="D112" s="279"/>
      <c r="E112" s="134"/>
      <c r="F112" s="134"/>
      <c r="G112" s="6">
        <f>6000000</f>
        <v>6000000</v>
      </c>
      <c r="H112" s="134"/>
      <c r="I112" s="134"/>
      <c r="J112" s="6">
        <f t="shared" si="56"/>
        <v>0</v>
      </c>
      <c r="K112" s="6"/>
      <c r="L112" s="1"/>
      <c r="M112" s="1"/>
    </row>
    <row r="113" spans="1:13" ht="25.5" x14ac:dyDescent="0.25">
      <c r="A113" s="315" t="s">
        <v>193</v>
      </c>
      <c r="B113" s="316" t="s">
        <v>372</v>
      </c>
      <c r="C113" s="732">
        <v>20000000</v>
      </c>
      <c r="D113" s="279">
        <f>C113/C105*100</f>
        <v>1.8661590713992462</v>
      </c>
      <c r="E113" s="134">
        <f t="shared" si="52"/>
        <v>8.6999999999999993</v>
      </c>
      <c r="F113" s="134">
        <f t="shared" si="53"/>
        <v>0.16235583921173441</v>
      </c>
      <c r="G113" s="6">
        <f>1740000</f>
        <v>1740000</v>
      </c>
      <c r="H113" s="134">
        <f t="shared" si="54"/>
        <v>8.6999999999999993</v>
      </c>
      <c r="I113" s="134">
        <f t="shared" si="55"/>
        <v>0.16235583921173441</v>
      </c>
      <c r="J113" s="6">
        <f t="shared" si="56"/>
        <v>-18260000</v>
      </c>
      <c r="K113" s="6"/>
      <c r="L113" s="1"/>
      <c r="M113" s="716"/>
    </row>
    <row r="114" spans="1:13" x14ac:dyDescent="0.25">
      <c r="A114" s="315" t="s">
        <v>519</v>
      </c>
      <c r="B114" s="315" t="s">
        <v>513</v>
      </c>
      <c r="C114" s="248">
        <v>2292000</v>
      </c>
      <c r="D114" s="279">
        <f>C114/C105*100</f>
        <v>0.21386182958235359</v>
      </c>
      <c r="E114" s="134">
        <v>0</v>
      </c>
      <c r="F114" s="134">
        <f t="shared" si="53"/>
        <v>0</v>
      </c>
      <c r="G114" s="6">
        <v>0</v>
      </c>
      <c r="H114" s="134">
        <v>0</v>
      </c>
      <c r="I114" s="134">
        <f t="shared" si="55"/>
        <v>0</v>
      </c>
      <c r="J114" s="6">
        <f t="shared" si="56"/>
        <v>-2292000</v>
      </c>
      <c r="K114" s="6"/>
      <c r="L114" s="1"/>
      <c r="M114" s="1"/>
    </row>
    <row r="115" spans="1:13" x14ac:dyDescent="0.25">
      <c r="A115" s="228" t="s">
        <v>77</v>
      </c>
      <c r="B115" s="315" t="s">
        <v>103</v>
      </c>
      <c r="C115" s="247">
        <v>325910000</v>
      </c>
      <c r="D115" s="279">
        <f>C115/C105*100</f>
        <v>30.409995147986415</v>
      </c>
      <c r="E115" s="134">
        <f t="shared" si="52"/>
        <v>60.821238992359852</v>
      </c>
      <c r="F115" s="134">
        <f t="shared" si="53"/>
        <v>18.495735826521852</v>
      </c>
      <c r="G115" s="6">
        <f>196812500+1410000</f>
        <v>198222500</v>
      </c>
      <c r="H115" s="134">
        <f t="shared" si="54"/>
        <v>60.821238992359852</v>
      </c>
      <c r="I115" s="134">
        <f t="shared" si="55"/>
        <v>18.495735826521852</v>
      </c>
      <c r="J115" s="6">
        <f t="shared" si="56"/>
        <v>-127687500</v>
      </c>
      <c r="K115" s="6"/>
      <c r="L115" s="1"/>
      <c r="M115" s="1"/>
    </row>
    <row r="116" spans="1:13" x14ac:dyDescent="0.25">
      <c r="A116" s="228" t="s">
        <v>225</v>
      </c>
      <c r="B116" s="315" t="s">
        <v>217</v>
      </c>
      <c r="C116" s="247">
        <v>600000</v>
      </c>
      <c r="D116" s="279">
        <f>C116/C105*100</f>
        <v>5.5984772141977376E-2</v>
      </c>
      <c r="E116" s="134">
        <f t="shared" si="52"/>
        <v>100</v>
      </c>
      <c r="F116" s="134">
        <f t="shared" si="53"/>
        <v>5.5984772141977376E-2</v>
      </c>
      <c r="G116" s="6">
        <f>600000</f>
        <v>600000</v>
      </c>
      <c r="H116" s="134">
        <f t="shared" si="54"/>
        <v>100</v>
      </c>
      <c r="I116" s="134">
        <f t="shared" si="55"/>
        <v>5.5984772141977376E-2</v>
      </c>
      <c r="J116" s="6">
        <f t="shared" si="56"/>
        <v>0</v>
      </c>
      <c r="K116" s="6"/>
      <c r="L116" s="1"/>
      <c r="M116" s="1"/>
    </row>
    <row r="117" spans="1:13" x14ac:dyDescent="0.25">
      <c r="A117" s="228" t="s">
        <v>283</v>
      </c>
      <c r="B117" s="315" t="s">
        <v>514</v>
      </c>
      <c r="C117" s="247">
        <v>5000000</v>
      </c>
      <c r="D117" s="279">
        <f>C117/C105*100</f>
        <v>0.46653976784981155</v>
      </c>
      <c r="E117" s="134">
        <f t="shared" si="52"/>
        <v>100</v>
      </c>
      <c r="F117" s="134">
        <f t="shared" si="53"/>
        <v>0.46653976784981155</v>
      </c>
      <c r="G117" s="6">
        <f>5000000</f>
        <v>5000000</v>
      </c>
      <c r="H117" s="134">
        <f t="shared" si="54"/>
        <v>100</v>
      </c>
      <c r="I117" s="134">
        <f t="shared" si="55"/>
        <v>0.46653976784981155</v>
      </c>
      <c r="J117" s="6">
        <f t="shared" si="56"/>
        <v>0</v>
      </c>
      <c r="K117" s="6"/>
      <c r="L117" s="1"/>
      <c r="M117" s="1"/>
    </row>
    <row r="118" spans="1:13" x14ac:dyDescent="0.25">
      <c r="A118" s="228" t="s">
        <v>104</v>
      </c>
      <c r="B118" s="315" t="s">
        <v>105</v>
      </c>
      <c r="C118" s="249">
        <v>76700000</v>
      </c>
      <c r="D118" s="279">
        <f>C118/C105*100</f>
        <v>7.1567200388161085</v>
      </c>
      <c r="E118" s="134">
        <f t="shared" si="52"/>
        <v>100</v>
      </c>
      <c r="F118" s="134">
        <f t="shared" si="53"/>
        <v>7.1567200388161085</v>
      </c>
      <c r="G118" s="6">
        <f>76700000</f>
        <v>76700000</v>
      </c>
      <c r="H118" s="134">
        <f t="shared" si="54"/>
        <v>100</v>
      </c>
      <c r="I118" s="134">
        <f t="shared" si="55"/>
        <v>7.1567200388161085</v>
      </c>
      <c r="J118" s="6">
        <f t="shared" si="56"/>
        <v>0</v>
      </c>
      <c r="K118" s="6"/>
      <c r="L118" s="1"/>
      <c r="M118" s="1"/>
    </row>
    <row r="119" spans="1:13" x14ac:dyDescent="0.25">
      <c r="A119" s="228" t="s">
        <v>130</v>
      </c>
      <c r="B119" s="315" t="s">
        <v>392</v>
      </c>
      <c r="C119" s="249">
        <v>28200000</v>
      </c>
      <c r="D119" s="279"/>
      <c r="E119" s="134"/>
      <c r="F119" s="134"/>
      <c r="G119" s="6">
        <f>28200000</f>
        <v>28200000</v>
      </c>
      <c r="H119" s="134"/>
      <c r="I119" s="134"/>
      <c r="J119" s="6">
        <f t="shared" si="56"/>
        <v>0</v>
      </c>
      <c r="K119" s="6"/>
      <c r="L119" s="1"/>
      <c r="M119" s="1"/>
    </row>
    <row r="120" spans="1:13" ht="25.5" x14ac:dyDescent="0.25">
      <c r="A120" s="228" t="s">
        <v>106</v>
      </c>
      <c r="B120" s="316" t="s">
        <v>107</v>
      </c>
      <c r="C120" s="251">
        <v>139200000</v>
      </c>
      <c r="D120" s="279">
        <f>C120/C105*100</f>
        <v>12.988467136938752</v>
      </c>
      <c r="E120" s="134">
        <f t="shared" si="52"/>
        <v>54.777298850574709</v>
      </c>
      <c r="F120" s="134">
        <f t="shared" si="53"/>
        <v>7.1147314597096249</v>
      </c>
      <c r="G120" s="135">
        <f>76250000</f>
        <v>76250000</v>
      </c>
      <c r="H120" s="134">
        <f t="shared" si="54"/>
        <v>54.777298850574709</v>
      </c>
      <c r="I120" s="134">
        <f t="shared" si="55"/>
        <v>7.1147314597096249</v>
      </c>
      <c r="J120" s="6">
        <f t="shared" si="56"/>
        <v>-62950000</v>
      </c>
      <c r="K120" s="6"/>
      <c r="L120" s="1"/>
      <c r="M120" s="1"/>
    </row>
    <row r="121" spans="1:13" x14ac:dyDescent="0.25">
      <c r="A121" s="228" t="s">
        <v>227</v>
      </c>
      <c r="B121" s="315" t="s">
        <v>218</v>
      </c>
      <c r="C121" s="250">
        <v>219000000</v>
      </c>
      <c r="D121" s="279">
        <f>C121/C105*100</f>
        <v>20.434441831821744</v>
      </c>
      <c r="E121" s="134">
        <f t="shared" si="52"/>
        <v>50</v>
      </c>
      <c r="F121" s="134">
        <f t="shared" si="53"/>
        <v>10.217220915910872</v>
      </c>
      <c r="G121" s="6">
        <f>109500000</f>
        <v>109500000</v>
      </c>
      <c r="H121" s="134">
        <f t="shared" si="54"/>
        <v>50</v>
      </c>
      <c r="I121" s="134">
        <f t="shared" si="55"/>
        <v>10.217220915910872</v>
      </c>
      <c r="J121" s="6">
        <f t="shared" si="56"/>
        <v>-109500000</v>
      </c>
      <c r="K121" s="6"/>
      <c r="L121" s="1"/>
      <c r="M121" s="1"/>
    </row>
    <row r="122" spans="1:13" x14ac:dyDescent="0.25">
      <c r="A122" s="315" t="s">
        <v>108</v>
      </c>
      <c r="B122" s="315" t="s">
        <v>109</v>
      </c>
      <c r="C122" s="250">
        <v>1200000</v>
      </c>
      <c r="D122" s="279">
        <f>C122/C105*100</f>
        <v>0.11196954428395475</v>
      </c>
      <c r="E122" s="134">
        <f t="shared" si="52"/>
        <v>0</v>
      </c>
      <c r="F122" s="134">
        <f t="shared" si="53"/>
        <v>0</v>
      </c>
      <c r="G122" s="6">
        <v>0</v>
      </c>
      <c r="H122" s="134">
        <f t="shared" si="54"/>
        <v>0</v>
      </c>
      <c r="I122" s="134">
        <f t="shared" si="55"/>
        <v>0</v>
      </c>
      <c r="J122" s="6">
        <f t="shared" si="56"/>
        <v>-1200000</v>
      </c>
      <c r="K122" s="6"/>
      <c r="L122" s="1"/>
      <c r="M122" s="1"/>
    </row>
    <row r="123" spans="1:13" x14ac:dyDescent="0.25">
      <c r="A123" s="83" t="s">
        <v>162</v>
      </c>
      <c r="B123" s="315" t="s">
        <v>515</v>
      </c>
      <c r="C123" s="250">
        <v>3000000</v>
      </c>
      <c r="D123" s="279">
        <f>C123/C105*100</f>
        <v>0.2799238607098869</v>
      </c>
      <c r="E123" s="134">
        <f t="shared" si="52"/>
        <v>40</v>
      </c>
      <c r="F123" s="134">
        <f t="shared" si="53"/>
        <v>0.11196954428395475</v>
      </c>
      <c r="G123" s="6">
        <f>1200000</f>
        <v>1200000</v>
      </c>
      <c r="H123" s="134">
        <f t="shared" si="54"/>
        <v>40</v>
      </c>
      <c r="I123" s="134">
        <f t="shared" si="55"/>
        <v>0.11196954428395475</v>
      </c>
      <c r="J123" s="6">
        <f t="shared" si="56"/>
        <v>-1800000</v>
      </c>
      <c r="K123" s="6"/>
      <c r="L123" s="1"/>
      <c r="M123" s="1"/>
    </row>
    <row r="124" spans="1:13" ht="25.5" x14ac:dyDescent="0.25">
      <c r="A124" s="315" t="s">
        <v>116</v>
      </c>
      <c r="B124" s="316" t="s">
        <v>516</v>
      </c>
      <c r="C124" s="250">
        <v>7603000</v>
      </c>
      <c r="D124" s="279">
        <f>C124/C105*100</f>
        <v>0.70942037099242339</v>
      </c>
      <c r="E124" s="134">
        <f t="shared" si="52"/>
        <v>13.054057608838615</v>
      </c>
      <c r="F124" s="134">
        <f t="shared" si="53"/>
        <v>9.2608143918187585E-2</v>
      </c>
      <c r="G124" s="6">
        <f>992500</f>
        <v>992500</v>
      </c>
      <c r="H124" s="134">
        <f t="shared" si="54"/>
        <v>13.054057608838615</v>
      </c>
      <c r="I124" s="134">
        <f t="shared" si="55"/>
        <v>9.2608143918187585E-2</v>
      </c>
      <c r="J124" s="6">
        <f t="shared" si="56"/>
        <v>-6610500</v>
      </c>
      <c r="K124" s="6"/>
      <c r="L124" s="1"/>
      <c r="M124" s="1"/>
    </row>
    <row r="125" spans="1:13" x14ac:dyDescent="0.25">
      <c r="A125" s="228" t="s">
        <v>65</v>
      </c>
      <c r="B125" s="315" t="s">
        <v>393</v>
      </c>
      <c r="C125" s="251">
        <v>43666000</v>
      </c>
      <c r="D125" s="279">
        <f>C125/C106*100</f>
        <v>4.0743851005859737</v>
      </c>
      <c r="E125" s="134">
        <f t="shared" si="52"/>
        <v>65.694957174918699</v>
      </c>
      <c r="F125" s="134">
        <f t="shared" si="53"/>
        <v>2.6766655469712237</v>
      </c>
      <c r="G125" s="6">
        <f>23176360+5510000</f>
        <v>28686360</v>
      </c>
      <c r="H125" s="134">
        <f t="shared" si="54"/>
        <v>65.694957174918699</v>
      </c>
      <c r="I125" s="134">
        <f t="shared" si="55"/>
        <v>2.6766655469712237</v>
      </c>
      <c r="J125" s="6">
        <f t="shared" si="56"/>
        <v>-14979640</v>
      </c>
      <c r="K125" s="6"/>
    </row>
    <row r="126" spans="1:13" x14ac:dyDescent="0.25">
      <c r="A126" s="228" t="s">
        <v>66</v>
      </c>
      <c r="B126" s="315" t="s">
        <v>120</v>
      </c>
      <c r="C126" s="251">
        <v>38885000</v>
      </c>
      <c r="D126" s="279">
        <f>C126/C107*100</f>
        <v>73.340248962655593</v>
      </c>
      <c r="E126" s="134">
        <f t="shared" si="52"/>
        <v>99.318503278899314</v>
      </c>
      <c r="F126" s="134">
        <f t="shared" si="53"/>
        <v>72.840437570728014</v>
      </c>
      <c r="G126" s="6">
        <f>38620000</f>
        <v>38620000</v>
      </c>
      <c r="H126" s="134">
        <v>0</v>
      </c>
      <c r="I126" s="134">
        <v>0</v>
      </c>
      <c r="J126" s="6">
        <f t="shared" si="56"/>
        <v>-265000</v>
      </c>
      <c r="K126" s="6"/>
    </row>
    <row r="127" spans="1:13" x14ac:dyDescent="0.25">
      <c r="A127" s="315" t="s">
        <v>287</v>
      </c>
      <c r="B127" s="315" t="s">
        <v>191</v>
      </c>
      <c r="C127" s="250">
        <v>15000000</v>
      </c>
      <c r="D127" s="279">
        <f>C127/C105*100</f>
        <v>1.3996193035494346</v>
      </c>
      <c r="E127" s="134">
        <f t="shared" si="52"/>
        <v>0</v>
      </c>
      <c r="F127" s="134">
        <f t="shared" si="53"/>
        <v>0</v>
      </c>
      <c r="G127" s="6">
        <v>0</v>
      </c>
      <c r="H127" s="134">
        <f t="shared" si="54"/>
        <v>0</v>
      </c>
      <c r="I127" s="134">
        <f t="shared" si="55"/>
        <v>0</v>
      </c>
      <c r="J127" s="6">
        <f t="shared" si="56"/>
        <v>-15000000</v>
      </c>
      <c r="K127" s="6"/>
    </row>
    <row r="128" spans="1:13" x14ac:dyDescent="0.25">
      <c r="A128" s="803" t="s">
        <v>520</v>
      </c>
      <c r="B128" s="315" t="s">
        <v>517</v>
      </c>
      <c r="C128" s="250">
        <v>29750000</v>
      </c>
      <c r="D128" s="279"/>
      <c r="E128" s="134"/>
      <c r="F128" s="134"/>
      <c r="G128" s="6">
        <f>29750000</f>
        <v>29750000</v>
      </c>
      <c r="H128" s="134"/>
      <c r="I128" s="134"/>
      <c r="J128" s="6">
        <f t="shared" si="56"/>
        <v>0</v>
      </c>
      <c r="K128" s="6"/>
    </row>
    <row r="129" spans="1:15" x14ac:dyDescent="0.25">
      <c r="A129" s="1066" t="s">
        <v>95</v>
      </c>
      <c r="B129" s="1067"/>
      <c r="C129" s="1068"/>
      <c r="D129" s="277"/>
      <c r="E129" s="134"/>
      <c r="F129" s="134"/>
      <c r="G129" s="26">
        <f>SUM(G107:G128)</f>
        <v>670497460</v>
      </c>
      <c r="H129" s="134"/>
      <c r="I129" s="134"/>
      <c r="J129" s="734"/>
      <c r="K129" s="26">
        <v>0</v>
      </c>
    </row>
    <row r="130" spans="1:15" x14ac:dyDescent="0.25">
      <c r="A130" s="52"/>
      <c r="B130" s="8"/>
      <c r="C130" s="52"/>
      <c r="D130" s="27"/>
      <c r="E130" s="28"/>
      <c r="F130" s="23"/>
      <c r="G130" s="11"/>
      <c r="H130" s="23"/>
      <c r="I130" s="23"/>
      <c r="J130" s="9"/>
      <c r="K130" s="9"/>
    </row>
    <row r="131" spans="1:15" x14ac:dyDescent="0.25">
      <c r="A131" s="50"/>
      <c r="B131" s="5"/>
      <c r="C131" s="50"/>
      <c r="D131" s="9"/>
      <c r="E131" s="23"/>
      <c r="F131" s="23"/>
      <c r="G131" s="11"/>
      <c r="H131" s="23"/>
      <c r="I131" s="23"/>
      <c r="J131" s="9"/>
      <c r="K131" s="9"/>
    </row>
    <row r="132" spans="1:15" x14ac:dyDescent="0.25">
      <c r="A132" s="1069" t="s">
        <v>2</v>
      </c>
      <c r="B132" s="1069" t="s">
        <v>123</v>
      </c>
      <c r="C132" s="884"/>
      <c r="D132" s="1063" t="s">
        <v>5</v>
      </c>
      <c r="E132" s="1064"/>
      <c r="F132" s="1064"/>
      <c r="G132" s="1065" t="s">
        <v>6</v>
      </c>
      <c r="H132" s="1064"/>
      <c r="I132" s="1064"/>
      <c r="J132" s="1056" t="s">
        <v>7</v>
      </c>
      <c r="K132" s="1056" t="s">
        <v>8</v>
      </c>
    </row>
    <row r="133" spans="1:15" x14ac:dyDescent="0.25">
      <c r="A133" s="1070"/>
      <c r="B133" s="1070"/>
      <c r="C133" s="885" t="s">
        <v>124</v>
      </c>
      <c r="D133" s="89" t="s">
        <v>9</v>
      </c>
      <c r="E133" s="90" t="s">
        <v>10</v>
      </c>
      <c r="F133" s="90" t="s">
        <v>11</v>
      </c>
      <c r="G133" s="91" t="s">
        <v>12</v>
      </c>
      <c r="H133" s="90" t="s">
        <v>13</v>
      </c>
      <c r="I133" s="90" t="s">
        <v>11</v>
      </c>
      <c r="J133" s="1057"/>
      <c r="K133" s="1057"/>
      <c r="O133" s="713"/>
    </row>
    <row r="134" spans="1:15" x14ac:dyDescent="0.25">
      <c r="A134" s="1071"/>
      <c r="B134" s="1071"/>
      <c r="C134" s="885"/>
      <c r="D134" s="92" t="s">
        <v>14</v>
      </c>
      <c r="E134" s="93" t="s">
        <v>14</v>
      </c>
      <c r="F134" s="93" t="s">
        <v>14</v>
      </c>
      <c r="G134" s="94" t="s">
        <v>15</v>
      </c>
      <c r="H134" s="93" t="s">
        <v>14</v>
      </c>
      <c r="I134" s="93" t="s">
        <v>14</v>
      </c>
      <c r="J134" s="92" t="s">
        <v>15</v>
      </c>
      <c r="K134" s="1058"/>
    </row>
    <row r="135" spans="1:15" ht="25.5" x14ac:dyDescent="0.25">
      <c r="A135" s="139" t="s">
        <v>180</v>
      </c>
      <c r="B135" s="696" t="s">
        <v>379</v>
      </c>
      <c r="C135" s="58"/>
      <c r="D135" s="38"/>
      <c r="E135" s="134"/>
      <c r="F135" s="134"/>
      <c r="G135" s="135"/>
      <c r="H135" s="134"/>
      <c r="I135" s="134"/>
      <c r="J135" s="38"/>
      <c r="K135" s="10"/>
    </row>
    <row r="136" spans="1:15" ht="25.5" x14ac:dyDescent="0.25">
      <c r="A136" s="176" t="s">
        <v>181</v>
      </c>
      <c r="B136" s="697" t="s">
        <v>380</v>
      </c>
      <c r="C136" s="86">
        <f>SUM(C137:C149)</f>
        <v>185000000</v>
      </c>
      <c r="D136" s="179"/>
      <c r="E136" s="180"/>
      <c r="F136" s="180"/>
      <c r="G136" s="181"/>
      <c r="H136" s="180"/>
      <c r="I136" s="180"/>
      <c r="J136" s="179"/>
      <c r="K136" s="167"/>
    </row>
    <row r="137" spans="1:15" ht="25.5" x14ac:dyDescent="0.25">
      <c r="A137" s="170" t="s">
        <v>44</v>
      </c>
      <c r="B137" s="707" t="s">
        <v>384</v>
      </c>
      <c r="C137" s="58">
        <v>8580000</v>
      </c>
      <c r="D137" s="180">
        <f>C137/C136*100</f>
        <v>4.6378378378378375</v>
      </c>
      <c r="E137" s="134">
        <f t="shared" ref="E137:E144" si="57">G137/C137*100</f>
        <v>100</v>
      </c>
      <c r="F137" s="134">
        <f t="shared" ref="F137:F144" si="58">(D137*E137)/100</f>
        <v>4.6378378378378375</v>
      </c>
      <c r="G137" s="181">
        <f>8580000</f>
        <v>8580000</v>
      </c>
      <c r="H137" s="134">
        <f t="shared" ref="H137:H144" si="59">G137/C137*100</f>
        <v>100</v>
      </c>
      <c r="I137" s="134">
        <f t="shared" ref="I137:I144" si="60">(D137*H137)/100</f>
        <v>4.6378378378378375</v>
      </c>
      <c r="J137" s="6">
        <f t="shared" ref="J137:J149" si="61">G137-C137</f>
        <v>0</v>
      </c>
      <c r="K137" s="167"/>
    </row>
    <row r="138" spans="1:15" x14ac:dyDescent="0.25">
      <c r="A138" s="170" t="s">
        <v>59</v>
      </c>
      <c r="B138" s="707" t="s">
        <v>197</v>
      </c>
      <c r="C138" s="58">
        <v>13390000</v>
      </c>
      <c r="D138" s="180">
        <f>C138/C136*100</f>
        <v>7.2378378378378381</v>
      </c>
      <c r="E138" s="134">
        <f t="shared" si="57"/>
        <v>66.691560866318142</v>
      </c>
      <c r="F138" s="134">
        <f t="shared" si="58"/>
        <v>4.8270270270270261</v>
      </c>
      <c r="G138" s="181">
        <f>8930000</f>
        <v>8930000</v>
      </c>
      <c r="H138" s="134">
        <f t="shared" si="59"/>
        <v>66.691560866318142</v>
      </c>
      <c r="I138" s="134">
        <f t="shared" si="60"/>
        <v>4.8270270270270261</v>
      </c>
      <c r="J138" s="6">
        <f t="shared" si="61"/>
        <v>-4460000</v>
      </c>
      <c r="K138" s="167"/>
    </row>
    <row r="139" spans="1:15" x14ac:dyDescent="0.25">
      <c r="A139" s="170" t="s">
        <v>62</v>
      </c>
      <c r="B139" s="707" t="s">
        <v>334</v>
      </c>
      <c r="C139" s="58">
        <v>8840000</v>
      </c>
      <c r="D139" s="180">
        <v>2.34</v>
      </c>
      <c r="E139" s="134">
        <f t="shared" si="57"/>
        <v>54.751131221719461</v>
      </c>
      <c r="F139" s="134">
        <f t="shared" si="58"/>
        <v>1.2811764705882354</v>
      </c>
      <c r="G139" s="181">
        <f>4840000</f>
        <v>4840000</v>
      </c>
      <c r="H139" s="134">
        <f t="shared" si="59"/>
        <v>54.751131221719461</v>
      </c>
      <c r="I139" s="134">
        <f t="shared" si="60"/>
        <v>1.2811764705882354</v>
      </c>
      <c r="J139" s="6">
        <f t="shared" si="61"/>
        <v>-4000000</v>
      </c>
      <c r="K139" s="167"/>
    </row>
    <row r="140" spans="1:15" ht="25.5" x14ac:dyDescent="0.25">
      <c r="A140" s="170" t="s">
        <v>193</v>
      </c>
      <c r="B140" s="316" t="s">
        <v>372</v>
      </c>
      <c r="C140" s="58">
        <v>6300000</v>
      </c>
      <c r="D140" s="180"/>
      <c r="E140" s="134"/>
      <c r="F140" s="134"/>
      <c r="G140" s="181">
        <f>6300000</f>
        <v>6300000</v>
      </c>
      <c r="H140" s="134"/>
      <c r="I140" s="134"/>
      <c r="J140" s="6">
        <f t="shared" si="61"/>
        <v>0</v>
      </c>
      <c r="K140" s="167"/>
    </row>
    <row r="141" spans="1:15" x14ac:dyDescent="0.25">
      <c r="A141" s="170" t="s">
        <v>148</v>
      </c>
      <c r="B141" s="133" t="s">
        <v>531</v>
      </c>
      <c r="C141" s="58">
        <v>10000000</v>
      </c>
      <c r="D141" s="180"/>
      <c r="E141" s="134"/>
      <c r="F141" s="134"/>
      <c r="G141" s="181">
        <f>10000000</f>
        <v>10000000</v>
      </c>
      <c r="H141" s="134"/>
      <c r="I141" s="134"/>
      <c r="J141" s="6">
        <f t="shared" si="61"/>
        <v>0</v>
      </c>
      <c r="K141" s="167"/>
    </row>
    <row r="142" spans="1:15" x14ac:dyDescent="0.25">
      <c r="A142" s="170" t="s">
        <v>77</v>
      </c>
      <c r="B142" s="170" t="s">
        <v>127</v>
      </c>
      <c r="C142" s="58">
        <v>67741000</v>
      </c>
      <c r="D142" s="180">
        <f>C142/C136*100</f>
        <v>36.616756756756757</v>
      </c>
      <c r="E142" s="134">
        <f t="shared" si="57"/>
        <v>75.996811384538162</v>
      </c>
      <c r="F142" s="134">
        <f t="shared" si="58"/>
        <v>27.827567567567566</v>
      </c>
      <c r="G142" s="181">
        <f>51481000</f>
        <v>51481000</v>
      </c>
      <c r="H142" s="134">
        <f t="shared" si="59"/>
        <v>75.996811384538162</v>
      </c>
      <c r="I142" s="134">
        <f t="shared" si="60"/>
        <v>27.827567567567566</v>
      </c>
      <c r="J142" s="6">
        <f t="shared" si="61"/>
        <v>-16260000</v>
      </c>
      <c r="K142" s="167"/>
    </row>
    <row r="143" spans="1:15" x14ac:dyDescent="0.25">
      <c r="A143" s="170" t="s">
        <v>183</v>
      </c>
      <c r="B143" s="170" t="s">
        <v>178</v>
      </c>
      <c r="C143" s="58">
        <v>12000000</v>
      </c>
      <c r="D143" s="180">
        <f>C143/C136*100</f>
        <v>6.4864864864864868</v>
      </c>
      <c r="E143" s="134">
        <f t="shared" si="57"/>
        <v>58.333333333333336</v>
      </c>
      <c r="F143" s="134">
        <f t="shared" si="58"/>
        <v>3.7837837837837842</v>
      </c>
      <c r="G143" s="181">
        <f>7000000</f>
        <v>7000000</v>
      </c>
      <c r="H143" s="134">
        <f t="shared" si="59"/>
        <v>58.333333333333336</v>
      </c>
      <c r="I143" s="134">
        <f t="shared" si="60"/>
        <v>3.7837837837837842</v>
      </c>
      <c r="J143" s="6">
        <f t="shared" si="61"/>
        <v>-5000000</v>
      </c>
      <c r="K143" s="167"/>
    </row>
    <row r="144" spans="1:15" x14ac:dyDescent="0.25">
      <c r="A144" s="170" t="s">
        <v>104</v>
      </c>
      <c r="B144" s="170" t="s">
        <v>182</v>
      </c>
      <c r="C144" s="58">
        <v>23200000</v>
      </c>
      <c r="D144" s="180">
        <f>C144/C136*100</f>
        <v>12.54054054054054</v>
      </c>
      <c r="E144" s="134">
        <f t="shared" si="57"/>
        <v>100</v>
      </c>
      <c r="F144" s="134">
        <f t="shared" si="58"/>
        <v>12.54054054054054</v>
      </c>
      <c r="G144" s="181">
        <f>23200000</f>
        <v>23200000</v>
      </c>
      <c r="H144" s="134">
        <f t="shared" si="59"/>
        <v>100</v>
      </c>
      <c r="I144" s="134">
        <f t="shared" si="60"/>
        <v>12.54054054054054</v>
      </c>
      <c r="J144" s="6">
        <f t="shared" si="61"/>
        <v>0</v>
      </c>
      <c r="K144" s="167"/>
    </row>
    <row r="145" spans="1:14" ht="25.5" x14ac:dyDescent="0.25">
      <c r="A145" s="170" t="s">
        <v>106</v>
      </c>
      <c r="B145" s="316" t="s">
        <v>107</v>
      </c>
      <c r="C145" s="58">
        <v>22200000</v>
      </c>
      <c r="D145" s="180"/>
      <c r="E145" s="134"/>
      <c r="F145" s="134"/>
      <c r="G145" s="181">
        <f>22200000</f>
        <v>22200000</v>
      </c>
      <c r="H145" s="134"/>
      <c r="I145" s="134"/>
      <c r="J145" s="6">
        <f t="shared" si="61"/>
        <v>0</v>
      </c>
      <c r="K145" s="167"/>
    </row>
    <row r="146" spans="1:14" x14ac:dyDescent="0.25">
      <c r="A146" s="170" t="s">
        <v>162</v>
      </c>
      <c r="B146" s="315" t="s">
        <v>515</v>
      </c>
      <c r="C146" s="58">
        <v>2000000</v>
      </c>
      <c r="D146" s="180"/>
      <c r="E146" s="134"/>
      <c r="F146" s="134"/>
      <c r="G146" s="181">
        <f>2000000</f>
        <v>2000000</v>
      </c>
      <c r="H146" s="134"/>
      <c r="I146" s="134"/>
      <c r="J146" s="6">
        <f t="shared" si="61"/>
        <v>0</v>
      </c>
      <c r="K146" s="167"/>
    </row>
    <row r="147" spans="1:14" x14ac:dyDescent="0.25">
      <c r="A147" s="170" t="s">
        <v>521</v>
      </c>
      <c r="B147" s="316" t="s">
        <v>526</v>
      </c>
      <c r="C147" s="58">
        <v>1000000</v>
      </c>
      <c r="D147" s="180"/>
      <c r="E147" s="134"/>
      <c r="F147" s="134"/>
      <c r="G147" s="181">
        <f>1000000</f>
        <v>1000000</v>
      </c>
      <c r="H147" s="134"/>
      <c r="I147" s="134"/>
      <c r="J147" s="6">
        <f t="shared" si="61"/>
        <v>0</v>
      </c>
      <c r="K147" s="167"/>
    </row>
    <row r="148" spans="1:14" ht="25.5" x14ac:dyDescent="0.25">
      <c r="A148" s="747" t="s">
        <v>116</v>
      </c>
      <c r="B148" s="316" t="s">
        <v>420</v>
      </c>
      <c r="C148" s="58">
        <v>2749000</v>
      </c>
      <c r="D148" s="180"/>
      <c r="E148" s="134"/>
      <c r="F148" s="134"/>
      <c r="G148" s="181">
        <f>2749000</f>
        <v>2749000</v>
      </c>
      <c r="H148" s="134"/>
      <c r="I148" s="134"/>
      <c r="J148" s="6">
        <f t="shared" si="61"/>
        <v>0</v>
      </c>
      <c r="K148" s="167"/>
    </row>
    <row r="149" spans="1:14" x14ac:dyDescent="0.25">
      <c r="A149" s="747" t="s">
        <v>65</v>
      </c>
      <c r="B149" s="315" t="s">
        <v>393</v>
      </c>
      <c r="C149" s="58">
        <v>7000000</v>
      </c>
      <c r="D149" s="180"/>
      <c r="E149" s="134"/>
      <c r="F149" s="134"/>
      <c r="G149" s="181">
        <f>6932360</f>
        <v>6932360</v>
      </c>
      <c r="H149" s="134"/>
      <c r="I149" s="134"/>
      <c r="J149" s="6">
        <f t="shared" si="61"/>
        <v>-67640</v>
      </c>
      <c r="K149" s="167"/>
    </row>
    <row r="150" spans="1:14" x14ac:dyDescent="0.25">
      <c r="A150" s="1059" t="s">
        <v>128</v>
      </c>
      <c r="B150" s="1060"/>
      <c r="C150" s="60">
        <f>SUM(C137:C149)</f>
        <v>185000000</v>
      </c>
      <c r="D150" s="276">
        <f>SUM(D137:D147)</f>
        <v>69.859459459459458</v>
      </c>
      <c r="E150" s="134"/>
      <c r="F150" s="134"/>
      <c r="G150" s="837">
        <f>SUM(G137:G149)</f>
        <v>155212360</v>
      </c>
      <c r="H150" s="134"/>
      <c r="I150" s="134"/>
      <c r="J150" s="56">
        <v>0</v>
      </c>
      <c r="K150" s="3"/>
    </row>
    <row r="151" spans="1:14" x14ac:dyDescent="0.25">
      <c r="A151" s="54"/>
      <c r="B151" s="54"/>
      <c r="C151" s="59"/>
      <c r="D151" s="182"/>
      <c r="E151" s="183"/>
      <c r="F151" s="183"/>
      <c r="G151" s="184"/>
      <c r="H151" s="183"/>
      <c r="I151" s="183"/>
      <c r="J151" s="185"/>
      <c r="K151" s="37"/>
    </row>
    <row r="152" spans="1:14" ht="31.5" x14ac:dyDescent="0.25">
      <c r="A152" s="55"/>
      <c r="B152" s="46" t="s">
        <v>145</v>
      </c>
      <c r="C152" s="155"/>
      <c r="D152" s="44"/>
      <c r="E152" s="45"/>
      <c r="F152" s="45"/>
      <c r="G152" s="48"/>
      <c r="H152" s="45"/>
      <c r="I152" s="45"/>
      <c r="J152" s="44"/>
      <c r="K152" s="44"/>
      <c r="L152" s="1"/>
      <c r="M152" s="1"/>
      <c r="N152" s="1"/>
    </row>
    <row r="153" spans="1:14" x14ac:dyDescent="0.25">
      <c r="A153" s="1061" t="s">
        <v>2</v>
      </c>
      <c r="B153" s="1062" t="s">
        <v>176</v>
      </c>
      <c r="C153" s="1061" t="s">
        <v>4</v>
      </c>
      <c r="D153" s="1063" t="s">
        <v>5</v>
      </c>
      <c r="E153" s="1064"/>
      <c r="F153" s="1064"/>
      <c r="G153" s="1065" t="s">
        <v>6</v>
      </c>
      <c r="H153" s="1064"/>
      <c r="I153" s="1064"/>
      <c r="J153" s="1061" t="s">
        <v>7</v>
      </c>
      <c r="K153" s="281" t="s">
        <v>8</v>
      </c>
      <c r="L153" s="1"/>
      <c r="M153" s="1"/>
      <c r="N153" s="1"/>
    </row>
    <row r="154" spans="1:14" x14ac:dyDescent="0.25">
      <c r="A154" s="1061"/>
      <c r="B154" s="1062"/>
      <c r="C154" s="1061"/>
      <c r="D154" s="281" t="s">
        <v>9</v>
      </c>
      <c r="E154" s="292" t="s">
        <v>10</v>
      </c>
      <c r="F154" s="292" t="s">
        <v>11</v>
      </c>
      <c r="G154" s="293" t="s">
        <v>12</v>
      </c>
      <c r="H154" s="292" t="s">
        <v>13</v>
      </c>
      <c r="I154" s="292" t="s">
        <v>11</v>
      </c>
      <c r="J154" s="1056"/>
      <c r="K154" s="89"/>
    </row>
    <row r="155" spans="1:14" x14ac:dyDescent="0.25">
      <c r="A155" s="1061"/>
      <c r="B155" s="1062"/>
      <c r="C155" s="1061"/>
      <c r="D155" s="92" t="s">
        <v>14</v>
      </c>
      <c r="E155" s="93" t="s">
        <v>14</v>
      </c>
      <c r="F155" s="93" t="s">
        <v>14</v>
      </c>
      <c r="G155" s="94" t="s">
        <v>15</v>
      </c>
      <c r="H155" s="93" t="s">
        <v>14</v>
      </c>
      <c r="I155" s="93" t="s">
        <v>14</v>
      </c>
      <c r="J155" s="92" t="s">
        <v>15</v>
      </c>
      <c r="K155" s="92"/>
    </row>
    <row r="156" spans="1:14" x14ac:dyDescent="0.25">
      <c r="A156" s="79" t="s">
        <v>185</v>
      </c>
      <c r="B156" s="199" t="s">
        <v>146</v>
      </c>
      <c r="C156" s="24"/>
      <c r="D156" s="10"/>
      <c r="E156" s="34"/>
      <c r="F156" s="34"/>
      <c r="G156" s="6"/>
      <c r="H156" s="34"/>
      <c r="I156" s="34"/>
      <c r="J156" s="10"/>
      <c r="K156" s="10"/>
    </row>
    <row r="157" spans="1:14" x14ac:dyDescent="0.25">
      <c r="A157" s="125" t="s">
        <v>184</v>
      </c>
      <c r="B157" s="280" t="s">
        <v>147</v>
      </c>
      <c r="C157" s="252">
        <f>SUM(C158:C159)</f>
        <v>2975640000</v>
      </c>
      <c r="D157" s="10"/>
      <c r="E157" s="34"/>
      <c r="F157" s="34"/>
      <c r="G157" s="6"/>
      <c r="H157" s="34"/>
      <c r="I157" s="34"/>
      <c r="J157" s="10"/>
      <c r="K157" s="10"/>
    </row>
    <row r="158" spans="1:14" ht="25.5" x14ac:dyDescent="0.25">
      <c r="A158" s="154" t="s">
        <v>44</v>
      </c>
      <c r="B158" s="707" t="s">
        <v>384</v>
      </c>
      <c r="C158" s="253">
        <v>35640000</v>
      </c>
      <c r="D158" s="134">
        <f>C158/C157*100</f>
        <v>1.1977255313142718</v>
      </c>
      <c r="E158" s="134">
        <f t="shared" ref="E158:E159" si="62">G158/C158*100</f>
        <v>33.333333333333329</v>
      </c>
      <c r="F158" s="134">
        <f t="shared" ref="F158:F159" si="63">(D158*E158)/100</f>
        <v>0.39924184377142391</v>
      </c>
      <c r="G158" s="181">
        <f>11880000</f>
        <v>11880000</v>
      </c>
      <c r="H158" s="134">
        <f t="shared" ref="H158:H159" si="64">G158/C158*100</f>
        <v>33.333333333333329</v>
      </c>
      <c r="I158" s="134">
        <f t="shared" ref="I158:I159" si="65">(D158*H158)/100</f>
        <v>0.39924184377142391</v>
      </c>
      <c r="J158" s="6">
        <f t="shared" ref="J158:J159" si="66">G158-C158</f>
        <v>-23760000</v>
      </c>
      <c r="K158" s="10"/>
    </row>
    <row r="159" spans="1:14" x14ac:dyDescent="0.25">
      <c r="A159" s="124" t="s">
        <v>148</v>
      </c>
      <c r="B159" s="133" t="s">
        <v>531</v>
      </c>
      <c r="C159" s="253">
        <v>2940000000</v>
      </c>
      <c r="D159" s="134">
        <f>C159/C157*100</f>
        <v>98.802274468685724</v>
      </c>
      <c r="E159" s="134">
        <f t="shared" si="62"/>
        <v>99.991462585034014</v>
      </c>
      <c r="F159" s="134">
        <f t="shared" si="63"/>
        <v>98.793839308518514</v>
      </c>
      <c r="G159" s="181">
        <f>140000000+799055000+2000694000</f>
        <v>2939749000</v>
      </c>
      <c r="H159" s="134">
        <f t="shared" si="64"/>
        <v>99.991462585034014</v>
      </c>
      <c r="I159" s="134">
        <f t="shared" si="65"/>
        <v>98.793839308518514</v>
      </c>
      <c r="J159" s="6">
        <f t="shared" si="66"/>
        <v>-251000</v>
      </c>
      <c r="K159" s="10"/>
    </row>
    <row r="160" spans="1:14" x14ac:dyDescent="0.25">
      <c r="A160" s="70"/>
      <c r="B160" s="129" t="s">
        <v>95</v>
      </c>
      <c r="C160" s="807">
        <f>SUM(C158:C159)</f>
        <v>2975640000</v>
      </c>
      <c r="D160" s="271">
        <f>SUM(D158:D159)</f>
        <v>100</v>
      </c>
      <c r="E160" s="134"/>
      <c r="F160" s="134"/>
      <c r="G160" s="181">
        <f>SUM(G158:G159)</f>
        <v>2951629000</v>
      </c>
      <c r="H160" s="134"/>
      <c r="I160" s="134"/>
      <c r="J160" s="734"/>
      <c r="K160" s="130"/>
    </row>
    <row r="161" spans="1:11" x14ac:dyDescent="0.25">
      <c r="A161" s="54"/>
      <c r="B161" s="2"/>
      <c r="C161" s="59"/>
      <c r="D161" s="29"/>
      <c r="E161" s="31"/>
      <c r="F161" s="31"/>
      <c r="G161" s="36"/>
      <c r="H161" s="31"/>
      <c r="I161" s="31"/>
      <c r="J161" s="15"/>
      <c r="K161" s="37"/>
    </row>
    <row r="162" spans="1:11" x14ac:dyDescent="0.25">
      <c r="A162" s="50"/>
      <c r="B162" s="5"/>
      <c r="C162" s="50"/>
      <c r="D162" s="29"/>
      <c r="E162" s="30"/>
      <c r="F162" s="31"/>
      <c r="G162" s="36"/>
      <c r="H162" s="32"/>
      <c r="I162" s="31"/>
      <c r="J162" s="36"/>
      <c r="K162" s="37"/>
    </row>
    <row r="163" spans="1:11" x14ac:dyDescent="0.25">
      <c r="A163" s="1061" t="s">
        <v>2</v>
      </c>
      <c r="B163" s="1062" t="s">
        <v>176</v>
      </c>
      <c r="C163" s="1061" t="s">
        <v>4</v>
      </c>
      <c r="D163" s="1063" t="s">
        <v>5</v>
      </c>
      <c r="E163" s="1064"/>
      <c r="F163" s="1064"/>
      <c r="G163" s="1065" t="s">
        <v>6</v>
      </c>
      <c r="H163" s="1064"/>
      <c r="I163" s="1064"/>
      <c r="J163" s="1061" t="s">
        <v>7</v>
      </c>
      <c r="K163" s="281" t="s">
        <v>8</v>
      </c>
    </row>
    <row r="164" spans="1:11" x14ac:dyDescent="0.25">
      <c r="A164" s="1061"/>
      <c r="B164" s="1062"/>
      <c r="C164" s="1061"/>
      <c r="D164" s="281" t="s">
        <v>9</v>
      </c>
      <c r="E164" s="292" t="s">
        <v>10</v>
      </c>
      <c r="F164" s="292" t="s">
        <v>11</v>
      </c>
      <c r="G164" s="293" t="s">
        <v>12</v>
      </c>
      <c r="H164" s="292" t="s">
        <v>13</v>
      </c>
      <c r="I164" s="292" t="s">
        <v>11</v>
      </c>
      <c r="J164" s="1056"/>
      <c r="K164" s="89"/>
    </row>
    <row r="165" spans="1:11" x14ac:dyDescent="0.25">
      <c r="A165" s="1061"/>
      <c r="B165" s="1062"/>
      <c r="C165" s="1061"/>
      <c r="D165" s="92" t="s">
        <v>14</v>
      </c>
      <c r="E165" s="93" t="s">
        <v>14</v>
      </c>
      <c r="F165" s="93" t="s">
        <v>14</v>
      </c>
      <c r="G165" s="94" t="s">
        <v>15</v>
      </c>
      <c r="H165" s="93" t="s">
        <v>14</v>
      </c>
      <c r="I165" s="93" t="s">
        <v>14</v>
      </c>
      <c r="J165" s="92" t="s">
        <v>15</v>
      </c>
      <c r="K165" s="92"/>
    </row>
    <row r="166" spans="1:11" x14ac:dyDescent="0.25">
      <c r="A166" s="79" t="s">
        <v>185</v>
      </c>
      <c r="B166" s="199" t="s">
        <v>146</v>
      </c>
      <c r="C166" s="153"/>
      <c r="D166" s="150"/>
      <c r="E166" s="151"/>
      <c r="F166" s="151"/>
      <c r="G166" s="152"/>
      <c r="H166" s="151"/>
      <c r="I166" s="151"/>
      <c r="J166" s="150"/>
      <c r="K166" s="150"/>
    </row>
    <row r="167" spans="1:11" x14ac:dyDescent="0.25">
      <c r="A167" s="125" t="s">
        <v>184</v>
      </c>
      <c r="B167" s="280" t="s">
        <v>150</v>
      </c>
      <c r="C167" s="254">
        <f>SUM(C168:C171)</f>
        <v>1803960912</v>
      </c>
      <c r="D167" s="10"/>
      <c r="E167" s="34"/>
      <c r="F167" s="34"/>
      <c r="G167" s="6"/>
      <c r="H167" s="34"/>
      <c r="I167" s="34"/>
      <c r="J167" s="10"/>
      <c r="K167" s="10"/>
    </row>
    <row r="168" spans="1:11" ht="25.5" x14ac:dyDescent="0.25">
      <c r="A168" s="38" t="s">
        <v>44</v>
      </c>
      <c r="B168" s="707" t="s">
        <v>384</v>
      </c>
      <c r="C168" s="255">
        <v>30310000</v>
      </c>
      <c r="D168" s="134">
        <f>C168/C167*100</f>
        <v>1.6801916160365231</v>
      </c>
      <c r="E168" s="134">
        <f t="shared" ref="E168:E170" si="67">G168/C168*100</f>
        <v>35.499835037941274</v>
      </c>
      <c r="F168" s="134">
        <f t="shared" ref="F168:F170" si="68">(D168*E168)/100</f>
        <v>0.59646525201428535</v>
      </c>
      <c r="G168" s="181">
        <f>10760000</f>
        <v>10760000</v>
      </c>
      <c r="H168" s="134">
        <f t="shared" ref="H168:H170" si="69">G168/C168*100</f>
        <v>35.499835037941274</v>
      </c>
      <c r="I168" s="134">
        <f t="shared" ref="I168:I170" si="70">(D168*H168)/100</f>
        <v>0.59646525201428535</v>
      </c>
      <c r="J168" s="6">
        <f t="shared" ref="J168:J171" si="71">G168-C168</f>
        <v>-19550000</v>
      </c>
      <c r="K168" s="10"/>
    </row>
    <row r="169" spans="1:11" x14ac:dyDescent="0.25">
      <c r="A169" s="49" t="s">
        <v>148</v>
      </c>
      <c r="B169" s="133" t="s">
        <v>531</v>
      </c>
      <c r="C169" s="256">
        <v>1260590000</v>
      </c>
      <c r="D169" s="134">
        <f>C169/C167*100</f>
        <v>69.87900855359554</v>
      </c>
      <c r="E169" s="134">
        <f t="shared" si="67"/>
        <v>78.81692699450258</v>
      </c>
      <c r="F169" s="134">
        <f t="shared" si="68"/>
        <v>55.076487156169613</v>
      </c>
      <c r="G169" s="181">
        <f>627032300+366526000</f>
        <v>993558300</v>
      </c>
      <c r="H169" s="134">
        <f t="shared" si="69"/>
        <v>78.81692699450258</v>
      </c>
      <c r="I169" s="134">
        <f t="shared" si="70"/>
        <v>55.076487156169613</v>
      </c>
      <c r="J169" s="6">
        <f t="shared" si="71"/>
        <v>-267031700</v>
      </c>
      <c r="K169" s="10"/>
    </row>
    <row r="170" spans="1:11" s="84" customFormat="1" ht="25.5" x14ac:dyDescent="0.2">
      <c r="A170" s="49" t="s">
        <v>152</v>
      </c>
      <c r="B170" s="133" t="s">
        <v>153</v>
      </c>
      <c r="C170" s="256">
        <v>504000000</v>
      </c>
      <c r="D170" s="134">
        <f>C170/C167*100</f>
        <v>27.9385210980669</v>
      </c>
      <c r="E170" s="134">
        <f t="shared" si="67"/>
        <v>50</v>
      </c>
      <c r="F170" s="134">
        <f t="shared" si="68"/>
        <v>13.96926054903345</v>
      </c>
      <c r="G170" s="181">
        <f>252000000</f>
        <v>252000000</v>
      </c>
      <c r="H170" s="134">
        <f t="shared" si="69"/>
        <v>50</v>
      </c>
      <c r="I170" s="134">
        <f t="shared" si="70"/>
        <v>13.96926054903345</v>
      </c>
      <c r="J170" s="6">
        <f t="shared" si="71"/>
        <v>-252000000</v>
      </c>
      <c r="K170" s="38"/>
    </row>
    <row r="171" spans="1:11" s="84" customFormat="1" x14ac:dyDescent="0.2">
      <c r="A171" s="749" t="s">
        <v>234</v>
      </c>
      <c r="B171" s="133" t="s">
        <v>522</v>
      </c>
      <c r="C171" s="256">
        <v>9060912</v>
      </c>
      <c r="D171" s="804"/>
      <c r="E171" s="134"/>
      <c r="F171" s="134"/>
      <c r="G171" s="181">
        <f>9060912</f>
        <v>9060912</v>
      </c>
      <c r="H171" s="134"/>
      <c r="I171" s="134"/>
      <c r="J171" s="6">
        <f t="shared" si="71"/>
        <v>0</v>
      </c>
      <c r="K171" s="805"/>
    </row>
    <row r="172" spans="1:11" x14ac:dyDescent="0.25">
      <c r="A172" s="883"/>
      <c r="B172" s="129" t="s">
        <v>154</v>
      </c>
      <c r="C172" s="826">
        <f>SUM(C168:C171)</f>
        <v>1803960912</v>
      </c>
      <c r="D172" s="272">
        <f>SUM(D168:D170)</f>
        <v>99.497721267698964</v>
      </c>
      <c r="E172" s="134"/>
      <c r="F172" s="134"/>
      <c r="G172" s="181">
        <f>SUM(G168:G171)</f>
        <v>1265379212</v>
      </c>
      <c r="H172" s="134"/>
      <c r="I172" s="134"/>
      <c r="J172" s="734"/>
      <c r="K172" s="40"/>
    </row>
    <row r="173" spans="1:11" x14ac:dyDescent="0.25">
      <c r="A173" s="54"/>
      <c r="B173" s="54"/>
      <c r="C173" s="59"/>
      <c r="D173" s="182"/>
      <c r="E173" s="183"/>
      <c r="F173" s="183"/>
      <c r="G173" s="184"/>
      <c r="H173" s="183"/>
      <c r="I173" s="183"/>
      <c r="J173" s="185"/>
      <c r="K173" s="37"/>
    </row>
    <row r="174" spans="1:11" x14ac:dyDescent="0.25">
      <c r="A174" s="50"/>
      <c r="B174" s="5"/>
      <c r="C174" s="50"/>
      <c r="D174" s="9"/>
      <c r="E174" s="23"/>
      <c r="F174" s="23"/>
      <c r="G174" s="11"/>
      <c r="H174" s="23"/>
      <c r="I174" s="23"/>
      <c r="J174" s="9"/>
      <c r="K174" s="9"/>
    </row>
    <row r="175" spans="1:11" x14ac:dyDescent="0.25">
      <c r="A175" s="1072" t="s">
        <v>2</v>
      </c>
      <c r="B175" s="1072" t="s">
        <v>129</v>
      </c>
      <c r="C175" s="1072" t="s">
        <v>124</v>
      </c>
      <c r="D175" s="1075" t="s">
        <v>5</v>
      </c>
      <c r="E175" s="1076"/>
      <c r="F175" s="1076"/>
      <c r="G175" s="1077" t="s">
        <v>6</v>
      </c>
      <c r="H175" s="1076"/>
      <c r="I175" s="1076"/>
      <c r="J175" s="1078" t="s">
        <v>7</v>
      </c>
      <c r="K175" s="95" t="s">
        <v>8</v>
      </c>
    </row>
    <row r="176" spans="1:11" x14ac:dyDescent="0.25">
      <c r="A176" s="1073"/>
      <c r="B176" s="1073"/>
      <c r="C176" s="1073"/>
      <c r="D176" s="95" t="s">
        <v>9</v>
      </c>
      <c r="E176" s="294" t="s">
        <v>10</v>
      </c>
      <c r="F176" s="294" t="s">
        <v>11</v>
      </c>
      <c r="G176" s="96" t="s">
        <v>12</v>
      </c>
      <c r="H176" s="97" t="s">
        <v>13</v>
      </c>
      <c r="I176" s="97" t="s">
        <v>11</v>
      </c>
      <c r="J176" s="1079"/>
      <c r="K176" s="98"/>
    </row>
    <row r="177" spans="1:15" x14ac:dyDescent="0.25">
      <c r="A177" s="1074"/>
      <c r="B177" s="1074"/>
      <c r="C177" s="1074"/>
      <c r="D177" s="101" t="s">
        <v>14</v>
      </c>
      <c r="E177" s="100" t="s">
        <v>14</v>
      </c>
      <c r="F177" s="100" t="s">
        <v>14</v>
      </c>
      <c r="G177" s="99" t="s">
        <v>15</v>
      </c>
      <c r="H177" s="100" t="s">
        <v>14</v>
      </c>
      <c r="I177" s="100" t="s">
        <v>14</v>
      </c>
      <c r="J177" s="101" t="s">
        <v>15</v>
      </c>
      <c r="K177" s="101"/>
    </row>
    <row r="178" spans="1:15" ht="25.5" x14ac:dyDescent="0.25">
      <c r="A178" s="175" t="s">
        <v>180</v>
      </c>
      <c r="B178" s="696" t="s">
        <v>379</v>
      </c>
      <c r="C178" s="126"/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6" t="s">
        <v>181</v>
      </c>
      <c r="B179" s="697" t="s">
        <v>380</v>
      </c>
      <c r="C179" s="86">
        <f>SUM(C180:C195)</f>
        <v>335000000</v>
      </c>
      <c r="D179" s="121"/>
      <c r="E179" s="122"/>
      <c r="F179" s="122"/>
      <c r="G179" s="123"/>
      <c r="H179" s="122"/>
      <c r="I179" s="122"/>
      <c r="J179" s="121"/>
      <c r="K179" s="121"/>
    </row>
    <row r="180" spans="1:15" ht="25.5" x14ac:dyDescent="0.25">
      <c r="A180" s="170" t="s">
        <v>44</v>
      </c>
      <c r="B180" s="707" t="s">
        <v>384</v>
      </c>
      <c r="C180" s="58">
        <v>16310000</v>
      </c>
      <c r="D180" s="134">
        <f>C180/C179*100</f>
        <v>4.8686567164179104</v>
      </c>
      <c r="E180" s="134">
        <f t="shared" ref="E180:E192" si="72">G180/C180*100</f>
        <v>88.044144696505214</v>
      </c>
      <c r="F180" s="134">
        <f t="shared" ref="F180:F192" si="73">(D180*E180)/100</f>
        <v>4.2865671641791048</v>
      </c>
      <c r="G180" s="181">
        <f>14360000</f>
        <v>14360000</v>
      </c>
      <c r="H180" s="134">
        <f t="shared" ref="H180:H192" si="74">G180/C180*100</f>
        <v>88.044144696505214</v>
      </c>
      <c r="I180" s="134">
        <f t="shared" ref="I180:I192" si="75">(D180*H180)/100</f>
        <v>4.2865671641791048</v>
      </c>
      <c r="J180" s="6">
        <f t="shared" ref="J180:J195" si="76">G180-C180</f>
        <v>-1950000</v>
      </c>
      <c r="K180" s="121"/>
    </row>
    <row r="181" spans="1:15" x14ac:dyDescent="0.25">
      <c r="A181" s="170" t="s">
        <v>59</v>
      </c>
      <c r="B181" s="707" t="s">
        <v>197</v>
      </c>
      <c r="C181" s="58">
        <v>13836500</v>
      </c>
      <c r="D181" s="180">
        <f>C181/C179*100</f>
        <v>4.1302985074626868</v>
      </c>
      <c r="E181" s="134">
        <f t="shared" si="72"/>
        <v>50</v>
      </c>
      <c r="F181" s="134">
        <f t="shared" si="73"/>
        <v>2.0651492537313434</v>
      </c>
      <c r="G181" s="181">
        <f>6918250</f>
        <v>6918250</v>
      </c>
      <c r="H181" s="134">
        <f t="shared" si="74"/>
        <v>50</v>
      </c>
      <c r="I181" s="134">
        <f t="shared" si="75"/>
        <v>2.0651492537313434</v>
      </c>
      <c r="J181" s="6">
        <f t="shared" si="76"/>
        <v>-6918250</v>
      </c>
      <c r="K181" s="167"/>
    </row>
    <row r="182" spans="1:15" ht="25.5" x14ac:dyDescent="0.25">
      <c r="A182" s="170" t="s">
        <v>62</v>
      </c>
      <c r="B182" s="707" t="s">
        <v>385</v>
      </c>
      <c r="C182" s="58">
        <v>10871000</v>
      </c>
      <c r="D182" s="726">
        <f>C182/C179*100</f>
        <v>3.2450746268656716</v>
      </c>
      <c r="E182" s="134">
        <f t="shared" si="72"/>
        <v>0</v>
      </c>
      <c r="F182" s="134">
        <f t="shared" si="73"/>
        <v>0</v>
      </c>
      <c r="G182" s="181">
        <v>0</v>
      </c>
      <c r="H182" s="134">
        <f t="shared" si="74"/>
        <v>0</v>
      </c>
      <c r="I182" s="134">
        <f t="shared" si="75"/>
        <v>0</v>
      </c>
      <c r="J182" s="6">
        <f t="shared" si="76"/>
        <v>-10871000</v>
      </c>
      <c r="K182" s="167"/>
    </row>
    <row r="183" spans="1:15" x14ac:dyDescent="0.25">
      <c r="A183" s="170" t="s">
        <v>148</v>
      </c>
      <c r="B183" s="133" t="s">
        <v>531</v>
      </c>
      <c r="C183" s="58">
        <v>10000000</v>
      </c>
      <c r="D183" s="726"/>
      <c r="E183" s="134"/>
      <c r="F183" s="134"/>
      <c r="G183" s="181">
        <f>10000000</f>
        <v>10000000</v>
      </c>
      <c r="H183" s="134"/>
      <c r="I183" s="134"/>
      <c r="J183" s="6">
        <f t="shared" si="76"/>
        <v>0</v>
      </c>
      <c r="K183" s="167"/>
    </row>
    <row r="184" spans="1:15" x14ac:dyDescent="0.25">
      <c r="A184" s="170" t="s">
        <v>77</v>
      </c>
      <c r="B184" s="170" t="s">
        <v>127</v>
      </c>
      <c r="C184" s="58">
        <v>61010000</v>
      </c>
      <c r="D184" s="726">
        <f>C184/C179*100</f>
        <v>18.211940298507461</v>
      </c>
      <c r="E184" s="134">
        <f t="shared" si="72"/>
        <v>52.696279298475659</v>
      </c>
      <c r="F184" s="134">
        <f t="shared" si="73"/>
        <v>9.5970149253731343</v>
      </c>
      <c r="G184" s="181">
        <f>32150000</f>
        <v>32150000</v>
      </c>
      <c r="H184" s="134">
        <f t="shared" si="74"/>
        <v>52.696279298475659</v>
      </c>
      <c r="I184" s="134">
        <f t="shared" si="75"/>
        <v>9.5970149253731343</v>
      </c>
      <c r="J184" s="6">
        <f t="shared" si="76"/>
        <v>-28860000</v>
      </c>
      <c r="K184" s="167"/>
      <c r="O184" s="190"/>
    </row>
    <row r="185" spans="1:15" x14ac:dyDescent="0.25">
      <c r="A185" s="170" t="s">
        <v>183</v>
      </c>
      <c r="B185" s="170" t="s">
        <v>178</v>
      </c>
      <c r="C185" s="58">
        <v>44625000</v>
      </c>
      <c r="D185" s="726">
        <f>C185/C179*100</f>
        <v>13.32089552238806</v>
      </c>
      <c r="E185" s="134">
        <f t="shared" si="72"/>
        <v>22.408963585434176</v>
      </c>
      <c r="F185" s="134">
        <f t="shared" si="73"/>
        <v>2.9850746268656718</v>
      </c>
      <c r="G185" s="181">
        <f>10000000</f>
        <v>10000000</v>
      </c>
      <c r="H185" s="134">
        <f t="shared" si="74"/>
        <v>22.408963585434176</v>
      </c>
      <c r="I185" s="134">
        <f t="shared" si="75"/>
        <v>2.9850746268656718</v>
      </c>
      <c r="J185" s="6">
        <f t="shared" si="76"/>
        <v>-34625000</v>
      </c>
      <c r="K185" s="167"/>
    </row>
    <row r="186" spans="1:15" x14ac:dyDescent="0.25">
      <c r="A186" s="170" t="s">
        <v>186</v>
      </c>
      <c r="B186" s="170" t="s">
        <v>179</v>
      </c>
      <c r="C186" s="58">
        <v>44100000</v>
      </c>
      <c r="D186" s="726">
        <f>C186/C179*100</f>
        <v>13.164179104477611</v>
      </c>
      <c r="E186" s="134">
        <f t="shared" si="72"/>
        <v>100</v>
      </c>
      <c r="F186" s="134">
        <f t="shared" si="73"/>
        <v>13.164179104477611</v>
      </c>
      <c r="G186" s="181">
        <f>44100000</f>
        <v>44100000</v>
      </c>
      <c r="H186" s="134">
        <f t="shared" si="74"/>
        <v>100</v>
      </c>
      <c r="I186" s="134">
        <f t="shared" si="75"/>
        <v>13.164179104477611</v>
      </c>
      <c r="J186" s="6">
        <f t="shared" si="76"/>
        <v>0</v>
      </c>
      <c r="K186" s="167"/>
    </row>
    <row r="187" spans="1:15" ht="25.5" x14ac:dyDescent="0.25">
      <c r="A187" s="170" t="s">
        <v>106</v>
      </c>
      <c r="B187" s="316" t="s">
        <v>375</v>
      </c>
      <c r="C187" s="58">
        <v>44000000</v>
      </c>
      <c r="D187" s="726">
        <f>C187/C179*100</f>
        <v>13.134328358208954</v>
      </c>
      <c r="E187" s="134">
        <f t="shared" si="72"/>
        <v>93.181818181818173</v>
      </c>
      <c r="F187" s="134">
        <f t="shared" si="73"/>
        <v>12.238805970149251</v>
      </c>
      <c r="G187" s="181">
        <f>41000000</f>
        <v>41000000</v>
      </c>
      <c r="H187" s="134">
        <f t="shared" si="74"/>
        <v>93.181818181818173</v>
      </c>
      <c r="I187" s="134">
        <f t="shared" si="75"/>
        <v>12.238805970149251</v>
      </c>
      <c r="J187" s="6">
        <f t="shared" si="76"/>
        <v>-3000000</v>
      </c>
      <c r="K187" s="167"/>
    </row>
    <row r="188" spans="1:15" x14ac:dyDescent="0.25">
      <c r="A188" s="170" t="s">
        <v>162</v>
      </c>
      <c r="B188" s="315" t="s">
        <v>515</v>
      </c>
      <c r="C188" s="58">
        <v>36000000</v>
      </c>
      <c r="D188" s="726"/>
      <c r="E188" s="134"/>
      <c r="F188" s="134"/>
      <c r="G188" s="181">
        <f>36000000</f>
        <v>36000000</v>
      </c>
      <c r="H188" s="134"/>
      <c r="I188" s="134"/>
      <c r="J188" s="6">
        <f t="shared" si="76"/>
        <v>0</v>
      </c>
      <c r="K188" s="167"/>
    </row>
    <row r="189" spans="1:15" x14ac:dyDescent="0.25">
      <c r="A189" s="170" t="s">
        <v>527</v>
      </c>
      <c r="B189" s="316" t="s">
        <v>523</v>
      </c>
      <c r="C189" s="58">
        <v>5625000</v>
      </c>
      <c r="D189" s="726"/>
      <c r="E189" s="134"/>
      <c r="F189" s="134"/>
      <c r="G189" s="181">
        <f>5625000</f>
        <v>5625000</v>
      </c>
      <c r="H189" s="134"/>
      <c r="I189" s="134"/>
      <c r="J189" s="6">
        <f t="shared" si="76"/>
        <v>0</v>
      </c>
      <c r="K189" s="167"/>
    </row>
    <row r="190" spans="1:15" x14ac:dyDescent="0.25">
      <c r="A190" s="170" t="s">
        <v>528</v>
      </c>
      <c r="B190" s="316" t="s">
        <v>524</v>
      </c>
      <c r="C190" s="58">
        <v>16000000</v>
      </c>
      <c r="D190" s="726"/>
      <c r="E190" s="134"/>
      <c r="F190" s="134"/>
      <c r="G190" s="181">
        <f>16000000</f>
        <v>16000000</v>
      </c>
      <c r="H190" s="134"/>
      <c r="I190" s="134"/>
      <c r="J190" s="6">
        <f t="shared" si="76"/>
        <v>0</v>
      </c>
      <c r="K190" s="167"/>
    </row>
    <row r="191" spans="1:15" x14ac:dyDescent="0.25">
      <c r="A191" s="170" t="s">
        <v>529</v>
      </c>
      <c r="B191" s="316" t="s">
        <v>525</v>
      </c>
      <c r="C191" s="58">
        <v>4000000</v>
      </c>
      <c r="D191" s="726"/>
      <c r="E191" s="134"/>
      <c r="F191" s="134"/>
      <c r="G191" s="181">
        <f>4000000</f>
        <v>4000000</v>
      </c>
      <c r="H191" s="134"/>
      <c r="I191" s="134"/>
      <c r="J191" s="6">
        <f t="shared" si="76"/>
        <v>0</v>
      </c>
      <c r="K191" s="167"/>
    </row>
    <row r="192" spans="1:15" ht="25.5" x14ac:dyDescent="0.25">
      <c r="A192" s="170" t="s">
        <v>116</v>
      </c>
      <c r="B192" s="133" t="s">
        <v>371</v>
      </c>
      <c r="C192" s="178">
        <v>1622500</v>
      </c>
      <c r="D192" s="726">
        <f>C192/C179*100</f>
        <v>0.4843283582089552</v>
      </c>
      <c r="E192" s="134">
        <f t="shared" si="72"/>
        <v>100</v>
      </c>
      <c r="F192" s="134">
        <f t="shared" si="73"/>
        <v>0.4843283582089552</v>
      </c>
      <c r="G192" s="181">
        <f>1622500</f>
        <v>1622500</v>
      </c>
      <c r="H192" s="134">
        <f t="shared" si="74"/>
        <v>100</v>
      </c>
      <c r="I192" s="134">
        <f t="shared" si="75"/>
        <v>0.4843283582089552</v>
      </c>
      <c r="J192" s="6">
        <f t="shared" si="76"/>
        <v>0</v>
      </c>
      <c r="K192" s="167"/>
      <c r="M192" s="190"/>
    </row>
    <row r="193" spans="1:14" x14ac:dyDescent="0.25">
      <c r="A193" s="748" t="s">
        <v>65</v>
      </c>
      <c r="B193" s="315" t="s">
        <v>393</v>
      </c>
      <c r="C193" s="178">
        <v>7000000</v>
      </c>
      <c r="D193" s="726"/>
      <c r="E193" s="134"/>
      <c r="F193" s="134"/>
      <c r="G193" s="181">
        <f>6932360</f>
        <v>6932360</v>
      </c>
      <c r="H193" s="134"/>
      <c r="I193" s="134"/>
      <c r="J193" s="6">
        <f t="shared" si="76"/>
        <v>-67640</v>
      </c>
      <c r="K193" s="167"/>
      <c r="M193" s="190"/>
    </row>
    <row r="194" spans="1:14" x14ac:dyDescent="0.25">
      <c r="A194" s="748" t="s">
        <v>287</v>
      </c>
      <c r="B194" s="315" t="s">
        <v>191</v>
      </c>
      <c r="C194" s="178">
        <v>15000000</v>
      </c>
      <c r="D194" s="726"/>
      <c r="E194" s="134"/>
      <c r="F194" s="134"/>
      <c r="G194" s="181">
        <f>15000000</f>
        <v>15000000</v>
      </c>
      <c r="H194" s="134"/>
      <c r="I194" s="134"/>
      <c r="J194" s="6">
        <f t="shared" si="76"/>
        <v>0</v>
      </c>
      <c r="K194" s="167"/>
      <c r="M194" s="190"/>
    </row>
    <row r="195" spans="1:14" x14ac:dyDescent="0.25">
      <c r="A195" s="748" t="s">
        <v>275</v>
      </c>
      <c r="B195" s="133" t="s">
        <v>421</v>
      </c>
      <c r="C195" s="178">
        <v>5000000</v>
      </c>
      <c r="D195" s="726"/>
      <c r="E195" s="134"/>
      <c r="F195" s="134"/>
      <c r="G195" s="181">
        <v>0</v>
      </c>
      <c r="H195" s="134"/>
      <c r="I195" s="134"/>
      <c r="J195" s="6">
        <f t="shared" si="76"/>
        <v>-5000000</v>
      </c>
      <c r="K195" s="167"/>
      <c r="M195" s="190"/>
    </row>
    <row r="196" spans="1:14" x14ac:dyDescent="0.25">
      <c r="A196" s="69"/>
      <c r="B196" s="67" t="s">
        <v>128</v>
      </c>
      <c r="C196" s="60">
        <f>SUM(C180:C195)</f>
        <v>335000000</v>
      </c>
      <c r="D196" s="275">
        <f>SUM(D180:D192)</f>
        <v>70.5597014925373</v>
      </c>
      <c r="E196" s="134"/>
      <c r="F196" s="134"/>
      <c r="G196" s="42">
        <f>SUM(G180:G195)</f>
        <v>243708110</v>
      </c>
      <c r="H196" s="134"/>
      <c r="I196" s="134"/>
      <c r="J196" s="734"/>
      <c r="K196" s="38"/>
    </row>
    <row r="197" spans="1:14" x14ac:dyDescent="0.25">
      <c r="A197" s="186"/>
      <c r="B197" s="2"/>
      <c r="C197" s="187"/>
      <c r="D197" s="188"/>
      <c r="E197" s="183"/>
      <c r="F197" s="183"/>
      <c r="G197" s="184"/>
      <c r="H197" s="183"/>
      <c r="I197" s="183"/>
      <c r="J197" s="189"/>
      <c r="K197" s="53"/>
    </row>
    <row r="198" spans="1:14" ht="31.5" x14ac:dyDescent="0.25">
      <c r="A198" s="55"/>
      <c r="B198" s="46" t="s">
        <v>145</v>
      </c>
      <c r="C198" s="155"/>
      <c r="D198" s="44"/>
      <c r="E198" s="45"/>
      <c r="F198" s="45"/>
      <c r="G198" s="48"/>
      <c r="H198" s="45"/>
      <c r="I198" s="45"/>
      <c r="J198" s="44"/>
      <c r="K198" s="44"/>
      <c r="L198" s="1"/>
      <c r="M198" s="1"/>
      <c r="N198" s="1"/>
    </row>
    <row r="199" spans="1:14" x14ac:dyDescent="0.25">
      <c r="A199" s="1082" t="s">
        <v>2</v>
      </c>
      <c r="B199" s="1081" t="s">
        <v>168</v>
      </c>
      <c r="C199" s="1082" t="s">
        <v>4</v>
      </c>
      <c r="D199" s="1083" t="s">
        <v>5</v>
      </c>
      <c r="E199" s="1084"/>
      <c r="F199" s="1084"/>
      <c r="G199" s="1085" t="s">
        <v>6</v>
      </c>
      <c r="H199" s="1084"/>
      <c r="I199" s="1084"/>
      <c r="J199" s="1082" t="s">
        <v>7</v>
      </c>
      <c r="K199" s="283" t="s">
        <v>8</v>
      </c>
    </row>
    <row r="200" spans="1:14" x14ac:dyDescent="0.25">
      <c r="A200" s="1082"/>
      <c r="B200" s="1081"/>
      <c r="C200" s="1082"/>
      <c r="D200" s="283" t="s">
        <v>9</v>
      </c>
      <c r="E200" s="297" t="s">
        <v>10</v>
      </c>
      <c r="F200" s="297" t="s">
        <v>11</v>
      </c>
      <c r="G200" s="298" t="s">
        <v>12</v>
      </c>
      <c r="H200" s="297" t="s">
        <v>13</v>
      </c>
      <c r="I200" s="297" t="s">
        <v>11</v>
      </c>
      <c r="J200" s="1086"/>
      <c r="K200" s="284"/>
    </row>
    <row r="201" spans="1:14" x14ac:dyDescent="0.25">
      <c r="A201" s="1082"/>
      <c r="B201" s="1081"/>
      <c r="C201" s="1082"/>
      <c r="D201" s="282" t="s">
        <v>14</v>
      </c>
      <c r="E201" s="295" t="s">
        <v>14</v>
      </c>
      <c r="F201" s="295" t="s">
        <v>14</v>
      </c>
      <c r="G201" s="296" t="s">
        <v>15</v>
      </c>
      <c r="H201" s="295" t="s">
        <v>14</v>
      </c>
      <c r="I201" s="295" t="s">
        <v>14</v>
      </c>
      <c r="J201" s="282" t="s">
        <v>15</v>
      </c>
      <c r="K201" s="282"/>
    </row>
    <row r="202" spans="1:14" x14ac:dyDescent="0.25">
      <c r="A202" s="79" t="s">
        <v>185</v>
      </c>
      <c r="B202" s="199" t="s">
        <v>146</v>
      </c>
      <c r="C202" s="145"/>
      <c r="D202" s="146"/>
      <c r="E202" s="147"/>
      <c r="F202" s="147"/>
      <c r="G202" s="148"/>
      <c r="H202" s="147"/>
      <c r="I202" s="147"/>
      <c r="J202" s="146"/>
      <c r="K202" s="146"/>
    </row>
    <row r="203" spans="1:14" x14ac:dyDescent="0.25">
      <c r="A203" s="125" t="s">
        <v>184</v>
      </c>
      <c r="B203" s="280" t="s">
        <v>147</v>
      </c>
      <c r="C203" s="257">
        <f>SUM(C204:C206)</f>
        <v>2555640000</v>
      </c>
      <c r="D203" s="146"/>
      <c r="E203" s="147"/>
      <c r="F203" s="147"/>
      <c r="G203" s="148"/>
      <c r="H203" s="147"/>
      <c r="I203" s="147"/>
      <c r="J203" s="146"/>
      <c r="K203" s="146"/>
    </row>
    <row r="204" spans="1:14" ht="25.5" x14ac:dyDescent="0.25">
      <c r="A204" s="319" t="s">
        <v>59</v>
      </c>
      <c r="B204" s="707" t="s">
        <v>384</v>
      </c>
      <c r="C204" s="258">
        <f>33350000</f>
        <v>33350000</v>
      </c>
      <c r="D204" s="267"/>
      <c r="E204" s="134"/>
      <c r="F204" s="134"/>
      <c r="G204" s="181">
        <f>33350000</f>
        <v>33350000</v>
      </c>
      <c r="H204" s="134"/>
      <c r="I204" s="134"/>
      <c r="J204" s="6">
        <f t="shared" ref="J204:J205" si="77">G204-C204</f>
        <v>0</v>
      </c>
      <c r="K204" s="146"/>
    </row>
    <row r="205" spans="1:14" x14ac:dyDescent="0.25">
      <c r="A205" s="49" t="s">
        <v>148</v>
      </c>
      <c r="B205" s="707" t="s">
        <v>197</v>
      </c>
      <c r="C205" s="259">
        <f>2290000</f>
        <v>2290000</v>
      </c>
      <c r="D205" s="267">
        <f>C205/C203*100</f>
        <v>8.9605734767025089E-2</v>
      </c>
      <c r="E205" s="134">
        <f t="shared" ref="E205" si="78">G205/C205*100</f>
        <v>100</v>
      </c>
      <c r="F205" s="134">
        <f t="shared" ref="F205" si="79">(D205*E205)/100</f>
        <v>8.9605734767025089E-2</v>
      </c>
      <c r="G205" s="181">
        <f>2290000</f>
        <v>2290000</v>
      </c>
      <c r="H205" s="134">
        <f t="shared" ref="H205" si="80">G205/C205*100</f>
        <v>100</v>
      </c>
      <c r="I205" s="134">
        <f t="shared" ref="I205" si="81">(D205*H205)/100</f>
        <v>8.9605734767025089E-2</v>
      </c>
      <c r="J205" s="6">
        <f t="shared" si="77"/>
        <v>0</v>
      </c>
      <c r="K205" s="146"/>
    </row>
    <row r="206" spans="1:14" x14ac:dyDescent="0.25">
      <c r="A206" s="749"/>
      <c r="B206" s="133" t="s">
        <v>531</v>
      </c>
      <c r="C206" s="259">
        <f>2520000000</f>
        <v>2520000000</v>
      </c>
      <c r="D206" s="848"/>
      <c r="E206" s="134"/>
      <c r="F206" s="134"/>
      <c r="G206" s="181">
        <f>172460000+1310200000</f>
        <v>1482660000</v>
      </c>
      <c r="H206" s="134"/>
      <c r="I206" s="134"/>
      <c r="J206" s="6"/>
      <c r="K206" s="849"/>
    </row>
    <row r="207" spans="1:14" x14ac:dyDescent="0.25">
      <c r="A207" s="71"/>
      <c r="B207" s="76" t="s">
        <v>95</v>
      </c>
      <c r="C207" s="806">
        <f>SUM(C204:C206)</f>
        <v>2555640000</v>
      </c>
      <c r="D207" s="141">
        <f>SUM(D204:D205)</f>
        <v>8.9605734767025089E-2</v>
      </c>
      <c r="E207" s="134"/>
      <c r="F207" s="134"/>
      <c r="G207" s="181">
        <f>SUM(G204:G206)</f>
        <v>1518300000</v>
      </c>
      <c r="H207" s="134"/>
      <c r="I207" s="134"/>
      <c r="J207" s="56">
        <v>0</v>
      </c>
      <c r="K207" s="143"/>
    </row>
    <row r="208" spans="1:14" x14ac:dyDescent="0.25">
      <c r="A208" s="186"/>
      <c r="B208" s="2"/>
      <c r="C208" s="187"/>
      <c r="D208" s="188"/>
      <c r="E208" s="183"/>
      <c r="F208" s="183"/>
      <c r="G208" s="184"/>
      <c r="H208" s="183"/>
      <c r="I208" s="183"/>
      <c r="J208" s="189"/>
      <c r="K208" s="53"/>
    </row>
    <row r="209" spans="1:11" x14ac:dyDescent="0.25">
      <c r="A209" s="1080" t="s">
        <v>2</v>
      </c>
      <c r="B209" s="1081" t="s">
        <v>168</v>
      </c>
      <c r="C209" s="1080" t="s">
        <v>4</v>
      </c>
      <c r="D209" s="1075" t="s">
        <v>5</v>
      </c>
      <c r="E209" s="1076"/>
      <c r="F209" s="1076"/>
      <c r="G209" s="1077" t="s">
        <v>6</v>
      </c>
      <c r="H209" s="1076"/>
      <c r="I209" s="1076"/>
      <c r="J209" s="1080" t="s">
        <v>7</v>
      </c>
      <c r="K209" s="95" t="s">
        <v>8</v>
      </c>
    </row>
    <row r="210" spans="1:11" x14ac:dyDescent="0.25">
      <c r="A210" s="1080"/>
      <c r="B210" s="1081"/>
      <c r="C210" s="1080"/>
      <c r="D210" s="95" t="s">
        <v>9</v>
      </c>
      <c r="E210" s="294" t="s">
        <v>10</v>
      </c>
      <c r="F210" s="294" t="s">
        <v>11</v>
      </c>
      <c r="G210" s="299" t="s">
        <v>12</v>
      </c>
      <c r="H210" s="294" t="s">
        <v>13</v>
      </c>
      <c r="I210" s="294" t="s">
        <v>11</v>
      </c>
      <c r="J210" s="1078"/>
      <c r="K210" s="98"/>
    </row>
    <row r="211" spans="1:11" x14ac:dyDescent="0.25">
      <c r="A211" s="1080"/>
      <c r="B211" s="1081"/>
      <c r="C211" s="1080"/>
      <c r="D211" s="101" t="s">
        <v>14</v>
      </c>
      <c r="E211" s="100" t="s">
        <v>14</v>
      </c>
      <c r="F211" s="100" t="s">
        <v>14</v>
      </c>
      <c r="G211" s="99" t="s">
        <v>15</v>
      </c>
      <c r="H211" s="100" t="s">
        <v>14</v>
      </c>
      <c r="I211" s="100" t="s">
        <v>14</v>
      </c>
      <c r="J211" s="101" t="s">
        <v>15</v>
      </c>
      <c r="K211" s="101"/>
    </row>
    <row r="212" spans="1:11" x14ac:dyDescent="0.25">
      <c r="A212" s="79" t="s">
        <v>185</v>
      </c>
      <c r="B212" s="199" t="s">
        <v>146</v>
      </c>
      <c r="C212" s="24"/>
      <c r="D212" s="10"/>
      <c r="E212" s="34"/>
      <c r="F212" s="34"/>
      <c r="G212" s="6"/>
      <c r="H212" s="34"/>
      <c r="I212" s="34"/>
      <c r="J212" s="10"/>
      <c r="K212" s="10"/>
    </row>
    <row r="213" spans="1:11" x14ac:dyDescent="0.25">
      <c r="A213" s="125" t="s">
        <v>187</v>
      </c>
      <c r="B213" s="280" t="s">
        <v>150</v>
      </c>
      <c r="C213" s="252">
        <f>SUM(C214:C218)</f>
        <v>1635097968</v>
      </c>
      <c r="D213" s="10"/>
      <c r="E213" s="34"/>
      <c r="F213" s="34"/>
      <c r="G213" s="6"/>
      <c r="H213" s="34"/>
      <c r="I213" s="34"/>
      <c r="J213" s="10"/>
      <c r="K213" s="10"/>
    </row>
    <row r="214" spans="1:11" ht="25.5" x14ac:dyDescent="0.25">
      <c r="A214" s="313" t="s">
        <v>44</v>
      </c>
      <c r="B214" s="707" t="s">
        <v>384</v>
      </c>
      <c r="C214" s="253">
        <v>29600000</v>
      </c>
      <c r="D214" s="134">
        <f>C214/C213*100</f>
        <v>1.8102890823236593</v>
      </c>
      <c r="E214" s="134">
        <f t="shared" ref="E214:E217" si="82">G214/C214*100</f>
        <v>100</v>
      </c>
      <c r="F214" s="134">
        <f t="shared" ref="F214:F217" si="83">(D214*E214)/100</f>
        <v>1.8102890823236593</v>
      </c>
      <c r="G214" s="181">
        <f>29600000</f>
        <v>29600000</v>
      </c>
      <c r="H214" s="134">
        <f t="shared" ref="H214:H217" si="84">G214/C214*100</f>
        <v>100</v>
      </c>
      <c r="I214" s="134">
        <f t="shared" ref="I214:I217" si="85">(D214*H214)/100</f>
        <v>1.8102890823236593</v>
      </c>
      <c r="J214" s="6">
        <f t="shared" ref="J214:J218" si="86">G214-C214</f>
        <v>0</v>
      </c>
      <c r="K214" s="10"/>
    </row>
    <row r="215" spans="1:11" x14ac:dyDescent="0.25">
      <c r="A215" s="319" t="s">
        <v>59</v>
      </c>
      <c r="B215" s="707" t="s">
        <v>197</v>
      </c>
      <c r="C215" s="253">
        <v>1300000</v>
      </c>
      <c r="D215" s="134"/>
      <c r="E215" s="134"/>
      <c r="F215" s="134"/>
      <c r="G215" s="181">
        <f>1300000</f>
        <v>1300000</v>
      </c>
      <c r="H215" s="134"/>
      <c r="I215" s="134"/>
      <c r="J215" s="6">
        <f t="shared" si="86"/>
        <v>0</v>
      </c>
      <c r="K215" s="10"/>
    </row>
    <row r="216" spans="1:11" x14ac:dyDescent="0.25">
      <c r="A216" s="49" t="s">
        <v>148</v>
      </c>
      <c r="B216" s="133" t="s">
        <v>531</v>
      </c>
      <c r="C216" s="256">
        <f>1140000000</f>
        <v>1140000000</v>
      </c>
      <c r="D216" s="134">
        <f>C216/C213*100</f>
        <v>69.720593035438228</v>
      </c>
      <c r="E216" s="134">
        <f t="shared" si="82"/>
        <v>58.245929824561401</v>
      </c>
      <c r="F216" s="134">
        <f t="shared" si="83"/>
        <v>40.609407692689395</v>
      </c>
      <c r="G216" s="181">
        <f>542973600+121030000</f>
        <v>664003600</v>
      </c>
      <c r="H216" s="134">
        <f t="shared" si="84"/>
        <v>58.245929824561401</v>
      </c>
      <c r="I216" s="134">
        <f t="shared" si="85"/>
        <v>40.609407692689395</v>
      </c>
      <c r="J216" s="6">
        <f t="shared" si="86"/>
        <v>-475996400</v>
      </c>
      <c r="K216" s="10"/>
    </row>
    <row r="217" spans="1:11" s="84" customFormat="1" ht="25.5" x14ac:dyDescent="0.2">
      <c r="A217" s="49" t="s">
        <v>152</v>
      </c>
      <c r="B217" s="133" t="s">
        <v>153</v>
      </c>
      <c r="C217" s="256">
        <v>456000000</v>
      </c>
      <c r="D217" s="134">
        <f>C217/C213*100</f>
        <v>27.888237214175295</v>
      </c>
      <c r="E217" s="134">
        <f t="shared" si="82"/>
        <v>50</v>
      </c>
      <c r="F217" s="134">
        <f t="shared" si="83"/>
        <v>13.944118607087649</v>
      </c>
      <c r="G217" s="181">
        <f>228000000</f>
        <v>228000000</v>
      </c>
      <c r="H217" s="134">
        <f t="shared" si="84"/>
        <v>50</v>
      </c>
      <c r="I217" s="134">
        <f t="shared" si="85"/>
        <v>13.944118607087649</v>
      </c>
      <c r="J217" s="6">
        <f t="shared" si="86"/>
        <v>-228000000</v>
      </c>
      <c r="K217" s="38"/>
    </row>
    <row r="218" spans="1:11" s="84" customFormat="1" x14ac:dyDescent="0.2">
      <c r="A218" s="749" t="s">
        <v>234</v>
      </c>
      <c r="B218" s="133" t="s">
        <v>522</v>
      </c>
      <c r="C218" s="256">
        <v>8197968</v>
      </c>
      <c r="D218" s="804"/>
      <c r="E218" s="134"/>
      <c r="F218" s="134"/>
      <c r="G218" s="181">
        <f>8197968</f>
        <v>8197968</v>
      </c>
      <c r="H218" s="134"/>
      <c r="I218" s="134"/>
      <c r="J218" s="6">
        <f t="shared" si="86"/>
        <v>0</v>
      </c>
      <c r="K218" s="805"/>
    </row>
    <row r="219" spans="1:11" x14ac:dyDescent="0.25">
      <c r="A219" s="70"/>
      <c r="B219" s="129" t="s">
        <v>95</v>
      </c>
      <c r="C219" s="807">
        <f>SUM(C214:C218)</f>
        <v>1635097968</v>
      </c>
      <c r="D219" s="271">
        <f>SUM(D214:D217)</f>
        <v>99.419119331937182</v>
      </c>
      <c r="E219" s="134"/>
      <c r="F219" s="134"/>
      <c r="G219" s="181">
        <f>SUM(G214:G218)</f>
        <v>931101568</v>
      </c>
      <c r="H219" s="134"/>
      <c r="I219" s="134"/>
      <c r="J219" s="56">
        <v>0</v>
      </c>
      <c r="K219" s="130"/>
    </row>
    <row r="220" spans="1:11" x14ac:dyDescent="0.25">
      <c r="A220" s="186"/>
      <c r="B220" s="2"/>
      <c r="C220" s="187"/>
      <c r="D220" s="188"/>
      <c r="E220" s="183"/>
      <c r="F220" s="183"/>
      <c r="G220" s="184"/>
      <c r="H220" s="183"/>
      <c r="I220" s="183"/>
      <c r="J220" s="189"/>
      <c r="K220" s="53"/>
    </row>
    <row r="221" spans="1:11" x14ac:dyDescent="0.25">
      <c r="A221" s="50"/>
      <c r="B221" s="5"/>
      <c r="C221" s="50"/>
      <c r="D221" s="9"/>
      <c r="E221" s="23"/>
      <c r="F221" s="23"/>
      <c r="G221" s="11"/>
      <c r="H221" s="23"/>
      <c r="I221" s="23"/>
      <c r="J221" s="9"/>
      <c r="K221" s="9"/>
    </row>
    <row r="222" spans="1:11" x14ac:dyDescent="0.25">
      <c r="A222" s="1088" t="s">
        <v>2</v>
      </c>
      <c r="B222" s="1094" t="s">
        <v>133</v>
      </c>
      <c r="C222" s="886"/>
      <c r="D222" s="1097" t="s">
        <v>5</v>
      </c>
      <c r="E222" s="1098"/>
      <c r="F222" s="1099"/>
      <c r="G222" s="1100" t="s">
        <v>6</v>
      </c>
      <c r="H222" s="1101"/>
      <c r="I222" s="1102"/>
      <c r="J222" s="1088" t="s">
        <v>7</v>
      </c>
      <c r="K222" s="108" t="s">
        <v>8</v>
      </c>
    </row>
    <row r="223" spans="1:11" x14ac:dyDescent="0.25">
      <c r="A223" s="1092"/>
      <c r="B223" s="1095"/>
      <c r="C223" s="887" t="s">
        <v>4</v>
      </c>
      <c r="D223" s="109" t="s">
        <v>9</v>
      </c>
      <c r="E223" s="110" t="s">
        <v>10</v>
      </c>
      <c r="F223" s="110" t="s">
        <v>11</v>
      </c>
      <c r="G223" s="111" t="s">
        <v>12</v>
      </c>
      <c r="H223" s="110" t="s">
        <v>13</v>
      </c>
      <c r="I223" s="110" t="s">
        <v>11</v>
      </c>
      <c r="J223" s="1092"/>
      <c r="K223" s="109"/>
    </row>
    <row r="224" spans="1:11" x14ac:dyDescent="0.25">
      <c r="A224" s="1093"/>
      <c r="B224" s="1096"/>
      <c r="C224" s="888"/>
      <c r="D224" s="112" t="s">
        <v>14</v>
      </c>
      <c r="E224" s="113" t="s">
        <v>14</v>
      </c>
      <c r="F224" s="113" t="s">
        <v>14</v>
      </c>
      <c r="G224" s="114" t="s">
        <v>15</v>
      </c>
      <c r="H224" s="113" t="s">
        <v>14</v>
      </c>
      <c r="I224" s="113" t="s">
        <v>14</v>
      </c>
      <c r="J224" s="112" t="s">
        <v>15</v>
      </c>
      <c r="K224" s="112"/>
    </row>
    <row r="225" spans="1:11" ht="25.5" x14ac:dyDescent="0.25">
      <c r="A225" s="79" t="s">
        <v>180</v>
      </c>
      <c r="B225" s="696" t="s">
        <v>379</v>
      </c>
      <c r="C225" s="291"/>
      <c r="D225" s="10"/>
      <c r="E225" s="34"/>
      <c r="F225" s="34"/>
      <c r="G225" s="6"/>
      <c r="H225" s="34"/>
      <c r="I225" s="34"/>
      <c r="J225" s="10"/>
      <c r="K225" s="10"/>
    </row>
    <row r="226" spans="1:11" ht="25.5" x14ac:dyDescent="0.25">
      <c r="A226" s="125" t="s">
        <v>181</v>
      </c>
      <c r="B226" s="697" t="s">
        <v>380</v>
      </c>
      <c r="C226" s="87">
        <f>SUM(C227:C238)</f>
        <v>185000000</v>
      </c>
      <c r="D226" s="10"/>
      <c r="E226" s="34"/>
      <c r="F226" s="34"/>
      <c r="G226" s="6"/>
      <c r="H226" s="34"/>
      <c r="I226" s="34"/>
      <c r="J226" s="10"/>
      <c r="K226" s="10"/>
    </row>
    <row r="227" spans="1:11" ht="25.5" x14ac:dyDescent="0.25">
      <c r="A227" s="49" t="s">
        <v>44</v>
      </c>
      <c r="B227" s="707" t="s">
        <v>384</v>
      </c>
      <c r="C227" s="172">
        <v>8580000</v>
      </c>
      <c r="D227" s="134">
        <f>C227/C226*100</f>
        <v>4.6378378378378375</v>
      </c>
      <c r="E227" s="134">
        <f t="shared" ref="E227:E236" si="87">G227/C227*100</f>
        <v>100</v>
      </c>
      <c r="F227" s="134">
        <f t="shared" ref="F227:F236" si="88">(D227*E227)/100</f>
        <v>4.6378378378378375</v>
      </c>
      <c r="G227" s="181">
        <f>8580000</f>
        <v>8580000</v>
      </c>
      <c r="H227" s="134">
        <f t="shared" ref="H227:H236" si="89">G227/C227*100</f>
        <v>100</v>
      </c>
      <c r="I227" s="134">
        <f t="shared" ref="I227:I236" si="90">(D227*H227)/100</f>
        <v>4.6378378378378375</v>
      </c>
      <c r="J227" s="6">
        <f t="shared" ref="J227:J238" si="91">G227-C227</f>
        <v>0</v>
      </c>
      <c r="K227" s="10"/>
    </row>
    <row r="228" spans="1:11" x14ac:dyDescent="0.25">
      <c r="A228" s="49" t="s">
        <v>59</v>
      </c>
      <c r="B228" s="707" t="s">
        <v>197</v>
      </c>
      <c r="C228" s="256">
        <v>9515700</v>
      </c>
      <c r="D228" s="134">
        <f>C228/C226*100</f>
        <v>5.1436216216216222</v>
      </c>
      <c r="E228" s="134">
        <f t="shared" si="87"/>
        <v>99.762497766848469</v>
      </c>
      <c r="F228" s="134">
        <f t="shared" si="88"/>
        <v>5.1314054054054052</v>
      </c>
      <c r="G228" s="181">
        <f>6993100+2500000</f>
        <v>9493100</v>
      </c>
      <c r="H228" s="134">
        <f t="shared" si="89"/>
        <v>99.762497766848469</v>
      </c>
      <c r="I228" s="134">
        <f t="shared" si="90"/>
        <v>5.1314054054054052</v>
      </c>
      <c r="J228" s="6">
        <f t="shared" si="91"/>
        <v>-22600</v>
      </c>
      <c r="K228" s="10"/>
    </row>
    <row r="229" spans="1:11" x14ac:dyDescent="0.25">
      <c r="A229" s="49" t="s">
        <v>62</v>
      </c>
      <c r="B229" s="707" t="s">
        <v>334</v>
      </c>
      <c r="C229" s="256">
        <v>4450000</v>
      </c>
      <c r="D229" s="134">
        <f>C229/C226*100</f>
        <v>2.4054054054054053</v>
      </c>
      <c r="E229" s="134">
        <f t="shared" si="87"/>
        <v>100</v>
      </c>
      <c r="F229" s="134">
        <f t="shared" si="88"/>
        <v>2.4054054054054053</v>
      </c>
      <c r="G229" s="181">
        <f>4450000</f>
        <v>4450000</v>
      </c>
      <c r="H229" s="134">
        <f t="shared" si="89"/>
        <v>100</v>
      </c>
      <c r="I229" s="134">
        <f t="shared" si="90"/>
        <v>2.4054054054054053</v>
      </c>
      <c r="J229" s="6">
        <f t="shared" si="91"/>
        <v>0</v>
      </c>
      <c r="K229" s="10"/>
    </row>
    <row r="230" spans="1:11" ht="25.5" x14ac:dyDescent="0.25">
      <c r="A230" s="49"/>
      <c r="B230" s="707" t="s">
        <v>532</v>
      </c>
      <c r="C230" s="256">
        <v>3500000</v>
      </c>
      <c r="D230" s="134"/>
      <c r="E230" s="134"/>
      <c r="F230" s="134"/>
      <c r="G230" s="181">
        <f>3500000</f>
        <v>3500000</v>
      </c>
      <c r="H230" s="134"/>
      <c r="I230" s="134"/>
      <c r="J230" s="6">
        <f t="shared" si="91"/>
        <v>0</v>
      </c>
      <c r="K230" s="10"/>
    </row>
    <row r="231" spans="1:11" x14ac:dyDescent="0.25">
      <c r="A231" s="49" t="s">
        <v>77</v>
      </c>
      <c r="B231" s="49" t="s">
        <v>135</v>
      </c>
      <c r="C231" s="174">
        <v>73080000</v>
      </c>
      <c r="D231" s="134">
        <f>C231/C226*100</f>
        <v>39.502702702702699</v>
      </c>
      <c r="E231" s="134">
        <f t="shared" si="87"/>
        <v>45.340722495894909</v>
      </c>
      <c r="F231" s="134">
        <f t="shared" si="88"/>
        <v>17.910810810810808</v>
      </c>
      <c r="G231" s="181">
        <f>17250000+15885000</f>
        <v>33135000</v>
      </c>
      <c r="H231" s="134">
        <f t="shared" si="89"/>
        <v>45.340722495894909</v>
      </c>
      <c r="I231" s="134">
        <f t="shared" si="90"/>
        <v>17.910810810810808</v>
      </c>
      <c r="J231" s="6">
        <f t="shared" si="91"/>
        <v>-39945000</v>
      </c>
      <c r="K231" s="10"/>
    </row>
    <row r="232" spans="1:11" x14ac:dyDescent="0.25">
      <c r="A232" s="49"/>
      <c r="B232" s="170" t="s">
        <v>178</v>
      </c>
      <c r="C232" s="174">
        <v>5125000</v>
      </c>
      <c r="D232" s="134"/>
      <c r="E232" s="134"/>
      <c r="F232" s="134"/>
      <c r="G232" s="181"/>
      <c r="H232" s="134"/>
      <c r="I232" s="134"/>
      <c r="J232" s="6">
        <f t="shared" si="91"/>
        <v>-5125000</v>
      </c>
      <c r="K232" s="10"/>
    </row>
    <row r="233" spans="1:11" x14ac:dyDescent="0.25">
      <c r="A233" s="49" t="s">
        <v>104</v>
      </c>
      <c r="B233" s="170" t="s">
        <v>179</v>
      </c>
      <c r="C233" s="172">
        <v>33400000</v>
      </c>
      <c r="D233" s="134">
        <f>C233/C226*100</f>
        <v>18.054054054054053</v>
      </c>
      <c r="E233" s="134">
        <f t="shared" si="87"/>
        <v>100</v>
      </c>
      <c r="F233" s="134">
        <f t="shared" si="88"/>
        <v>18.054054054054053</v>
      </c>
      <c r="G233" s="181">
        <f>33400000</f>
        <v>33400000</v>
      </c>
      <c r="H233" s="134">
        <f t="shared" si="89"/>
        <v>100</v>
      </c>
      <c r="I233" s="134">
        <f t="shared" si="90"/>
        <v>18.054054054054053</v>
      </c>
      <c r="J233" s="6">
        <f t="shared" si="91"/>
        <v>0</v>
      </c>
      <c r="K233" s="10"/>
    </row>
    <row r="234" spans="1:11" ht="25.5" x14ac:dyDescent="0.25">
      <c r="A234" s="49" t="s">
        <v>106</v>
      </c>
      <c r="B234" s="316" t="s">
        <v>375</v>
      </c>
      <c r="C234" s="178">
        <v>16500000</v>
      </c>
      <c r="D234" s="134">
        <f>C234/C226*100</f>
        <v>8.9189189189189193</v>
      </c>
      <c r="E234" s="134">
        <f t="shared" si="87"/>
        <v>74.545454545454547</v>
      </c>
      <c r="F234" s="134">
        <f t="shared" si="88"/>
        <v>6.6486486486486491</v>
      </c>
      <c r="G234" s="181">
        <f>12300000</f>
        <v>12300000</v>
      </c>
      <c r="H234" s="134">
        <f t="shared" si="89"/>
        <v>74.545454545454547</v>
      </c>
      <c r="I234" s="134">
        <f t="shared" si="90"/>
        <v>6.6486486486486491</v>
      </c>
      <c r="J234" s="6">
        <f t="shared" si="91"/>
        <v>-4200000</v>
      </c>
      <c r="K234" s="10"/>
    </row>
    <row r="235" spans="1:11" x14ac:dyDescent="0.25">
      <c r="A235" s="49"/>
      <c r="B235" s="316" t="s">
        <v>533</v>
      </c>
      <c r="C235" s="178">
        <v>2500000</v>
      </c>
      <c r="D235" s="134"/>
      <c r="E235" s="134"/>
      <c r="F235" s="134"/>
      <c r="G235" s="181">
        <f>2500000</f>
        <v>2500000</v>
      </c>
      <c r="H235" s="134"/>
      <c r="I235" s="134"/>
      <c r="J235" s="6">
        <f t="shared" si="91"/>
        <v>0</v>
      </c>
      <c r="K235" s="10"/>
    </row>
    <row r="236" spans="1:11" ht="25.5" x14ac:dyDescent="0.25">
      <c r="A236" s="49" t="s">
        <v>116</v>
      </c>
      <c r="B236" s="133" t="s">
        <v>371</v>
      </c>
      <c r="C236" s="178">
        <v>4824300</v>
      </c>
      <c r="D236" s="134">
        <f>C236/C226*100</f>
        <v>2.6077297297297299</v>
      </c>
      <c r="E236" s="134">
        <f t="shared" si="87"/>
        <v>100</v>
      </c>
      <c r="F236" s="134">
        <f t="shared" si="88"/>
        <v>2.6077297297297299</v>
      </c>
      <c r="G236" s="181">
        <f>2999800+1824500</f>
        <v>4824300</v>
      </c>
      <c r="H236" s="134">
        <f t="shared" si="89"/>
        <v>100</v>
      </c>
      <c r="I236" s="134">
        <f t="shared" si="90"/>
        <v>2.6077297297297299</v>
      </c>
      <c r="J236" s="6">
        <f t="shared" si="91"/>
        <v>0</v>
      </c>
      <c r="K236" s="10"/>
    </row>
    <row r="237" spans="1:11" x14ac:dyDescent="0.25">
      <c r="A237" s="749" t="s">
        <v>121</v>
      </c>
      <c r="B237" s="315" t="s">
        <v>191</v>
      </c>
      <c r="C237" s="178">
        <v>19400000</v>
      </c>
      <c r="D237" s="134"/>
      <c r="E237" s="134"/>
      <c r="F237" s="134"/>
      <c r="G237" s="181">
        <f>19400000</f>
        <v>19400000</v>
      </c>
      <c r="H237" s="134"/>
      <c r="I237" s="134"/>
      <c r="J237" s="6">
        <f t="shared" si="91"/>
        <v>0</v>
      </c>
      <c r="K237" s="10"/>
    </row>
    <row r="238" spans="1:11" x14ac:dyDescent="0.25">
      <c r="A238" s="749" t="s">
        <v>407</v>
      </c>
      <c r="B238" s="133" t="s">
        <v>424</v>
      </c>
      <c r="C238" s="178">
        <v>4125000</v>
      </c>
      <c r="D238" s="134"/>
      <c r="E238" s="134"/>
      <c r="F238" s="134"/>
      <c r="G238" s="181">
        <v>4125000</v>
      </c>
      <c r="H238" s="134"/>
      <c r="I238" s="134"/>
      <c r="J238" s="6">
        <f t="shared" si="91"/>
        <v>0</v>
      </c>
      <c r="K238" s="10"/>
    </row>
    <row r="239" spans="1:11" x14ac:dyDescent="0.25">
      <c r="A239" s="70"/>
      <c r="B239" s="890" t="s">
        <v>136</v>
      </c>
      <c r="C239" s="43">
        <f>SUM(C227:C238)</f>
        <v>185000000</v>
      </c>
      <c r="D239" s="12">
        <f>SUM(D227:D236)</f>
        <v>81.27027027027026</v>
      </c>
      <c r="E239" s="134"/>
      <c r="F239" s="134"/>
      <c r="G239" s="837">
        <f>SUM(G227:G238)</f>
        <v>135707400</v>
      </c>
      <c r="H239" s="134"/>
      <c r="I239" s="134"/>
      <c r="J239" s="734"/>
      <c r="K239" s="3"/>
    </row>
    <row r="240" spans="1:11" x14ac:dyDescent="0.25">
      <c r="A240" s="53"/>
      <c r="B240" s="5"/>
      <c r="C240" s="189"/>
      <c r="D240" s="29"/>
      <c r="E240" s="30"/>
      <c r="F240" s="23"/>
      <c r="G240" s="11"/>
      <c r="H240" s="32"/>
      <c r="I240" s="23"/>
      <c r="J240" s="15"/>
      <c r="K240" s="37"/>
    </row>
    <row r="241" spans="1:14" ht="31.5" x14ac:dyDescent="0.25">
      <c r="A241" s="55"/>
      <c r="B241" s="46" t="s">
        <v>145</v>
      </c>
      <c r="C241" s="155"/>
      <c r="D241" s="44"/>
      <c r="E241" s="45"/>
      <c r="F241" s="45"/>
      <c r="G241" s="48"/>
      <c r="H241" s="45"/>
      <c r="I241" s="45"/>
      <c r="J241" s="44"/>
      <c r="K241" s="44"/>
      <c r="L241" s="1"/>
      <c r="M241" s="1"/>
      <c r="N241" s="1"/>
    </row>
    <row r="242" spans="1:14" x14ac:dyDescent="0.25">
      <c r="A242" s="1087" t="s">
        <v>2</v>
      </c>
      <c r="B242" s="1089" t="s">
        <v>169</v>
      </c>
      <c r="C242" s="1087" t="s">
        <v>4</v>
      </c>
      <c r="D242" s="1090" t="s">
        <v>5</v>
      </c>
      <c r="E242" s="1090"/>
      <c r="F242" s="1090"/>
      <c r="G242" s="1091" t="s">
        <v>6</v>
      </c>
      <c r="H242" s="1091"/>
      <c r="I242" s="1091"/>
      <c r="J242" s="1087" t="s">
        <v>7</v>
      </c>
      <c r="K242" s="108" t="s">
        <v>8</v>
      </c>
    </row>
    <row r="243" spans="1:14" x14ac:dyDescent="0.25">
      <c r="A243" s="1087"/>
      <c r="B243" s="1089"/>
      <c r="C243" s="1087"/>
      <c r="D243" s="108" t="s">
        <v>9</v>
      </c>
      <c r="E243" s="300" t="s">
        <v>10</v>
      </c>
      <c r="F243" s="300" t="s">
        <v>11</v>
      </c>
      <c r="G243" s="301" t="s">
        <v>12</v>
      </c>
      <c r="H243" s="300" t="s">
        <v>13</v>
      </c>
      <c r="I243" s="300" t="s">
        <v>11</v>
      </c>
      <c r="J243" s="1088"/>
      <c r="K243" s="109"/>
    </row>
    <row r="244" spans="1:14" x14ac:dyDescent="0.25">
      <c r="A244" s="1087"/>
      <c r="B244" s="1089"/>
      <c r="C244" s="1087"/>
      <c r="D244" s="112" t="s">
        <v>14</v>
      </c>
      <c r="E244" s="113" t="s">
        <v>14</v>
      </c>
      <c r="F244" s="113" t="s">
        <v>14</v>
      </c>
      <c r="G244" s="114" t="s">
        <v>15</v>
      </c>
      <c r="H244" s="113" t="s">
        <v>14</v>
      </c>
      <c r="I244" s="113" t="s">
        <v>14</v>
      </c>
      <c r="J244" s="112" t="s">
        <v>15</v>
      </c>
      <c r="K244" s="112"/>
    </row>
    <row r="245" spans="1:14" x14ac:dyDescent="0.25">
      <c r="A245" s="79" t="s">
        <v>185</v>
      </c>
      <c r="B245" s="199" t="s">
        <v>146</v>
      </c>
      <c r="C245" s="24"/>
      <c r="D245" s="10"/>
      <c r="E245" s="34"/>
      <c r="F245" s="34"/>
      <c r="G245" s="6"/>
      <c r="H245" s="34"/>
      <c r="I245" s="34"/>
      <c r="J245" s="10"/>
      <c r="K245" s="10"/>
    </row>
    <row r="246" spans="1:14" x14ac:dyDescent="0.25">
      <c r="A246" s="125" t="s">
        <v>184</v>
      </c>
      <c r="B246" s="280" t="s">
        <v>147</v>
      </c>
      <c r="C246" s="252">
        <f>SUM(C247:C248)</f>
        <v>2905640000</v>
      </c>
      <c r="D246" s="10"/>
      <c r="E246" s="34"/>
      <c r="F246" s="34"/>
      <c r="G246" s="6"/>
      <c r="H246" s="34"/>
      <c r="I246" s="34"/>
      <c r="J246" s="10"/>
      <c r="K246" s="10"/>
    </row>
    <row r="247" spans="1:14" ht="25.5" x14ac:dyDescent="0.25">
      <c r="A247" s="313" t="s">
        <v>44</v>
      </c>
      <c r="B247" s="707" t="s">
        <v>384</v>
      </c>
      <c r="C247" s="253">
        <v>35640000</v>
      </c>
      <c r="D247" s="134">
        <f>C247/C246*100</f>
        <v>1.2265800305612533</v>
      </c>
      <c r="E247" s="134">
        <f t="shared" ref="E247:E248" si="92">G247/C247*100</f>
        <v>50</v>
      </c>
      <c r="F247" s="134">
        <f t="shared" ref="F247:F248" si="93">(D247*E247)/100</f>
        <v>0.61329001528062665</v>
      </c>
      <c r="G247" s="181">
        <f>17820000</f>
        <v>17820000</v>
      </c>
      <c r="H247" s="134">
        <f t="shared" ref="H247:H248" si="94">G247/C247*100</f>
        <v>50</v>
      </c>
      <c r="I247" s="134">
        <f t="shared" ref="I247:I248" si="95">(D247*H247)/100</f>
        <v>0.61329001528062665</v>
      </c>
      <c r="J247" s="6">
        <f t="shared" ref="J247:J248" si="96">G247-C247</f>
        <v>-17820000</v>
      </c>
      <c r="K247" s="10"/>
    </row>
    <row r="248" spans="1:14" x14ac:dyDescent="0.25">
      <c r="A248" s="49" t="s">
        <v>148</v>
      </c>
      <c r="B248" s="133" t="s">
        <v>534</v>
      </c>
      <c r="C248" s="256">
        <v>2870000000</v>
      </c>
      <c r="D248" s="268">
        <f>C248/C246*100</f>
        <v>98.773419969438748</v>
      </c>
      <c r="E248" s="134">
        <f t="shared" si="92"/>
        <v>37.161222996515683</v>
      </c>
      <c r="F248" s="134">
        <f t="shared" si="93"/>
        <v>36.70541085612809</v>
      </c>
      <c r="G248" s="181">
        <f>1066527100</f>
        <v>1066527100</v>
      </c>
      <c r="H248" s="134">
        <f t="shared" si="94"/>
        <v>37.161222996515683</v>
      </c>
      <c r="I248" s="134">
        <f t="shared" si="95"/>
        <v>36.70541085612809</v>
      </c>
      <c r="J248" s="6">
        <f t="shared" si="96"/>
        <v>-1803472900</v>
      </c>
      <c r="K248" s="3"/>
    </row>
    <row r="249" spans="1:14" x14ac:dyDescent="0.25">
      <c r="A249" s="71"/>
      <c r="B249" s="76" t="s">
        <v>95</v>
      </c>
      <c r="C249" s="808">
        <f>SUM(C247:C248)</f>
        <v>2905640000</v>
      </c>
      <c r="D249" s="274">
        <f>SUM(D247:D248)</f>
        <v>100</v>
      </c>
      <c r="E249" s="134"/>
      <c r="F249" s="134"/>
      <c r="G249" s="181">
        <f>SUM(G247:G248)</f>
        <v>1084347100</v>
      </c>
      <c r="H249" s="134"/>
      <c r="I249" s="134"/>
      <c r="J249" s="734"/>
      <c r="K249" s="40"/>
    </row>
    <row r="250" spans="1:14" x14ac:dyDescent="0.25">
      <c r="A250" s="53"/>
      <c r="B250" s="5"/>
      <c r="C250" s="189"/>
      <c r="D250" s="29"/>
      <c r="E250" s="30"/>
      <c r="F250" s="23"/>
      <c r="G250" s="11"/>
      <c r="H250" s="32"/>
      <c r="I250" s="23"/>
      <c r="J250" s="15"/>
      <c r="K250" s="37"/>
    </row>
    <row r="251" spans="1:14" x14ac:dyDescent="0.25">
      <c r="A251" s="1087" t="s">
        <v>2</v>
      </c>
      <c r="B251" s="1089" t="s">
        <v>169</v>
      </c>
      <c r="C251" s="1087" t="s">
        <v>4</v>
      </c>
      <c r="D251" s="1090" t="s">
        <v>5</v>
      </c>
      <c r="E251" s="1090"/>
      <c r="F251" s="1090"/>
      <c r="G251" s="1091" t="s">
        <v>6</v>
      </c>
      <c r="H251" s="1091"/>
      <c r="I251" s="1091"/>
      <c r="J251" s="1087" t="s">
        <v>7</v>
      </c>
      <c r="K251" s="108" t="s">
        <v>8</v>
      </c>
    </row>
    <row r="252" spans="1:14" x14ac:dyDescent="0.25">
      <c r="A252" s="1087"/>
      <c r="B252" s="1089"/>
      <c r="C252" s="1087"/>
      <c r="D252" s="108" t="s">
        <v>9</v>
      </c>
      <c r="E252" s="300" t="s">
        <v>10</v>
      </c>
      <c r="F252" s="300" t="s">
        <v>11</v>
      </c>
      <c r="G252" s="301" t="s">
        <v>12</v>
      </c>
      <c r="H252" s="300" t="s">
        <v>13</v>
      </c>
      <c r="I252" s="300" t="s">
        <v>11</v>
      </c>
      <c r="J252" s="1088"/>
      <c r="K252" s="109"/>
    </row>
    <row r="253" spans="1:14" x14ac:dyDescent="0.25">
      <c r="A253" s="1087"/>
      <c r="B253" s="1089"/>
      <c r="C253" s="1087"/>
      <c r="D253" s="112" t="s">
        <v>14</v>
      </c>
      <c r="E253" s="113" t="s">
        <v>14</v>
      </c>
      <c r="F253" s="113" t="s">
        <v>14</v>
      </c>
      <c r="G253" s="114" t="s">
        <v>15</v>
      </c>
      <c r="H253" s="113" t="s">
        <v>14</v>
      </c>
      <c r="I253" s="113" t="s">
        <v>14</v>
      </c>
      <c r="J253" s="112" t="s">
        <v>15</v>
      </c>
      <c r="K253" s="112"/>
    </row>
    <row r="254" spans="1:14" x14ac:dyDescent="0.25">
      <c r="A254" s="79" t="s">
        <v>185</v>
      </c>
      <c r="B254" s="199" t="s">
        <v>146</v>
      </c>
      <c r="C254" s="24"/>
      <c r="D254" s="10"/>
      <c r="E254" s="34"/>
      <c r="F254" s="34"/>
      <c r="G254" s="6"/>
      <c r="H254" s="34"/>
      <c r="I254" s="34"/>
      <c r="J254" s="10"/>
      <c r="K254" s="10"/>
    </row>
    <row r="255" spans="1:14" x14ac:dyDescent="0.25">
      <c r="A255" s="125" t="s">
        <v>187</v>
      </c>
      <c r="B255" s="280" t="s">
        <v>150</v>
      </c>
      <c r="C255" s="252">
        <f>SUM(C256:C260)</f>
        <v>1761745176</v>
      </c>
      <c r="D255" s="10"/>
      <c r="E255" s="34"/>
      <c r="F255" s="34"/>
      <c r="G255" s="6"/>
      <c r="H255" s="34"/>
      <c r="I255" s="34"/>
      <c r="J255" s="10"/>
      <c r="K255" s="10"/>
    </row>
    <row r="256" spans="1:14" ht="25.5" x14ac:dyDescent="0.25">
      <c r="A256" s="313" t="s">
        <v>44</v>
      </c>
      <c r="B256" s="707" t="s">
        <v>384</v>
      </c>
      <c r="C256" s="253">
        <v>30210000</v>
      </c>
      <c r="D256" s="134">
        <f>C256/C255*100</f>
        <v>1.7147769388868757</v>
      </c>
      <c r="E256" s="134">
        <f t="shared" ref="E256:E259" si="97">G256/C256*100</f>
        <v>0</v>
      </c>
      <c r="F256" s="134">
        <f t="shared" ref="F256:F259" si="98">(D256*E256)/100</f>
        <v>0</v>
      </c>
      <c r="G256" s="181">
        <v>0</v>
      </c>
      <c r="H256" s="134">
        <f t="shared" ref="H256:H259" si="99">G256/C256*100</f>
        <v>0</v>
      </c>
      <c r="I256" s="134">
        <f t="shared" ref="I256:I259" si="100">(D256*H256)/100</f>
        <v>0</v>
      </c>
      <c r="J256" s="6">
        <f t="shared" ref="J256:J260" si="101">G256-C256</f>
        <v>-30210000</v>
      </c>
      <c r="K256" s="10"/>
    </row>
    <row r="257" spans="1:11" x14ac:dyDescent="0.25">
      <c r="A257" s="313" t="s">
        <v>59</v>
      </c>
      <c r="B257" s="707" t="s">
        <v>197</v>
      </c>
      <c r="C257" s="253">
        <v>690000</v>
      </c>
      <c r="D257" s="134">
        <f>C257/C255*100</f>
        <v>3.9165709627009077E-2</v>
      </c>
      <c r="E257" s="134">
        <f t="shared" si="97"/>
        <v>100</v>
      </c>
      <c r="F257" s="134">
        <f t="shared" si="98"/>
        <v>3.9165709627009077E-2</v>
      </c>
      <c r="G257" s="181">
        <f>690000</f>
        <v>690000</v>
      </c>
      <c r="H257" s="134">
        <f t="shared" si="99"/>
        <v>100</v>
      </c>
      <c r="I257" s="134">
        <f t="shared" si="100"/>
        <v>3.9165709627009077E-2</v>
      </c>
      <c r="J257" s="6">
        <f t="shared" si="101"/>
        <v>0</v>
      </c>
      <c r="K257" s="10"/>
    </row>
    <row r="258" spans="1:11" x14ac:dyDescent="0.25">
      <c r="A258" s="312" t="s">
        <v>157</v>
      </c>
      <c r="B258" s="133" t="s">
        <v>534</v>
      </c>
      <c r="C258" s="256">
        <v>1230000000</v>
      </c>
      <c r="D258" s="134">
        <f>C258/C255*100</f>
        <v>69.817134552494437</v>
      </c>
      <c r="E258" s="134">
        <f t="shared" si="97"/>
        <v>35.005886178861786</v>
      </c>
      <c r="F258" s="134">
        <f t="shared" si="98"/>
        <v>24.440106654788988</v>
      </c>
      <c r="G258" s="181">
        <f>426572400+4000000</f>
        <v>430572400</v>
      </c>
      <c r="H258" s="134">
        <f t="shared" si="99"/>
        <v>35.005886178861786</v>
      </c>
      <c r="I258" s="134">
        <f t="shared" si="100"/>
        <v>24.440106654788988</v>
      </c>
      <c r="J258" s="6">
        <f t="shared" si="101"/>
        <v>-799427600</v>
      </c>
      <c r="K258" s="10"/>
    </row>
    <row r="259" spans="1:11" s="84" customFormat="1" ht="25.5" x14ac:dyDescent="0.2">
      <c r="A259" s="312" t="s">
        <v>152</v>
      </c>
      <c r="B259" s="133" t="s">
        <v>159</v>
      </c>
      <c r="C259" s="256">
        <v>492000000</v>
      </c>
      <c r="D259" s="134">
        <f>C259/C255*100</f>
        <v>27.926853820997778</v>
      </c>
      <c r="E259" s="134">
        <f t="shared" si="97"/>
        <v>41.666666666666671</v>
      </c>
      <c r="F259" s="134">
        <f t="shared" si="98"/>
        <v>11.636189092082409</v>
      </c>
      <c r="G259" s="181">
        <f>205000000</f>
        <v>205000000</v>
      </c>
      <c r="H259" s="134">
        <f t="shared" si="99"/>
        <v>41.666666666666671</v>
      </c>
      <c r="I259" s="134">
        <f t="shared" si="100"/>
        <v>11.636189092082409</v>
      </c>
      <c r="J259" s="6">
        <f t="shared" si="101"/>
        <v>-287000000</v>
      </c>
      <c r="K259" s="38"/>
    </row>
    <row r="260" spans="1:11" s="84" customFormat="1" x14ac:dyDescent="0.2">
      <c r="A260" s="749" t="s">
        <v>234</v>
      </c>
      <c r="B260" s="133" t="s">
        <v>522</v>
      </c>
      <c r="C260" s="256">
        <v>8845176</v>
      </c>
      <c r="D260" s="804"/>
      <c r="E260" s="134"/>
      <c r="F260" s="134"/>
      <c r="G260" s="181">
        <f>8197968</f>
        <v>8197968</v>
      </c>
      <c r="H260" s="134"/>
      <c r="I260" s="134"/>
      <c r="J260" s="6">
        <f t="shared" si="101"/>
        <v>-647208</v>
      </c>
      <c r="K260" s="805"/>
    </row>
    <row r="261" spans="1:11" x14ac:dyDescent="0.25">
      <c r="A261" s="70"/>
      <c r="B261" s="129" t="s">
        <v>95</v>
      </c>
      <c r="C261" s="807">
        <f>SUM(C256:C260)</f>
        <v>1761745176</v>
      </c>
      <c r="D261" s="271">
        <f>SUM(D256:D259)</f>
        <v>99.4979310220061</v>
      </c>
      <c r="E261" s="134"/>
      <c r="F261" s="134"/>
      <c r="G261" s="181">
        <f>SUM(G256:G260)</f>
        <v>644460368</v>
      </c>
      <c r="H261" s="134"/>
      <c r="I261" s="134"/>
      <c r="J261" s="56">
        <v>0</v>
      </c>
      <c r="K261" s="130"/>
    </row>
    <row r="262" spans="1:11" x14ac:dyDescent="0.25">
      <c r="A262" s="53"/>
      <c r="B262" s="5"/>
      <c r="C262" s="189"/>
      <c r="D262" s="29"/>
      <c r="E262" s="30"/>
      <c r="F262" s="23"/>
      <c r="G262" s="11"/>
      <c r="H262" s="32"/>
      <c r="I262" s="23"/>
      <c r="J262" s="15"/>
      <c r="K262" s="37"/>
    </row>
    <row r="263" spans="1:11" x14ac:dyDescent="0.25">
      <c r="A263" s="50"/>
      <c r="B263" s="5"/>
      <c r="C263" s="50"/>
      <c r="D263" s="9"/>
      <c r="E263" s="23"/>
      <c r="F263" s="23"/>
      <c r="G263" s="11"/>
      <c r="H263" s="23"/>
      <c r="I263" s="23"/>
      <c r="J263" s="9"/>
      <c r="K263" s="9"/>
    </row>
    <row r="264" spans="1:11" x14ac:dyDescent="0.25">
      <c r="A264" s="50"/>
      <c r="B264" s="5"/>
      <c r="C264" s="50"/>
      <c r="D264" s="9"/>
      <c r="E264" s="23"/>
      <c r="F264" s="23"/>
      <c r="G264" s="11"/>
      <c r="H264" s="23"/>
      <c r="I264" s="23"/>
      <c r="J264" s="9"/>
      <c r="K264" s="9"/>
    </row>
    <row r="265" spans="1:11" x14ac:dyDescent="0.25">
      <c r="A265" s="1103" t="s">
        <v>2</v>
      </c>
      <c r="B265" s="1116" t="s">
        <v>137</v>
      </c>
      <c r="C265" s="1103" t="s">
        <v>4</v>
      </c>
      <c r="D265" s="1105" t="s">
        <v>5</v>
      </c>
      <c r="E265" s="1106"/>
      <c r="F265" s="1106"/>
      <c r="G265" s="1107" t="s">
        <v>6</v>
      </c>
      <c r="H265" s="1106"/>
      <c r="I265" s="1106"/>
      <c r="J265" s="1108" t="s">
        <v>7</v>
      </c>
      <c r="K265" s="1108" t="s">
        <v>8</v>
      </c>
    </row>
    <row r="266" spans="1:11" x14ac:dyDescent="0.25">
      <c r="A266" s="1103"/>
      <c r="B266" s="1117"/>
      <c r="C266" s="1103"/>
      <c r="D266" s="102" t="s">
        <v>9</v>
      </c>
      <c r="E266" s="103" t="s">
        <v>10</v>
      </c>
      <c r="F266" s="103" t="s">
        <v>11</v>
      </c>
      <c r="G266" s="104" t="s">
        <v>12</v>
      </c>
      <c r="H266" s="103" t="s">
        <v>13</v>
      </c>
      <c r="I266" s="103" t="s">
        <v>11</v>
      </c>
      <c r="J266" s="1109"/>
      <c r="K266" s="1109"/>
    </row>
    <row r="267" spans="1:11" x14ac:dyDescent="0.25">
      <c r="A267" s="1103"/>
      <c r="B267" s="1118"/>
      <c r="C267" s="1103"/>
      <c r="D267" s="105" t="s">
        <v>14</v>
      </c>
      <c r="E267" s="106" t="s">
        <v>14</v>
      </c>
      <c r="F267" s="106" t="s">
        <v>14</v>
      </c>
      <c r="G267" s="107" t="s">
        <v>15</v>
      </c>
      <c r="H267" s="106" t="s">
        <v>14</v>
      </c>
      <c r="I267" s="106" t="s">
        <v>14</v>
      </c>
      <c r="J267" s="105" t="s">
        <v>15</v>
      </c>
      <c r="K267" s="1110"/>
    </row>
    <row r="268" spans="1:11" ht="25.5" x14ac:dyDescent="0.25">
      <c r="A268" s="79" t="s">
        <v>180</v>
      </c>
      <c r="B268" s="696" t="s">
        <v>379</v>
      </c>
      <c r="C268" s="64"/>
      <c r="D268" s="10"/>
      <c r="E268" s="34"/>
      <c r="F268" s="34"/>
      <c r="G268" s="6"/>
      <c r="H268" s="34"/>
      <c r="I268" s="34"/>
      <c r="J268" s="10"/>
      <c r="K268" s="10"/>
    </row>
    <row r="269" spans="1:11" ht="25.5" x14ac:dyDescent="0.25">
      <c r="A269" s="140" t="s">
        <v>181</v>
      </c>
      <c r="B269" s="697" t="s">
        <v>380</v>
      </c>
      <c r="C269" s="86">
        <f>SUM(C270:C282)</f>
        <v>185000000</v>
      </c>
      <c r="D269" s="179"/>
      <c r="E269" s="168"/>
      <c r="F269" s="168"/>
      <c r="G269" s="169"/>
      <c r="H269" s="168"/>
      <c r="I269" s="168"/>
      <c r="J269" s="167"/>
      <c r="K269" s="167"/>
    </row>
    <row r="270" spans="1:11" ht="25.5" x14ac:dyDescent="0.25">
      <c r="A270" s="170" t="s">
        <v>44</v>
      </c>
      <c r="B270" s="707" t="s">
        <v>384</v>
      </c>
      <c r="C270" s="58">
        <v>8580000</v>
      </c>
      <c r="D270" s="180">
        <f>C270/C269*100</f>
        <v>4.6378378378378375</v>
      </c>
      <c r="E270" s="134">
        <f t="shared" ref="E270:E281" si="102">G270/C270*100</f>
        <v>89.16083916083916</v>
      </c>
      <c r="F270" s="134">
        <f t="shared" ref="F270:F281" si="103">(D270*E270)/100</f>
        <v>4.1351351351351351</v>
      </c>
      <c r="G270" s="181">
        <f>7650000</f>
        <v>7650000</v>
      </c>
      <c r="H270" s="134">
        <f t="shared" ref="H270:H281" si="104">G270/C270*100</f>
        <v>89.16083916083916</v>
      </c>
      <c r="I270" s="134">
        <f t="shared" ref="I270:I281" si="105">(D270*H270)/100</f>
        <v>4.1351351351351351</v>
      </c>
      <c r="J270" s="6">
        <f t="shared" ref="J270:J282" si="106">G270-C270</f>
        <v>-930000</v>
      </c>
      <c r="K270" s="167"/>
    </row>
    <row r="271" spans="1:11" x14ac:dyDescent="0.25">
      <c r="A271" s="170" t="s">
        <v>221</v>
      </c>
      <c r="B271" s="707" t="s">
        <v>530</v>
      </c>
      <c r="C271" s="58">
        <v>1350000</v>
      </c>
      <c r="D271" s="180"/>
      <c r="E271" s="134"/>
      <c r="F271" s="134"/>
      <c r="G271" s="181">
        <f>1350000</f>
        <v>1350000</v>
      </c>
      <c r="H271" s="134"/>
      <c r="I271" s="134"/>
      <c r="J271" s="6">
        <f t="shared" si="106"/>
        <v>0</v>
      </c>
      <c r="K271" s="167"/>
    </row>
    <row r="272" spans="1:11" x14ac:dyDescent="0.25">
      <c r="A272" s="170" t="s">
        <v>59</v>
      </c>
      <c r="B272" s="707" t="s">
        <v>197</v>
      </c>
      <c r="C272" s="58">
        <v>14728000</v>
      </c>
      <c r="D272" s="729">
        <f>C272/C269*100</f>
        <v>7.9610810810810815</v>
      </c>
      <c r="E272" s="134">
        <f t="shared" si="102"/>
        <v>88.267246061922862</v>
      </c>
      <c r="F272" s="134">
        <f t="shared" si="103"/>
        <v>7.0270270270270272</v>
      </c>
      <c r="G272" s="181">
        <f>8000000+5000000</f>
        <v>13000000</v>
      </c>
      <c r="H272" s="134">
        <f t="shared" si="104"/>
        <v>88.267246061922862</v>
      </c>
      <c r="I272" s="134">
        <f t="shared" si="105"/>
        <v>7.0270270270270272</v>
      </c>
      <c r="J272" s="6">
        <f t="shared" si="106"/>
        <v>-1728000</v>
      </c>
      <c r="K272" s="167"/>
    </row>
    <row r="273" spans="1:14" x14ac:dyDescent="0.25">
      <c r="A273" s="170" t="s">
        <v>62</v>
      </c>
      <c r="B273" s="707" t="s">
        <v>334</v>
      </c>
      <c r="C273" s="58">
        <v>8500000</v>
      </c>
      <c r="D273" s="729">
        <f>C273/C269*100</f>
        <v>4.5945945945945947</v>
      </c>
      <c r="E273" s="134">
        <f t="shared" si="102"/>
        <v>94.117647058823522</v>
      </c>
      <c r="F273" s="134">
        <f t="shared" si="103"/>
        <v>4.3243243243243237</v>
      </c>
      <c r="G273" s="181">
        <f>5000000+3000000</f>
        <v>8000000</v>
      </c>
      <c r="H273" s="134">
        <f t="shared" si="104"/>
        <v>94.117647058823522</v>
      </c>
      <c r="I273" s="134">
        <f t="shared" si="105"/>
        <v>4.3243243243243237</v>
      </c>
      <c r="J273" s="6">
        <f t="shared" si="106"/>
        <v>-500000</v>
      </c>
      <c r="K273" s="167"/>
    </row>
    <row r="274" spans="1:14" x14ac:dyDescent="0.25">
      <c r="A274" s="49" t="s">
        <v>148</v>
      </c>
      <c r="B274" s="133" t="s">
        <v>534</v>
      </c>
      <c r="C274" s="58">
        <v>10500000</v>
      </c>
      <c r="D274" s="729"/>
      <c r="E274" s="134"/>
      <c r="F274" s="134"/>
      <c r="G274" s="181">
        <f>10500000</f>
        <v>10500000</v>
      </c>
      <c r="H274" s="134"/>
      <c r="I274" s="134"/>
      <c r="J274" s="6">
        <f t="shared" si="106"/>
        <v>0</v>
      </c>
      <c r="K274" s="167"/>
    </row>
    <row r="275" spans="1:14" x14ac:dyDescent="0.25">
      <c r="A275" s="170" t="s">
        <v>77</v>
      </c>
      <c r="B275" s="49" t="s">
        <v>135</v>
      </c>
      <c r="C275" s="58">
        <v>72860000</v>
      </c>
      <c r="D275" s="729">
        <f>C275/C269*100</f>
        <v>39.383783783783784</v>
      </c>
      <c r="E275" s="134">
        <f t="shared" si="102"/>
        <v>57.318144386494652</v>
      </c>
      <c r="F275" s="134">
        <f t="shared" si="103"/>
        <v>22.574054054054056</v>
      </c>
      <c r="G275" s="181">
        <f>41762000</f>
        <v>41762000</v>
      </c>
      <c r="H275" s="134">
        <f t="shared" si="104"/>
        <v>57.318144386494652</v>
      </c>
      <c r="I275" s="134">
        <f t="shared" si="105"/>
        <v>22.574054054054056</v>
      </c>
      <c r="J275" s="6">
        <f t="shared" si="106"/>
        <v>-31098000</v>
      </c>
      <c r="K275" s="167"/>
    </row>
    <row r="276" spans="1:14" x14ac:dyDescent="0.25">
      <c r="A276" s="170" t="s">
        <v>104</v>
      </c>
      <c r="B276" s="170" t="s">
        <v>179</v>
      </c>
      <c r="C276" s="58">
        <v>34200000</v>
      </c>
      <c r="D276" s="729">
        <f>C276/C269*100</f>
        <v>18.486486486486488</v>
      </c>
      <c r="E276" s="134">
        <f t="shared" si="102"/>
        <v>100</v>
      </c>
      <c r="F276" s="134">
        <f t="shared" si="103"/>
        <v>18.486486486486488</v>
      </c>
      <c r="G276" s="181">
        <f>34200000</f>
        <v>34200000</v>
      </c>
      <c r="H276" s="134">
        <f t="shared" si="104"/>
        <v>100</v>
      </c>
      <c r="I276" s="134">
        <f t="shared" si="105"/>
        <v>18.486486486486488</v>
      </c>
      <c r="J276" s="6">
        <f t="shared" si="106"/>
        <v>0</v>
      </c>
      <c r="K276" s="167"/>
    </row>
    <row r="277" spans="1:14" x14ac:dyDescent="0.25">
      <c r="A277" s="170" t="s">
        <v>130</v>
      </c>
      <c r="B277" s="170" t="s">
        <v>131</v>
      </c>
      <c r="C277" s="58">
        <v>3000000</v>
      </c>
      <c r="D277" s="729">
        <f>C277/C269*100</f>
        <v>1.6216216216216217</v>
      </c>
      <c r="E277" s="134">
        <f t="shared" si="102"/>
        <v>0</v>
      </c>
      <c r="F277" s="134">
        <f t="shared" si="103"/>
        <v>0</v>
      </c>
      <c r="G277" s="181">
        <v>0</v>
      </c>
      <c r="H277" s="134">
        <f t="shared" si="104"/>
        <v>0</v>
      </c>
      <c r="I277" s="134">
        <f t="shared" si="105"/>
        <v>0</v>
      </c>
      <c r="J277" s="6">
        <f t="shared" si="106"/>
        <v>-3000000</v>
      </c>
      <c r="K277" s="167"/>
    </row>
    <row r="278" spans="1:14" ht="25.5" x14ac:dyDescent="0.25">
      <c r="A278" s="170" t="s">
        <v>106</v>
      </c>
      <c r="B278" s="316" t="s">
        <v>375</v>
      </c>
      <c r="C278" s="58">
        <v>13950000</v>
      </c>
      <c r="D278" s="180">
        <f>C278/C269*100</f>
        <v>7.5405405405405395</v>
      </c>
      <c r="E278" s="134">
        <f t="shared" si="102"/>
        <v>61.29032258064516</v>
      </c>
      <c r="F278" s="134">
        <f t="shared" si="103"/>
        <v>4.621621621621621</v>
      </c>
      <c r="G278" s="181">
        <f>8550000</f>
        <v>8550000</v>
      </c>
      <c r="H278" s="134">
        <f t="shared" si="104"/>
        <v>61.29032258064516</v>
      </c>
      <c r="I278" s="134">
        <f t="shared" si="105"/>
        <v>4.621621621621621</v>
      </c>
      <c r="J278" s="6">
        <f t="shared" si="106"/>
        <v>-5400000</v>
      </c>
      <c r="K278" s="167"/>
    </row>
    <row r="279" spans="1:14" x14ac:dyDescent="0.25">
      <c r="A279" s="170" t="s">
        <v>162</v>
      </c>
      <c r="B279" s="170" t="s">
        <v>535</v>
      </c>
      <c r="C279" s="178">
        <v>2800000</v>
      </c>
      <c r="D279" s="729">
        <f>C279/C269*100</f>
        <v>1.5135135135135136</v>
      </c>
      <c r="E279" s="134">
        <f t="shared" si="102"/>
        <v>100</v>
      </c>
      <c r="F279" s="134">
        <f t="shared" si="103"/>
        <v>1.5135135135135136</v>
      </c>
      <c r="G279" s="181">
        <f>2800000</f>
        <v>2800000</v>
      </c>
      <c r="H279" s="134">
        <f t="shared" si="104"/>
        <v>100</v>
      </c>
      <c r="I279" s="134">
        <f t="shared" si="105"/>
        <v>1.5135135135135136</v>
      </c>
      <c r="J279" s="6">
        <f t="shared" si="106"/>
        <v>0</v>
      </c>
      <c r="K279" s="167"/>
    </row>
    <row r="280" spans="1:14" ht="25.5" x14ac:dyDescent="0.25">
      <c r="A280" s="170" t="s">
        <v>116</v>
      </c>
      <c r="B280" s="750" t="s">
        <v>420</v>
      </c>
      <c r="C280" s="178">
        <v>1057000</v>
      </c>
      <c r="D280" s="729">
        <f>C280/C270*100</f>
        <v>12.319347319347319</v>
      </c>
      <c r="E280" s="134"/>
      <c r="F280" s="134"/>
      <c r="G280" s="181">
        <f>1057000</f>
        <v>1057000</v>
      </c>
      <c r="H280" s="134"/>
      <c r="I280" s="134"/>
      <c r="J280" s="6">
        <f t="shared" si="106"/>
        <v>0</v>
      </c>
      <c r="K280" s="167"/>
    </row>
    <row r="281" spans="1:14" x14ac:dyDescent="0.25">
      <c r="A281" s="170" t="s">
        <v>65</v>
      </c>
      <c r="B281" s="170" t="s">
        <v>190</v>
      </c>
      <c r="C281" s="178">
        <v>7000000</v>
      </c>
      <c r="D281" s="729">
        <f>C281/C269*100</f>
        <v>3.7837837837837842</v>
      </c>
      <c r="E281" s="134">
        <f t="shared" si="102"/>
        <v>99.033714285714282</v>
      </c>
      <c r="F281" s="134">
        <f t="shared" si="103"/>
        <v>3.7472216216216219</v>
      </c>
      <c r="G281" s="181">
        <f>6932360</f>
        <v>6932360</v>
      </c>
      <c r="H281" s="134">
        <f t="shared" si="104"/>
        <v>99.033714285714282</v>
      </c>
      <c r="I281" s="134">
        <f t="shared" si="105"/>
        <v>3.7472216216216219</v>
      </c>
      <c r="J281" s="6">
        <f t="shared" si="106"/>
        <v>-67640</v>
      </c>
      <c r="K281" s="167"/>
    </row>
    <row r="282" spans="1:14" x14ac:dyDescent="0.25">
      <c r="A282" s="68" t="s">
        <v>301</v>
      </c>
      <c r="B282" s="170" t="s">
        <v>409</v>
      </c>
      <c r="C282" s="58">
        <v>6475000</v>
      </c>
      <c r="D282" s="269"/>
      <c r="E282" s="134"/>
      <c r="F282" s="134"/>
      <c r="G282" s="181">
        <f>6475000</f>
        <v>6475000</v>
      </c>
      <c r="H282" s="134"/>
      <c r="I282" s="134"/>
      <c r="J282" s="6">
        <f t="shared" si="106"/>
        <v>0</v>
      </c>
      <c r="K282" s="167"/>
    </row>
    <row r="283" spans="1:14" x14ac:dyDescent="0.25">
      <c r="A283" s="68"/>
      <c r="B283" s="67" t="s">
        <v>128</v>
      </c>
      <c r="C283" s="60">
        <f>SUM(C270:C282)</f>
        <v>185000000</v>
      </c>
      <c r="D283" s="270">
        <f>SUM(D270:D281)</f>
        <v>101.84259056259057</v>
      </c>
      <c r="E283" s="134"/>
      <c r="F283" s="134"/>
      <c r="G283" s="837">
        <f>SUM(G270:G282)</f>
        <v>142276360</v>
      </c>
      <c r="H283" s="134"/>
      <c r="I283" s="134"/>
      <c r="J283" s="56">
        <v>0</v>
      </c>
      <c r="K283" s="3"/>
    </row>
    <row r="284" spans="1:14" x14ac:dyDescent="0.25">
      <c r="A284" s="190"/>
      <c r="B284" s="2"/>
      <c r="C284" s="59"/>
      <c r="D284" s="41"/>
      <c r="E284" s="31"/>
      <c r="F284" s="31"/>
      <c r="G284" s="36"/>
      <c r="H284" s="31"/>
      <c r="I284" s="31"/>
      <c r="J284" s="33"/>
      <c r="K284" s="37"/>
    </row>
    <row r="285" spans="1:14" ht="31.5" x14ac:dyDescent="0.25">
      <c r="A285" s="55"/>
      <c r="B285" s="46" t="s">
        <v>145</v>
      </c>
      <c r="C285" s="155"/>
      <c r="D285" s="44"/>
      <c r="E285" s="45"/>
      <c r="F285" s="45"/>
      <c r="G285" s="48"/>
      <c r="H285" s="45"/>
      <c r="I285" s="45"/>
      <c r="J285" s="44"/>
      <c r="K285" s="44"/>
      <c r="L285" s="1"/>
      <c r="M285" s="1"/>
      <c r="N285" s="1"/>
    </row>
    <row r="286" spans="1:14" x14ac:dyDescent="0.25">
      <c r="A286" s="1111" t="s">
        <v>2</v>
      </c>
      <c r="B286" s="1104" t="s">
        <v>170</v>
      </c>
      <c r="C286" s="1111" t="s">
        <v>4</v>
      </c>
      <c r="D286" s="1112" t="s">
        <v>5</v>
      </c>
      <c r="E286" s="1113"/>
      <c r="F286" s="1113"/>
      <c r="G286" s="1114" t="s">
        <v>6</v>
      </c>
      <c r="H286" s="1113"/>
      <c r="I286" s="1113"/>
      <c r="J286" s="1111" t="s">
        <v>7</v>
      </c>
      <c r="K286" s="285" t="s">
        <v>8</v>
      </c>
    </row>
    <row r="287" spans="1:14" x14ac:dyDescent="0.25">
      <c r="A287" s="1111"/>
      <c r="B287" s="1104"/>
      <c r="C287" s="1111"/>
      <c r="D287" s="285" t="s">
        <v>9</v>
      </c>
      <c r="E287" s="304" t="s">
        <v>10</v>
      </c>
      <c r="F287" s="304" t="s">
        <v>11</v>
      </c>
      <c r="G287" s="305" t="s">
        <v>12</v>
      </c>
      <c r="H287" s="304" t="s">
        <v>13</v>
      </c>
      <c r="I287" s="304" t="s">
        <v>11</v>
      </c>
      <c r="J287" s="1115"/>
      <c r="K287" s="287"/>
    </row>
    <row r="288" spans="1:14" x14ac:dyDescent="0.25">
      <c r="A288" s="1111"/>
      <c r="B288" s="1104"/>
      <c r="C288" s="1111"/>
      <c r="D288" s="286" t="s">
        <v>14</v>
      </c>
      <c r="E288" s="302" t="s">
        <v>14</v>
      </c>
      <c r="F288" s="302" t="s">
        <v>14</v>
      </c>
      <c r="G288" s="303" t="s">
        <v>15</v>
      </c>
      <c r="H288" s="302" t="s">
        <v>14</v>
      </c>
      <c r="I288" s="302" t="s">
        <v>14</v>
      </c>
      <c r="J288" s="286" t="s">
        <v>15</v>
      </c>
      <c r="K288" s="286"/>
    </row>
    <row r="289" spans="1:11" x14ac:dyDescent="0.25">
      <c r="A289" s="144" t="s">
        <v>185</v>
      </c>
      <c r="B289" s="199" t="s">
        <v>146</v>
      </c>
      <c r="C289" s="145"/>
      <c r="D289" s="146"/>
      <c r="E289" s="147"/>
      <c r="F289" s="147"/>
      <c r="G289" s="148"/>
      <c r="H289" s="147"/>
      <c r="I289" s="147"/>
      <c r="J289" s="146"/>
      <c r="K289" s="146"/>
    </row>
    <row r="290" spans="1:11" x14ac:dyDescent="0.25">
      <c r="A290" s="318" t="s">
        <v>184</v>
      </c>
      <c r="B290" s="280" t="s">
        <v>147</v>
      </c>
      <c r="C290" s="257">
        <f>SUM(C291:C292)</f>
        <v>2480900000</v>
      </c>
      <c r="D290" s="146"/>
      <c r="E290" s="147"/>
      <c r="F290" s="147"/>
      <c r="G290" s="148"/>
      <c r="H290" s="147"/>
      <c r="I290" s="147"/>
      <c r="J290" s="146"/>
      <c r="K290" s="146"/>
    </row>
    <row r="291" spans="1:11" ht="25.5" x14ac:dyDescent="0.25">
      <c r="A291" s="319" t="s">
        <v>44</v>
      </c>
      <c r="B291" s="707" t="s">
        <v>384</v>
      </c>
      <c r="C291" s="149">
        <v>30900000</v>
      </c>
      <c r="D291" s="267">
        <f>C291/C290*100</f>
        <v>1.2455157402555526</v>
      </c>
      <c r="E291" s="134">
        <f t="shared" ref="E291:E292" si="107">G291/C291*100</f>
        <v>41.666666666666671</v>
      </c>
      <c r="F291" s="134">
        <f t="shared" ref="F291:F292" si="108">(D291*E291)/100</f>
        <v>0.51896489177314697</v>
      </c>
      <c r="G291" s="181">
        <f>12875000</f>
        <v>12875000</v>
      </c>
      <c r="H291" s="134">
        <f t="shared" ref="H291:H292" si="109">G291/C291*100</f>
        <v>41.666666666666671</v>
      </c>
      <c r="I291" s="134">
        <f t="shared" ref="I291:I292" si="110">(D291*H291)/100</f>
        <v>0.51896489177314697</v>
      </c>
      <c r="J291" s="6">
        <f t="shared" ref="J291:J292" si="111">G291-C291</f>
        <v>-18025000</v>
      </c>
      <c r="K291" s="146"/>
    </row>
    <row r="292" spans="1:11" x14ac:dyDescent="0.25">
      <c r="A292" s="49" t="s">
        <v>148</v>
      </c>
      <c r="B292" s="133" t="s">
        <v>534</v>
      </c>
      <c r="C292" s="149">
        <v>2450000000</v>
      </c>
      <c r="D292" s="267">
        <f>C292/C290*100</f>
        <v>98.754484259744444</v>
      </c>
      <c r="E292" s="134">
        <f t="shared" si="107"/>
        <v>72.175510204081633</v>
      </c>
      <c r="F292" s="134">
        <f t="shared" si="108"/>
        <v>71.276552863880042</v>
      </c>
      <c r="G292" s="181">
        <f>214900000+1553400000</f>
        <v>1768300000</v>
      </c>
      <c r="H292" s="134">
        <f t="shared" si="109"/>
        <v>72.175510204081633</v>
      </c>
      <c r="I292" s="134">
        <f t="shared" si="110"/>
        <v>71.276552863880042</v>
      </c>
      <c r="J292" s="6">
        <f t="shared" si="111"/>
        <v>-681700000</v>
      </c>
      <c r="K292" s="146"/>
    </row>
    <row r="293" spans="1:11" x14ac:dyDescent="0.25">
      <c r="A293" s="71"/>
      <c r="B293" s="76" t="s">
        <v>95</v>
      </c>
      <c r="C293" s="809">
        <f>SUM(C291:C292)</f>
        <v>2480900000</v>
      </c>
      <c r="D293" s="141">
        <f>SUM(D291:D292)</f>
        <v>100</v>
      </c>
      <c r="E293" s="134"/>
      <c r="F293" s="134"/>
      <c r="G293" s="181">
        <f>SUM(G291:G292)</f>
        <v>1781175000</v>
      </c>
      <c r="H293" s="134"/>
      <c r="I293" s="134"/>
      <c r="J293" s="56">
        <v>0</v>
      </c>
      <c r="K293" s="143"/>
    </row>
    <row r="294" spans="1:11" x14ac:dyDescent="0.25">
      <c r="A294" s="190"/>
      <c r="B294" s="2"/>
      <c r="C294" s="59"/>
      <c r="D294" s="41"/>
      <c r="E294" s="31"/>
      <c r="F294" s="31"/>
      <c r="G294" s="36"/>
      <c r="H294" s="31"/>
      <c r="I294" s="31"/>
      <c r="J294" s="33"/>
      <c r="K294" s="37"/>
    </row>
    <row r="295" spans="1:11" x14ac:dyDescent="0.25">
      <c r="A295" s="1103" t="s">
        <v>2</v>
      </c>
      <c r="B295" s="1104" t="s">
        <v>170</v>
      </c>
      <c r="C295" s="1103" t="s">
        <v>4</v>
      </c>
      <c r="D295" s="1105" t="s">
        <v>5</v>
      </c>
      <c r="E295" s="1106"/>
      <c r="F295" s="1106"/>
      <c r="G295" s="1107" t="s">
        <v>6</v>
      </c>
      <c r="H295" s="1106"/>
      <c r="I295" s="1106"/>
      <c r="J295" s="1103" t="s">
        <v>7</v>
      </c>
      <c r="K295" s="288" t="s">
        <v>8</v>
      </c>
    </row>
    <row r="296" spans="1:11" x14ac:dyDescent="0.25">
      <c r="A296" s="1103"/>
      <c r="B296" s="1104"/>
      <c r="C296" s="1103"/>
      <c r="D296" s="288" t="s">
        <v>9</v>
      </c>
      <c r="E296" s="306" t="s">
        <v>10</v>
      </c>
      <c r="F296" s="306" t="s">
        <v>11</v>
      </c>
      <c r="G296" s="307" t="s">
        <v>12</v>
      </c>
      <c r="H296" s="306" t="s">
        <v>13</v>
      </c>
      <c r="I296" s="306" t="s">
        <v>11</v>
      </c>
      <c r="J296" s="1108"/>
      <c r="K296" s="102"/>
    </row>
    <row r="297" spans="1:11" x14ac:dyDescent="0.25">
      <c r="A297" s="1103"/>
      <c r="B297" s="1104"/>
      <c r="C297" s="1103"/>
      <c r="D297" s="105" t="s">
        <v>14</v>
      </c>
      <c r="E297" s="106" t="s">
        <v>14</v>
      </c>
      <c r="F297" s="106" t="s">
        <v>14</v>
      </c>
      <c r="G297" s="107" t="s">
        <v>15</v>
      </c>
      <c r="H297" s="106" t="s">
        <v>14</v>
      </c>
      <c r="I297" s="106" t="s">
        <v>14</v>
      </c>
      <c r="J297" s="105" t="s">
        <v>15</v>
      </c>
      <c r="K297" s="105"/>
    </row>
    <row r="298" spans="1:11" x14ac:dyDescent="0.25">
      <c r="A298" s="79" t="s">
        <v>185</v>
      </c>
      <c r="B298" s="199" t="s">
        <v>146</v>
      </c>
      <c r="C298" s="24"/>
      <c r="D298" s="10"/>
      <c r="E298" s="34"/>
      <c r="F298" s="34"/>
      <c r="G298" s="6"/>
      <c r="H298" s="34"/>
      <c r="I298" s="34"/>
      <c r="J298" s="10"/>
      <c r="K298" s="10"/>
    </row>
    <row r="299" spans="1:11" x14ac:dyDescent="0.25">
      <c r="A299" s="125" t="s">
        <v>187</v>
      </c>
      <c r="B299" s="280" t="s">
        <v>150</v>
      </c>
      <c r="C299" s="131">
        <f>SUM(C300:C303)</f>
        <v>1508450760</v>
      </c>
      <c r="D299" s="10"/>
      <c r="E299" s="34"/>
      <c r="F299" s="34"/>
      <c r="G299" s="6"/>
      <c r="H299" s="34"/>
      <c r="I299" s="34"/>
      <c r="J299" s="10"/>
      <c r="K299" s="10"/>
    </row>
    <row r="300" spans="1:11" ht="25.5" x14ac:dyDescent="0.25">
      <c r="A300" s="124" t="s">
        <v>44</v>
      </c>
      <c r="B300" s="707" t="s">
        <v>384</v>
      </c>
      <c r="C300" s="253">
        <v>30900000</v>
      </c>
      <c r="D300" s="134">
        <f>C300/C299*100</f>
        <v>2.0484593080121489</v>
      </c>
      <c r="E300" s="134">
        <f t="shared" ref="E300:E302" si="112">G300/C300*100</f>
        <v>41.666666666666671</v>
      </c>
      <c r="F300" s="134">
        <f t="shared" ref="F300:F302" si="113">(D300*E300)/100</f>
        <v>0.85352471167172883</v>
      </c>
      <c r="G300" s="181">
        <f>12875000</f>
        <v>12875000</v>
      </c>
      <c r="H300" s="134">
        <f t="shared" ref="H300:H302" si="114">G300/C300*100</f>
        <v>41.666666666666671</v>
      </c>
      <c r="I300" s="134">
        <f t="shared" ref="I300:I302" si="115">(D300*H300)/100</f>
        <v>0.85352471167172883</v>
      </c>
      <c r="J300" s="6">
        <f t="shared" ref="J300:J303" si="116">G300-C300</f>
        <v>-18025000</v>
      </c>
      <c r="K300" s="10"/>
    </row>
    <row r="301" spans="1:11" x14ac:dyDescent="0.25">
      <c r="A301" s="49" t="s">
        <v>148</v>
      </c>
      <c r="B301" s="133" t="s">
        <v>534</v>
      </c>
      <c r="C301" s="256">
        <v>1050000000</v>
      </c>
      <c r="D301" s="134">
        <f>C301/C299*100</f>
        <v>69.607840563519616</v>
      </c>
      <c r="E301" s="134">
        <f t="shared" si="112"/>
        <v>56.381542857142854</v>
      </c>
      <c r="F301" s="134">
        <f t="shared" si="113"/>
        <v>39.24597445925248</v>
      </c>
      <c r="G301" s="181">
        <f>554756200+37250000</f>
        <v>592006200</v>
      </c>
      <c r="H301" s="134">
        <f t="shared" si="114"/>
        <v>56.381542857142854</v>
      </c>
      <c r="I301" s="134">
        <f t="shared" si="115"/>
        <v>39.24597445925248</v>
      </c>
      <c r="J301" s="6">
        <f t="shared" si="116"/>
        <v>-457993800</v>
      </c>
      <c r="K301" s="10"/>
    </row>
    <row r="302" spans="1:11" s="84" customFormat="1" ht="25.5" x14ac:dyDescent="0.2">
      <c r="A302" s="49" t="s">
        <v>152</v>
      </c>
      <c r="B302" s="133" t="s">
        <v>153</v>
      </c>
      <c r="C302" s="256">
        <v>420000000</v>
      </c>
      <c r="D302" s="134">
        <f>C302/C299*100</f>
        <v>27.84313622540785</v>
      </c>
      <c r="E302" s="134">
        <f t="shared" si="112"/>
        <v>58.333333333333336</v>
      </c>
      <c r="F302" s="134">
        <f t="shared" si="113"/>
        <v>16.241829464821247</v>
      </c>
      <c r="G302" s="181">
        <f>245000000</f>
        <v>245000000</v>
      </c>
      <c r="H302" s="134">
        <f t="shared" si="114"/>
        <v>58.333333333333336</v>
      </c>
      <c r="I302" s="134">
        <f t="shared" si="115"/>
        <v>16.241829464821247</v>
      </c>
      <c r="J302" s="6">
        <f t="shared" si="116"/>
        <v>-175000000</v>
      </c>
      <c r="K302" s="38"/>
    </row>
    <row r="303" spans="1:11" s="84" customFormat="1" x14ac:dyDescent="0.2">
      <c r="A303" s="749" t="s">
        <v>234</v>
      </c>
      <c r="B303" s="133" t="s">
        <v>522</v>
      </c>
      <c r="C303" s="256">
        <v>7550760</v>
      </c>
      <c r="D303" s="804"/>
      <c r="E303" s="134"/>
      <c r="F303" s="134"/>
      <c r="G303" s="181"/>
      <c r="H303" s="134"/>
      <c r="I303" s="134"/>
      <c r="J303" s="6">
        <f t="shared" si="116"/>
        <v>-7550760</v>
      </c>
      <c r="K303" s="805"/>
    </row>
    <row r="304" spans="1:11" x14ac:dyDescent="0.25">
      <c r="A304" s="70"/>
      <c r="B304" s="129" t="s">
        <v>95</v>
      </c>
      <c r="C304" s="807">
        <f>SUM(C300:C303)</f>
        <v>1508450760</v>
      </c>
      <c r="D304" s="271">
        <f>SUM(D300:D302)</f>
        <v>99.499436096939618</v>
      </c>
      <c r="E304" s="134"/>
      <c r="F304" s="134"/>
      <c r="G304" s="181">
        <f>SUM(G300:G303)</f>
        <v>849881200</v>
      </c>
      <c r="H304" s="134"/>
      <c r="I304" s="134"/>
      <c r="J304" s="56">
        <v>0</v>
      </c>
      <c r="K304" s="130"/>
    </row>
    <row r="305" spans="1:15" x14ac:dyDescent="0.25">
      <c r="A305" s="190"/>
      <c r="B305" s="2"/>
      <c r="C305" s="59"/>
      <c r="D305" s="41"/>
      <c r="E305" s="31"/>
      <c r="F305" s="31"/>
      <c r="G305" s="36"/>
      <c r="H305" s="31"/>
      <c r="I305" s="31"/>
      <c r="J305" s="33"/>
      <c r="K305" s="37"/>
    </row>
    <row r="306" spans="1:15" x14ac:dyDescent="0.25">
      <c r="A306" s="50"/>
      <c r="B306" s="5"/>
      <c r="C306" s="50"/>
      <c r="D306" s="9"/>
      <c r="E306" s="23"/>
      <c r="F306" s="23"/>
      <c r="G306" s="11"/>
      <c r="H306" s="23"/>
      <c r="I306" s="23"/>
      <c r="J306" s="9"/>
      <c r="K306" s="9"/>
    </row>
    <row r="307" spans="1:15" x14ac:dyDescent="0.25">
      <c r="A307" s="1123" t="s">
        <v>2</v>
      </c>
      <c r="B307" s="1126" t="s">
        <v>138</v>
      </c>
      <c r="C307" s="1129" t="s">
        <v>4</v>
      </c>
      <c r="D307" s="1121" t="s">
        <v>5</v>
      </c>
      <c r="E307" s="1132"/>
      <c r="F307" s="1132"/>
      <c r="G307" s="1122" t="s">
        <v>6</v>
      </c>
      <c r="H307" s="1132"/>
      <c r="I307" s="1132"/>
      <c r="J307" s="1123" t="s">
        <v>7</v>
      </c>
      <c r="K307" s="1123" t="s">
        <v>8</v>
      </c>
    </row>
    <row r="308" spans="1:15" x14ac:dyDescent="0.25">
      <c r="A308" s="1124"/>
      <c r="B308" s="1127"/>
      <c r="C308" s="1130"/>
      <c r="D308" s="289" t="s">
        <v>9</v>
      </c>
      <c r="E308" s="308" t="s">
        <v>10</v>
      </c>
      <c r="F308" s="308" t="s">
        <v>11</v>
      </c>
      <c r="G308" s="117" t="s">
        <v>12</v>
      </c>
      <c r="H308" s="116" t="s">
        <v>13</v>
      </c>
      <c r="I308" s="116" t="s">
        <v>11</v>
      </c>
      <c r="J308" s="1124"/>
      <c r="K308" s="1124"/>
    </row>
    <row r="309" spans="1:15" x14ac:dyDescent="0.25">
      <c r="A309" s="1125"/>
      <c r="B309" s="1128"/>
      <c r="C309" s="1131"/>
      <c r="D309" s="115" t="s">
        <v>14</v>
      </c>
      <c r="E309" s="119" t="s">
        <v>14</v>
      </c>
      <c r="F309" s="119" t="s">
        <v>14</v>
      </c>
      <c r="G309" s="120" t="s">
        <v>15</v>
      </c>
      <c r="H309" s="119" t="s">
        <v>14</v>
      </c>
      <c r="I309" s="119" t="s">
        <v>14</v>
      </c>
      <c r="J309" s="118" t="s">
        <v>15</v>
      </c>
      <c r="K309" s="1125"/>
    </row>
    <row r="310" spans="1:15" ht="25.5" x14ac:dyDescent="0.25">
      <c r="A310" s="79" t="s">
        <v>180</v>
      </c>
      <c r="B310" s="696" t="s">
        <v>379</v>
      </c>
      <c r="C310" s="127"/>
      <c r="D310" s="121"/>
      <c r="E310" s="34"/>
      <c r="F310" s="34"/>
      <c r="G310" s="6"/>
      <c r="H310" s="34"/>
      <c r="I310" s="34"/>
      <c r="J310" s="10"/>
      <c r="K310" s="85"/>
    </row>
    <row r="311" spans="1:15" ht="25.5" x14ac:dyDescent="0.25">
      <c r="A311" s="125" t="s">
        <v>181</v>
      </c>
      <c r="B311" s="697" t="s">
        <v>380</v>
      </c>
      <c r="C311" s="88">
        <f>SUM(C312:C329)</f>
        <v>185000000</v>
      </c>
      <c r="D311" s="121"/>
      <c r="E311" s="34"/>
      <c r="F311" s="34"/>
      <c r="G311" s="6"/>
      <c r="H311" s="34"/>
      <c r="I311" s="34"/>
      <c r="J311" s="10"/>
      <c r="K311" s="156"/>
    </row>
    <row r="312" spans="1:15" ht="25.5" x14ac:dyDescent="0.25">
      <c r="A312" s="49" t="s">
        <v>44</v>
      </c>
      <c r="B312" s="707" t="s">
        <v>384</v>
      </c>
      <c r="C312" s="39">
        <v>8730000</v>
      </c>
      <c r="D312" s="727">
        <f>C312/C311*100</f>
        <v>4.7189189189189191</v>
      </c>
      <c r="E312" s="134">
        <f t="shared" ref="E312:E320" si="117">G312/C312*100</f>
        <v>100</v>
      </c>
      <c r="F312" s="134">
        <f t="shared" ref="F312:F320" si="118">(D312*E312)/100</f>
        <v>4.7189189189189191</v>
      </c>
      <c r="G312" s="181">
        <f>8730000</f>
        <v>8730000</v>
      </c>
      <c r="H312" s="134">
        <f t="shared" ref="H312:H320" si="119">G312/C312*100</f>
        <v>100</v>
      </c>
      <c r="I312" s="134">
        <f t="shared" ref="I312:I320" si="120">(D312*H312)/100</f>
        <v>4.7189189189189191</v>
      </c>
      <c r="J312" s="6">
        <f t="shared" ref="J312:J329" si="121">G312-C312</f>
        <v>0</v>
      </c>
      <c r="K312" s="10"/>
      <c r="O312" s="717"/>
    </row>
    <row r="313" spans="1:15" x14ac:dyDescent="0.25">
      <c r="A313" s="49" t="s">
        <v>59</v>
      </c>
      <c r="B313" s="707" t="s">
        <v>197</v>
      </c>
      <c r="C313" s="39">
        <v>13887500</v>
      </c>
      <c r="D313" s="727">
        <f>C313/C311*100</f>
        <v>7.5067567567567561</v>
      </c>
      <c r="E313" s="134">
        <f t="shared" si="117"/>
        <v>57.605760576057605</v>
      </c>
      <c r="F313" s="134">
        <f t="shared" si="118"/>
        <v>4.3243243243243237</v>
      </c>
      <c r="G313" s="181">
        <f>8000000</f>
        <v>8000000</v>
      </c>
      <c r="H313" s="134">
        <f t="shared" si="119"/>
        <v>57.605760576057605</v>
      </c>
      <c r="I313" s="134">
        <f t="shared" si="120"/>
        <v>4.3243243243243237</v>
      </c>
      <c r="J313" s="6">
        <f t="shared" si="121"/>
        <v>-5887500</v>
      </c>
      <c r="K313" s="10"/>
    </row>
    <row r="314" spans="1:15" x14ac:dyDescent="0.25">
      <c r="A314" s="49" t="s">
        <v>62</v>
      </c>
      <c r="B314" s="707" t="s">
        <v>414</v>
      </c>
      <c r="C314" s="39">
        <v>7970500</v>
      </c>
      <c r="D314" s="727"/>
      <c r="E314" s="134"/>
      <c r="F314" s="134"/>
      <c r="G314" s="181">
        <f>1485000</f>
        <v>1485000</v>
      </c>
      <c r="H314" s="134"/>
      <c r="I314" s="134"/>
      <c r="J314" s="6">
        <f t="shared" si="121"/>
        <v>-6485500</v>
      </c>
      <c r="K314" s="10"/>
    </row>
    <row r="315" spans="1:15" x14ac:dyDescent="0.25">
      <c r="A315" s="49" t="s">
        <v>54</v>
      </c>
      <c r="B315" s="707" t="s">
        <v>536</v>
      </c>
      <c r="C315" s="39">
        <v>800000</v>
      </c>
      <c r="D315" s="727"/>
      <c r="E315" s="134"/>
      <c r="F315" s="134"/>
      <c r="G315" s="181">
        <f>800000</f>
        <v>800000</v>
      </c>
      <c r="H315" s="134"/>
      <c r="I315" s="134"/>
      <c r="J315" s="6">
        <f t="shared" si="121"/>
        <v>0</v>
      </c>
      <c r="K315" s="10"/>
    </row>
    <row r="316" spans="1:15" ht="25.5" x14ac:dyDescent="0.25">
      <c r="A316" s="49" t="s">
        <v>193</v>
      </c>
      <c r="B316" s="707" t="s">
        <v>537</v>
      </c>
      <c r="C316" s="39">
        <v>8750000</v>
      </c>
      <c r="D316" s="727"/>
      <c r="E316" s="134"/>
      <c r="F316" s="134"/>
      <c r="G316" s="181">
        <f>8750000</f>
        <v>8750000</v>
      </c>
      <c r="H316" s="134"/>
      <c r="I316" s="134"/>
      <c r="J316" s="6">
        <f t="shared" si="121"/>
        <v>0</v>
      </c>
      <c r="K316" s="10"/>
    </row>
    <row r="317" spans="1:15" x14ac:dyDescent="0.25">
      <c r="A317" s="49" t="s">
        <v>148</v>
      </c>
      <c r="B317" s="133" t="s">
        <v>534</v>
      </c>
      <c r="C317" s="39">
        <v>10000000</v>
      </c>
      <c r="D317" s="727"/>
      <c r="E317" s="134"/>
      <c r="F317" s="134"/>
      <c r="G317" s="181">
        <f>10000000</f>
        <v>10000000</v>
      </c>
      <c r="H317" s="134"/>
      <c r="I317" s="134"/>
      <c r="J317" s="6">
        <f t="shared" si="121"/>
        <v>0</v>
      </c>
      <c r="K317" s="10"/>
    </row>
    <row r="318" spans="1:15" x14ac:dyDescent="0.25">
      <c r="A318" s="49" t="s">
        <v>77</v>
      </c>
      <c r="B318" s="49" t="s">
        <v>139</v>
      </c>
      <c r="C318" s="39">
        <v>82680000</v>
      </c>
      <c r="D318" s="727">
        <f>C318/C311*100</f>
        <v>44.691891891891892</v>
      </c>
      <c r="E318" s="134">
        <f t="shared" si="117"/>
        <v>56.204644412191584</v>
      </c>
      <c r="F318" s="134">
        <f t="shared" si="118"/>
        <v>25.118918918918922</v>
      </c>
      <c r="G318" s="181">
        <f>46470000</f>
        <v>46470000</v>
      </c>
      <c r="H318" s="134">
        <f t="shared" si="119"/>
        <v>56.204644412191584</v>
      </c>
      <c r="I318" s="134">
        <f t="shared" si="120"/>
        <v>25.118918918918922</v>
      </c>
      <c r="J318" s="6">
        <f t="shared" si="121"/>
        <v>-36210000</v>
      </c>
      <c r="K318" s="10"/>
    </row>
    <row r="319" spans="1:15" x14ac:dyDescent="0.25">
      <c r="A319" s="49" t="s">
        <v>104</v>
      </c>
      <c r="B319" s="170" t="s">
        <v>418</v>
      </c>
      <c r="C319" s="39">
        <v>7300000</v>
      </c>
      <c r="D319" s="727">
        <f>C319/C311*100</f>
        <v>3.9459459459459461</v>
      </c>
      <c r="E319" s="134">
        <f t="shared" si="117"/>
        <v>100</v>
      </c>
      <c r="F319" s="134">
        <f t="shared" si="118"/>
        <v>3.9459459459459456</v>
      </c>
      <c r="G319" s="181">
        <f>7300000</f>
        <v>7300000</v>
      </c>
      <c r="H319" s="134">
        <f t="shared" si="119"/>
        <v>100</v>
      </c>
      <c r="I319" s="134">
        <f t="shared" si="120"/>
        <v>3.9459459459459456</v>
      </c>
      <c r="J319" s="6">
        <f t="shared" si="121"/>
        <v>0</v>
      </c>
      <c r="K319" s="10"/>
    </row>
    <row r="320" spans="1:15" ht="25.5" x14ac:dyDescent="0.25">
      <c r="A320" s="49" t="s">
        <v>192</v>
      </c>
      <c r="B320" s="316" t="s">
        <v>375</v>
      </c>
      <c r="C320" s="39">
        <v>13050000</v>
      </c>
      <c r="D320" s="727">
        <f>C320/C311*100</f>
        <v>7.0540540540540544</v>
      </c>
      <c r="E320" s="134">
        <f t="shared" si="117"/>
        <v>55.172413793103445</v>
      </c>
      <c r="F320" s="134">
        <f t="shared" si="118"/>
        <v>3.8918918918918917</v>
      </c>
      <c r="G320" s="181">
        <f>7200000</f>
        <v>7200000</v>
      </c>
      <c r="H320" s="134">
        <f t="shared" si="119"/>
        <v>55.172413793103445</v>
      </c>
      <c r="I320" s="134">
        <f t="shared" si="120"/>
        <v>3.8918918918918917</v>
      </c>
      <c r="J320" s="6">
        <f t="shared" si="121"/>
        <v>-5850000</v>
      </c>
      <c r="K320" s="10"/>
    </row>
    <row r="321" spans="1:14" x14ac:dyDescent="0.25">
      <c r="A321" s="749" t="s">
        <v>162</v>
      </c>
      <c r="B321" s="316" t="s">
        <v>538</v>
      </c>
      <c r="C321" s="751">
        <v>2000000</v>
      </c>
      <c r="D321" s="727"/>
      <c r="E321" s="134"/>
      <c r="F321" s="134"/>
      <c r="G321" s="181">
        <f>2000000</f>
        <v>2000000</v>
      </c>
      <c r="H321" s="134"/>
      <c r="I321" s="134"/>
      <c r="J321" s="6">
        <f t="shared" si="121"/>
        <v>0</v>
      </c>
      <c r="K321" s="130"/>
    </row>
    <row r="322" spans="1:14" x14ac:dyDescent="0.25">
      <c r="A322" s="749" t="s">
        <v>527</v>
      </c>
      <c r="B322" s="316" t="s">
        <v>523</v>
      </c>
      <c r="C322" s="751">
        <v>1150000</v>
      </c>
      <c r="D322" s="727"/>
      <c r="E322" s="134"/>
      <c r="F322" s="134"/>
      <c r="G322" s="181">
        <f>1150000</f>
        <v>1150000</v>
      </c>
      <c r="H322" s="134"/>
      <c r="I322" s="134"/>
      <c r="J322" s="6">
        <f t="shared" si="121"/>
        <v>0</v>
      </c>
      <c r="K322" s="130"/>
    </row>
    <row r="323" spans="1:14" x14ac:dyDescent="0.25">
      <c r="A323" s="749" t="s">
        <v>112</v>
      </c>
      <c r="B323" s="316" t="s">
        <v>525</v>
      </c>
      <c r="C323" s="751">
        <v>800000</v>
      </c>
      <c r="D323" s="727"/>
      <c r="E323" s="134"/>
      <c r="F323" s="134"/>
      <c r="G323" s="181">
        <f>800000</f>
        <v>800000</v>
      </c>
      <c r="H323" s="134"/>
      <c r="I323" s="134"/>
      <c r="J323" s="6">
        <f t="shared" si="121"/>
        <v>0</v>
      </c>
      <c r="K323" s="130"/>
    </row>
    <row r="324" spans="1:14" x14ac:dyDescent="0.25">
      <c r="A324" s="749" t="s">
        <v>521</v>
      </c>
      <c r="B324" s="316" t="s">
        <v>539</v>
      </c>
      <c r="C324" s="751">
        <v>1000000</v>
      </c>
      <c r="D324" s="727"/>
      <c r="E324" s="134"/>
      <c r="F324" s="134"/>
      <c r="G324" s="181">
        <f>1000000</f>
        <v>1000000</v>
      </c>
      <c r="H324" s="134"/>
      <c r="I324" s="134"/>
      <c r="J324" s="6">
        <f t="shared" si="121"/>
        <v>0</v>
      </c>
      <c r="K324" s="130"/>
    </row>
    <row r="325" spans="1:14" ht="25.5" x14ac:dyDescent="0.25">
      <c r="A325" s="749" t="s">
        <v>116</v>
      </c>
      <c r="B325" s="316" t="s">
        <v>420</v>
      </c>
      <c r="C325" s="751">
        <v>1382000</v>
      </c>
      <c r="D325" s="727">
        <f>C325/C312*100</f>
        <v>15.830469644902633</v>
      </c>
      <c r="E325" s="134"/>
      <c r="F325" s="134"/>
      <c r="G325" s="181">
        <f>1382000</f>
        <v>1382000</v>
      </c>
      <c r="H325" s="134"/>
      <c r="I325" s="134"/>
      <c r="J325" s="6">
        <f t="shared" si="121"/>
        <v>0</v>
      </c>
      <c r="K325" s="130"/>
    </row>
    <row r="326" spans="1:14" x14ac:dyDescent="0.25">
      <c r="A326" s="749" t="s">
        <v>65</v>
      </c>
      <c r="B326" s="754" t="s">
        <v>190</v>
      </c>
      <c r="C326" s="751">
        <v>7000000</v>
      </c>
      <c r="D326" s="727" t="e">
        <f>C326/#REF!*100</f>
        <v>#REF!</v>
      </c>
      <c r="E326" s="134"/>
      <c r="F326" s="134"/>
      <c r="G326" s="181">
        <f>6932360</f>
        <v>6932360</v>
      </c>
      <c r="H326" s="134"/>
      <c r="I326" s="134"/>
      <c r="J326" s="6">
        <f t="shared" si="121"/>
        <v>-67640</v>
      </c>
      <c r="K326" s="130"/>
    </row>
    <row r="327" spans="1:14" x14ac:dyDescent="0.25">
      <c r="A327" s="749" t="s">
        <v>541</v>
      </c>
      <c r="B327" s="754" t="s">
        <v>401</v>
      </c>
      <c r="C327" s="751">
        <v>3900000</v>
      </c>
      <c r="D327" s="727" t="e">
        <f>C327/#REF!*100</f>
        <v>#REF!</v>
      </c>
      <c r="E327" s="134"/>
      <c r="F327" s="134"/>
      <c r="G327" s="181">
        <f>3900000</f>
        <v>3900000</v>
      </c>
      <c r="H327" s="134"/>
      <c r="I327" s="134"/>
      <c r="J327" s="6">
        <f t="shared" si="121"/>
        <v>0</v>
      </c>
      <c r="K327" s="130"/>
    </row>
    <row r="328" spans="1:14" x14ac:dyDescent="0.25">
      <c r="A328" s="749" t="s">
        <v>275</v>
      </c>
      <c r="B328" s="754" t="s">
        <v>421</v>
      </c>
      <c r="C328" s="751">
        <v>5000000</v>
      </c>
      <c r="D328" s="727" t="e">
        <f>C328/#REF!*100</f>
        <v>#REF!</v>
      </c>
      <c r="E328" s="134"/>
      <c r="F328" s="134"/>
      <c r="G328" s="181">
        <f>5000000</f>
        <v>5000000</v>
      </c>
      <c r="H328" s="134"/>
      <c r="I328" s="134"/>
      <c r="J328" s="6">
        <f t="shared" si="121"/>
        <v>0</v>
      </c>
      <c r="K328" s="130"/>
    </row>
    <row r="329" spans="1:14" x14ac:dyDescent="0.25">
      <c r="A329" s="749" t="s">
        <v>542</v>
      </c>
      <c r="B329" s="316" t="s">
        <v>540</v>
      </c>
      <c r="C329" s="751">
        <v>9600000</v>
      </c>
      <c r="D329" s="752"/>
      <c r="E329" s="134"/>
      <c r="F329" s="134"/>
      <c r="G329" s="181"/>
      <c r="H329" s="134"/>
      <c r="I329" s="134"/>
      <c r="J329" s="6">
        <f t="shared" si="121"/>
        <v>-9600000</v>
      </c>
      <c r="K329" s="130"/>
    </row>
    <row r="330" spans="1:14" x14ac:dyDescent="0.25">
      <c r="A330" s="70"/>
      <c r="B330" s="164" t="s">
        <v>140</v>
      </c>
      <c r="C330" s="165">
        <f>SUM(C312:C329)</f>
        <v>185000000</v>
      </c>
      <c r="D330" s="166">
        <f>SUM(D312:D320)</f>
        <v>67.917567567567559</v>
      </c>
      <c r="E330" s="134"/>
      <c r="F330" s="134"/>
      <c r="G330" s="837">
        <f>SUM(G312:G329)</f>
        <v>120899360</v>
      </c>
      <c r="H330" s="134"/>
      <c r="I330" s="134"/>
      <c r="J330" s="734"/>
      <c r="K330" s="40"/>
    </row>
    <row r="331" spans="1:14" x14ac:dyDescent="0.25">
      <c r="A331" s="53"/>
      <c r="B331" s="5"/>
      <c r="C331" s="191"/>
      <c r="D331" s="41"/>
      <c r="E331" s="30"/>
      <c r="F331" s="31"/>
      <c r="G331" s="36"/>
      <c r="H331" s="23"/>
      <c r="I331" s="23"/>
      <c r="J331" s="33"/>
      <c r="K331" s="37"/>
    </row>
    <row r="332" spans="1:14" ht="31.5" x14ac:dyDescent="0.25">
      <c r="A332" s="55"/>
      <c r="B332" s="46" t="s">
        <v>145</v>
      </c>
      <c r="C332" s="155"/>
      <c r="D332" s="44"/>
      <c r="E332" s="45"/>
      <c r="F332" s="45"/>
      <c r="G332" s="48"/>
      <c r="H332" s="45"/>
      <c r="I332" s="45"/>
      <c r="J332" s="44"/>
      <c r="K332" s="44"/>
      <c r="L332" s="1"/>
      <c r="M332" s="1"/>
      <c r="N332" s="1"/>
    </row>
    <row r="333" spans="1:14" x14ac:dyDescent="0.25">
      <c r="A333" s="1119" t="s">
        <v>2</v>
      </c>
      <c r="B333" s="1120" t="s">
        <v>177</v>
      </c>
      <c r="C333" s="1119" t="s">
        <v>4</v>
      </c>
      <c r="D333" s="1121" t="s">
        <v>5</v>
      </c>
      <c r="E333" s="1121"/>
      <c r="F333" s="1121"/>
      <c r="G333" s="1122" t="s">
        <v>6</v>
      </c>
      <c r="H333" s="1122"/>
      <c r="I333" s="1122"/>
      <c r="J333" s="1119" t="s">
        <v>7</v>
      </c>
      <c r="K333" s="289" t="s">
        <v>8</v>
      </c>
    </row>
    <row r="334" spans="1:14" x14ac:dyDescent="0.25">
      <c r="A334" s="1119"/>
      <c r="B334" s="1120"/>
      <c r="C334" s="1119"/>
      <c r="D334" s="289" t="s">
        <v>9</v>
      </c>
      <c r="E334" s="308" t="s">
        <v>10</v>
      </c>
      <c r="F334" s="308" t="s">
        <v>11</v>
      </c>
      <c r="G334" s="309" t="s">
        <v>12</v>
      </c>
      <c r="H334" s="308" t="s">
        <v>13</v>
      </c>
      <c r="I334" s="308" t="s">
        <v>11</v>
      </c>
      <c r="J334" s="1123"/>
      <c r="K334" s="115"/>
    </row>
    <row r="335" spans="1:14" x14ac:dyDescent="0.25">
      <c r="A335" s="1119"/>
      <c r="B335" s="1120"/>
      <c r="C335" s="1119"/>
      <c r="D335" s="118" t="s">
        <v>14</v>
      </c>
      <c r="E335" s="119" t="s">
        <v>14</v>
      </c>
      <c r="F335" s="119" t="s">
        <v>14</v>
      </c>
      <c r="G335" s="120" t="s">
        <v>15</v>
      </c>
      <c r="H335" s="119" t="s">
        <v>14</v>
      </c>
      <c r="I335" s="119" t="s">
        <v>14</v>
      </c>
      <c r="J335" s="118" t="s">
        <v>15</v>
      </c>
      <c r="K335" s="118"/>
    </row>
    <row r="336" spans="1:14" x14ac:dyDescent="0.25">
      <c r="A336" s="79" t="s">
        <v>185</v>
      </c>
      <c r="B336" s="199" t="s">
        <v>146</v>
      </c>
      <c r="C336" s="260"/>
      <c r="D336" s="10"/>
      <c r="E336" s="34"/>
      <c r="F336" s="34"/>
      <c r="G336" s="6"/>
      <c r="H336" s="34"/>
      <c r="I336" s="34"/>
      <c r="J336" s="10"/>
      <c r="K336" s="10"/>
    </row>
    <row r="337" spans="1:11" x14ac:dyDescent="0.25">
      <c r="A337" s="125" t="s">
        <v>184</v>
      </c>
      <c r="B337" s="280" t="s">
        <v>147</v>
      </c>
      <c r="C337" s="131">
        <f>SUM(C338:C339)</f>
        <v>3395640000</v>
      </c>
      <c r="D337" s="10"/>
      <c r="E337" s="34"/>
      <c r="F337" s="34"/>
      <c r="G337" s="6"/>
      <c r="H337" s="34"/>
      <c r="I337" s="34"/>
      <c r="J337" s="10"/>
      <c r="K337" s="10"/>
    </row>
    <row r="338" spans="1:11" ht="25.5" x14ac:dyDescent="0.25">
      <c r="A338" s="313" t="s">
        <v>44</v>
      </c>
      <c r="B338" s="707" t="s">
        <v>384</v>
      </c>
      <c r="C338" s="253">
        <v>35640000</v>
      </c>
      <c r="D338" s="134">
        <f>C338/C337*100</f>
        <v>1.0495812276919816</v>
      </c>
      <c r="E338" s="134">
        <f t="shared" ref="E338:E339" si="122">G338/C338*100</f>
        <v>50</v>
      </c>
      <c r="F338" s="134">
        <f t="shared" ref="F338:F339" si="123">(D338*E338)/100</f>
        <v>0.52479061384599079</v>
      </c>
      <c r="G338" s="181">
        <f>17820000</f>
        <v>17820000</v>
      </c>
      <c r="H338" s="134">
        <f t="shared" ref="H338:H339" si="124">G338/C338*100</f>
        <v>50</v>
      </c>
      <c r="I338" s="134">
        <f t="shared" ref="I338:I339" si="125">(D338*H338)/100</f>
        <v>0.52479061384599079</v>
      </c>
      <c r="J338" s="6">
        <f t="shared" ref="J338:J339" si="126">G338-C338</f>
        <v>-17820000</v>
      </c>
      <c r="K338" s="10"/>
    </row>
    <row r="339" spans="1:11" x14ac:dyDescent="0.25">
      <c r="A339" s="49" t="s">
        <v>148</v>
      </c>
      <c r="B339" s="133" t="s">
        <v>534</v>
      </c>
      <c r="C339" s="256">
        <v>3360000000</v>
      </c>
      <c r="D339" s="134">
        <f>C339/C337*100</f>
        <v>98.950418772308012</v>
      </c>
      <c r="E339" s="134">
        <f t="shared" si="122"/>
        <v>72.101249999999993</v>
      </c>
      <c r="F339" s="134">
        <f t="shared" si="123"/>
        <v>71.344488815068729</v>
      </c>
      <c r="G339" s="181">
        <f>1283159000+1139443000</f>
        <v>2422602000</v>
      </c>
      <c r="H339" s="134">
        <f t="shared" si="124"/>
        <v>72.101249999999993</v>
      </c>
      <c r="I339" s="134">
        <f t="shared" si="125"/>
        <v>71.344488815068729</v>
      </c>
      <c r="J339" s="6">
        <f t="shared" si="126"/>
        <v>-937398000</v>
      </c>
      <c r="K339" s="10"/>
    </row>
    <row r="340" spans="1:11" x14ac:dyDescent="0.25">
      <c r="A340" s="70"/>
      <c r="B340" s="129" t="s">
        <v>95</v>
      </c>
      <c r="C340" s="807">
        <f>SUM(C338:C339)</f>
        <v>3395640000</v>
      </c>
      <c r="D340" s="271">
        <f>SUM(D338:D339)</f>
        <v>100</v>
      </c>
      <c r="E340" s="134"/>
      <c r="F340" s="134"/>
      <c r="G340" s="181">
        <f>SUM(G338:G339)</f>
        <v>2440422000</v>
      </c>
      <c r="H340" s="134"/>
      <c r="I340" s="134"/>
      <c r="J340" s="734"/>
      <c r="K340" s="130"/>
    </row>
    <row r="341" spans="1:11" x14ac:dyDescent="0.25">
      <c r="A341" s="230"/>
      <c r="B341" s="231"/>
      <c r="C341" s="232"/>
      <c r="D341" s="23"/>
      <c r="E341" s="23"/>
      <c r="F341" s="23"/>
      <c r="G341" s="11"/>
      <c r="H341" s="23"/>
      <c r="I341" s="23"/>
      <c r="J341" s="9"/>
      <c r="K341" s="9"/>
    </row>
    <row r="342" spans="1:11" x14ac:dyDescent="0.25">
      <c r="A342" s="1119" t="s">
        <v>2</v>
      </c>
      <c r="B342" s="1120" t="s">
        <v>177</v>
      </c>
      <c r="C342" s="1119" t="s">
        <v>4</v>
      </c>
      <c r="D342" s="1121" t="s">
        <v>5</v>
      </c>
      <c r="E342" s="1121"/>
      <c r="F342" s="1121"/>
      <c r="G342" s="1122" t="s">
        <v>6</v>
      </c>
      <c r="H342" s="1122"/>
      <c r="I342" s="1122"/>
      <c r="J342" s="1119" t="s">
        <v>7</v>
      </c>
      <c r="K342" s="289" t="s">
        <v>8</v>
      </c>
    </row>
    <row r="343" spans="1:11" x14ac:dyDescent="0.25">
      <c r="A343" s="1119"/>
      <c r="B343" s="1120"/>
      <c r="C343" s="1119"/>
      <c r="D343" s="289" t="s">
        <v>9</v>
      </c>
      <c r="E343" s="308" t="s">
        <v>10</v>
      </c>
      <c r="F343" s="308" t="s">
        <v>11</v>
      </c>
      <c r="G343" s="309" t="s">
        <v>12</v>
      </c>
      <c r="H343" s="308" t="s">
        <v>13</v>
      </c>
      <c r="I343" s="308" t="s">
        <v>11</v>
      </c>
      <c r="J343" s="1123"/>
      <c r="K343" s="115"/>
    </row>
    <row r="344" spans="1:11" x14ac:dyDescent="0.25">
      <c r="A344" s="1119"/>
      <c r="B344" s="1120"/>
      <c r="C344" s="1119"/>
      <c r="D344" s="118" t="s">
        <v>14</v>
      </c>
      <c r="E344" s="119" t="s">
        <v>14</v>
      </c>
      <c r="F344" s="119" t="s">
        <v>14</v>
      </c>
      <c r="G344" s="120" t="s">
        <v>15</v>
      </c>
      <c r="H344" s="119" t="s">
        <v>14</v>
      </c>
      <c r="I344" s="119" t="s">
        <v>14</v>
      </c>
      <c r="J344" s="118" t="s">
        <v>15</v>
      </c>
      <c r="K344" s="118"/>
    </row>
    <row r="345" spans="1:11" x14ac:dyDescent="0.25">
      <c r="A345" s="139" t="s">
        <v>185</v>
      </c>
      <c r="B345" s="199" t="s">
        <v>146</v>
      </c>
      <c r="C345" s="24"/>
      <c r="D345" s="10"/>
      <c r="E345" s="34"/>
      <c r="F345" s="34"/>
      <c r="G345" s="6"/>
      <c r="H345" s="34"/>
      <c r="I345" s="34"/>
      <c r="J345" s="10"/>
      <c r="K345" s="10"/>
    </row>
    <row r="346" spans="1:11" x14ac:dyDescent="0.25">
      <c r="A346" s="140" t="s">
        <v>187</v>
      </c>
      <c r="B346" s="280" t="s">
        <v>150</v>
      </c>
      <c r="C346" s="252">
        <f>SUM(C347:C351)</f>
        <v>2057255328</v>
      </c>
      <c r="D346" s="10"/>
      <c r="E346" s="34"/>
      <c r="F346" s="34"/>
      <c r="G346" s="6"/>
      <c r="H346" s="34"/>
      <c r="I346" s="34"/>
      <c r="J346" s="10"/>
      <c r="K346" s="10"/>
    </row>
    <row r="347" spans="1:11" ht="25.5" x14ac:dyDescent="0.25">
      <c r="A347" s="159" t="s">
        <v>44</v>
      </c>
      <c r="B347" s="707" t="s">
        <v>384</v>
      </c>
      <c r="C347" s="253">
        <v>30210000</v>
      </c>
      <c r="D347" s="134">
        <f>C347/C346*100</f>
        <v>1.4684613809880966</v>
      </c>
      <c r="E347" s="134">
        <f t="shared" ref="E347:E350" si="127">G347/C347*100</f>
        <v>50.794438927507443</v>
      </c>
      <c r="F347" s="134">
        <f t="shared" ref="F347:F350" si="128">(D347*E347)/100</f>
        <v>0.74589671934003121</v>
      </c>
      <c r="G347" s="181">
        <f>15345000</f>
        <v>15345000</v>
      </c>
      <c r="H347" s="134">
        <f t="shared" ref="H347:H350" si="129">G347/C347*100</f>
        <v>50.794438927507443</v>
      </c>
      <c r="I347" s="134">
        <f t="shared" ref="I347:I350" si="130">(D347*H347)/100</f>
        <v>0.74589671934003121</v>
      </c>
      <c r="J347" s="6">
        <f t="shared" ref="J347:J351" si="131">G347-C347</f>
        <v>-14865000</v>
      </c>
      <c r="K347" s="10"/>
    </row>
    <row r="348" spans="1:11" x14ac:dyDescent="0.25">
      <c r="A348" s="313" t="s">
        <v>59</v>
      </c>
      <c r="B348" s="707" t="s">
        <v>197</v>
      </c>
      <c r="C348" s="253">
        <v>690000</v>
      </c>
      <c r="D348" s="134">
        <f>C348/C346*100</f>
        <v>3.3539832932200815E-2</v>
      </c>
      <c r="E348" s="134">
        <f t="shared" si="127"/>
        <v>0</v>
      </c>
      <c r="F348" s="134">
        <f t="shared" si="128"/>
        <v>0</v>
      </c>
      <c r="G348" s="181">
        <v>0</v>
      </c>
      <c r="H348" s="134">
        <f t="shared" si="129"/>
        <v>0</v>
      </c>
      <c r="I348" s="134">
        <f t="shared" si="130"/>
        <v>0</v>
      </c>
      <c r="J348" s="6">
        <f t="shared" si="131"/>
        <v>-690000</v>
      </c>
      <c r="K348" s="10"/>
    </row>
    <row r="349" spans="1:11" x14ac:dyDescent="0.25">
      <c r="A349" s="313" t="s">
        <v>62</v>
      </c>
      <c r="B349" s="133" t="s">
        <v>534</v>
      </c>
      <c r="C349" s="253">
        <v>1440000000</v>
      </c>
      <c r="D349" s="134">
        <f>C349/C346*100</f>
        <v>69.99617307589736</v>
      </c>
      <c r="E349" s="134">
        <f t="shared" si="127"/>
        <v>6.5</v>
      </c>
      <c r="F349" s="134">
        <f t="shared" si="128"/>
        <v>4.5497512499333279</v>
      </c>
      <c r="G349" s="181">
        <f>3900000+89700000</f>
        <v>93600000</v>
      </c>
      <c r="H349" s="134">
        <f t="shared" si="129"/>
        <v>6.5</v>
      </c>
      <c r="I349" s="134">
        <f t="shared" si="130"/>
        <v>4.5497512499333279</v>
      </c>
      <c r="J349" s="6">
        <f t="shared" si="131"/>
        <v>-1346400000</v>
      </c>
      <c r="K349" s="10"/>
    </row>
    <row r="350" spans="1:11" s="725" customFormat="1" ht="25.5" x14ac:dyDescent="0.2">
      <c r="A350" s="723" t="s">
        <v>152</v>
      </c>
      <c r="B350" s="133" t="s">
        <v>153</v>
      </c>
      <c r="C350" s="724">
        <v>576000000</v>
      </c>
      <c r="D350" s="728">
        <f>C350/C346*100</f>
        <v>27.998469230358946</v>
      </c>
      <c r="E350" s="728">
        <f t="shared" si="127"/>
        <v>50</v>
      </c>
      <c r="F350" s="728">
        <f t="shared" si="128"/>
        <v>13.999234615179473</v>
      </c>
      <c r="G350" s="181">
        <f>288000000</f>
        <v>288000000</v>
      </c>
      <c r="H350" s="728">
        <f t="shared" si="129"/>
        <v>50</v>
      </c>
      <c r="I350" s="728">
        <f t="shared" si="130"/>
        <v>13.999234615179473</v>
      </c>
      <c r="J350" s="6">
        <f t="shared" si="131"/>
        <v>-288000000</v>
      </c>
      <c r="K350" s="313"/>
    </row>
    <row r="351" spans="1:11" s="725" customFormat="1" x14ac:dyDescent="0.2">
      <c r="A351" s="749" t="s">
        <v>234</v>
      </c>
      <c r="B351" s="133" t="s">
        <v>522</v>
      </c>
      <c r="C351" s="724">
        <v>10355328</v>
      </c>
      <c r="D351" s="820"/>
      <c r="E351" s="728"/>
      <c r="F351" s="728"/>
      <c r="G351" s="181">
        <f>10085658</f>
        <v>10085658</v>
      </c>
      <c r="H351" s="728"/>
      <c r="I351" s="728"/>
      <c r="J351" s="6">
        <f t="shared" si="131"/>
        <v>-269670</v>
      </c>
      <c r="K351" s="821"/>
    </row>
    <row r="352" spans="1:11" x14ac:dyDescent="0.25">
      <c r="A352" s="70"/>
      <c r="B352" s="129" t="s">
        <v>95</v>
      </c>
      <c r="C352" s="807">
        <f>SUM(C347:C351)</f>
        <v>2057255328</v>
      </c>
      <c r="D352" s="271">
        <f>SUM(D347:D350)</f>
        <v>99.496643520176605</v>
      </c>
      <c r="E352" s="134"/>
      <c r="F352" s="134"/>
      <c r="G352" s="181">
        <f>SUM(G347:G351)</f>
        <v>407030658</v>
      </c>
      <c r="H352" s="134"/>
      <c r="I352" s="134"/>
      <c r="J352" s="734"/>
      <c r="K352" s="130"/>
    </row>
    <row r="353" spans="1:11" x14ac:dyDescent="0.25">
      <c r="A353" s="50"/>
      <c r="B353" s="5"/>
      <c r="C353" s="50"/>
      <c r="D353" s="9"/>
      <c r="E353" s="23"/>
      <c r="F353" s="23"/>
      <c r="G353" s="11"/>
      <c r="H353" s="23"/>
      <c r="I353" s="23"/>
      <c r="J353" s="9"/>
      <c r="K353" s="9"/>
    </row>
    <row r="354" spans="1:11" x14ac:dyDescent="0.25">
      <c r="A354" s="50"/>
      <c r="B354" s="5"/>
      <c r="C354" s="50"/>
      <c r="D354" s="9"/>
      <c r="E354" s="23"/>
      <c r="F354" s="23"/>
      <c r="G354" s="11"/>
      <c r="H354" s="23"/>
      <c r="I354" s="23"/>
      <c r="J354" s="9"/>
      <c r="K354" s="9"/>
    </row>
    <row r="355" spans="1:11" x14ac:dyDescent="0.25">
      <c r="A355" s="1139" t="s">
        <v>2</v>
      </c>
      <c r="B355" s="1142" t="s">
        <v>175</v>
      </c>
      <c r="C355" s="290"/>
      <c r="D355" s="1145" t="s">
        <v>5</v>
      </c>
      <c r="E355" s="1146"/>
      <c r="F355" s="1147"/>
      <c r="G355" s="1148" t="s">
        <v>6</v>
      </c>
      <c r="H355" s="1149"/>
      <c r="I355" s="1150"/>
      <c r="J355" s="1138" t="s">
        <v>7</v>
      </c>
      <c r="K355" s="198" t="s">
        <v>8</v>
      </c>
    </row>
    <row r="356" spans="1:11" x14ac:dyDescent="0.25">
      <c r="A356" s="1140"/>
      <c r="B356" s="1143"/>
      <c r="C356" s="889" t="s">
        <v>4</v>
      </c>
      <c r="D356" s="198" t="s">
        <v>9</v>
      </c>
      <c r="E356" s="310" t="s">
        <v>10</v>
      </c>
      <c r="F356" s="310" t="s">
        <v>11</v>
      </c>
      <c r="G356" s="194" t="s">
        <v>12</v>
      </c>
      <c r="H356" s="193" t="s">
        <v>13</v>
      </c>
      <c r="I356" s="193" t="s">
        <v>11</v>
      </c>
      <c r="J356" s="1151"/>
      <c r="K356" s="192"/>
    </row>
    <row r="357" spans="1:11" x14ac:dyDescent="0.25">
      <c r="A357" s="1141"/>
      <c r="B357" s="1144"/>
      <c r="C357" s="229"/>
      <c r="D357" s="197" t="s">
        <v>14</v>
      </c>
      <c r="E357" s="195" t="s">
        <v>14</v>
      </c>
      <c r="F357" s="195" t="s">
        <v>14</v>
      </c>
      <c r="G357" s="196" t="s">
        <v>15</v>
      </c>
      <c r="H357" s="195" t="s">
        <v>14</v>
      </c>
      <c r="I357" s="195" t="s">
        <v>14</v>
      </c>
      <c r="J357" s="197" t="s">
        <v>15</v>
      </c>
      <c r="K357" s="197"/>
    </row>
    <row r="358" spans="1:11" ht="25.5" x14ac:dyDescent="0.25">
      <c r="A358" s="321" t="s">
        <v>180</v>
      </c>
      <c r="B358" s="696" t="s">
        <v>379</v>
      </c>
      <c r="C358" s="291"/>
      <c r="D358" s="121"/>
      <c r="E358" s="122"/>
      <c r="F358" s="122"/>
      <c r="G358" s="123"/>
      <c r="H358" s="122"/>
      <c r="I358" s="122"/>
      <c r="J358" s="121"/>
      <c r="K358" s="121"/>
    </row>
    <row r="359" spans="1:11" ht="25.5" x14ac:dyDescent="0.25">
      <c r="A359" s="160" t="s">
        <v>181</v>
      </c>
      <c r="B359" s="697" t="s">
        <v>380</v>
      </c>
      <c r="C359" s="261">
        <f>SUM(C360:C375)</f>
        <v>185000000</v>
      </c>
      <c r="D359" s="161"/>
      <c r="E359" s="161"/>
      <c r="F359" s="161"/>
      <c r="G359" s="82"/>
      <c r="H359" s="161"/>
      <c r="I359" s="161"/>
      <c r="J359" s="162"/>
      <c r="K359" s="162"/>
    </row>
    <row r="360" spans="1:11" ht="25.5" x14ac:dyDescent="0.25">
      <c r="A360" s="314" t="s">
        <v>44</v>
      </c>
      <c r="B360" s="707" t="s">
        <v>384</v>
      </c>
      <c r="C360" s="262">
        <v>8580000</v>
      </c>
      <c r="D360" s="134">
        <f>C360/C359*100</f>
        <v>4.6378378378378375</v>
      </c>
      <c r="E360" s="134">
        <f t="shared" ref="E360:E368" si="132">G360/C360*100</f>
        <v>89.16083916083916</v>
      </c>
      <c r="F360" s="134">
        <f t="shared" ref="F360:F368" si="133">(D360*E360)/100</f>
        <v>4.1351351351351351</v>
      </c>
      <c r="G360" s="181">
        <f>7650000</f>
        <v>7650000</v>
      </c>
      <c r="H360" s="134">
        <f t="shared" ref="H360:H368" si="134">G360/C360*100</f>
        <v>89.16083916083916</v>
      </c>
      <c r="I360" s="134">
        <f t="shared" ref="I360:I368" si="135">(D360*H360)/100</f>
        <v>4.1351351351351351</v>
      </c>
      <c r="J360" s="6">
        <f t="shared" ref="J360:J375" si="136">G360-C360</f>
        <v>-930000</v>
      </c>
      <c r="K360" s="10"/>
    </row>
    <row r="361" spans="1:11" x14ac:dyDescent="0.25">
      <c r="A361" s="314" t="s">
        <v>59</v>
      </c>
      <c r="B361" s="707" t="s">
        <v>197</v>
      </c>
      <c r="C361" s="262">
        <v>12218350</v>
      </c>
      <c r="D361" s="134">
        <f>C361/C359*100</f>
        <v>6.6045135135135133</v>
      </c>
      <c r="E361" s="134">
        <f t="shared" si="132"/>
        <v>49.106466912471816</v>
      </c>
      <c r="F361" s="134">
        <f t="shared" si="133"/>
        <v>3.2432432432432434</v>
      </c>
      <c r="G361" s="181">
        <f>6000000</f>
        <v>6000000</v>
      </c>
      <c r="H361" s="134">
        <f t="shared" si="134"/>
        <v>49.106466912471816</v>
      </c>
      <c r="I361" s="134">
        <f t="shared" si="135"/>
        <v>3.2432432432432434</v>
      </c>
      <c r="J361" s="6">
        <f t="shared" si="136"/>
        <v>-6218350</v>
      </c>
      <c r="K361" s="10"/>
    </row>
    <row r="362" spans="1:11" x14ac:dyDescent="0.25">
      <c r="A362" s="314" t="s">
        <v>62</v>
      </c>
      <c r="B362" s="707" t="s">
        <v>334</v>
      </c>
      <c r="C362" s="262">
        <v>9787450</v>
      </c>
      <c r="D362" s="134">
        <f>C362/C359*100</f>
        <v>5.2905135135135142</v>
      </c>
      <c r="E362" s="134">
        <f t="shared" si="132"/>
        <v>0</v>
      </c>
      <c r="F362" s="134">
        <f t="shared" si="133"/>
        <v>0</v>
      </c>
      <c r="G362" s="181">
        <v>0</v>
      </c>
      <c r="H362" s="134">
        <f t="shared" si="134"/>
        <v>0</v>
      </c>
      <c r="I362" s="134">
        <f t="shared" si="135"/>
        <v>0</v>
      </c>
      <c r="J362" s="6">
        <f t="shared" si="136"/>
        <v>-9787450</v>
      </c>
      <c r="K362" s="10"/>
    </row>
    <row r="363" spans="1:11" x14ac:dyDescent="0.25">
      <c r="A363" s="314" t="s">
        <v>148</v>
      </c>
      <c r="B363" s="133" t="s">
        <v>534</v>
      </c>
      <c r="C363" s="262">
        <v>8000000</v>
      </c>
      <c r="D363" s="134"/>
      <c r="E363" s="134"/>
      <c r="F363" s="134"/>
      <c r="G363" s="181">
        <f>8000000</f>
        <v>8000000</v>
      </c>
      <c r="H363" s="134"/>
      <c r="I363" s="134"/>
      <c r="J363" s="6">
        <f t="shared" si="136"/>
        <v>0</v>
      </c>
      <c r="K363" s="10"/>
    </row>
    <row r="364" spans="1:11" x14ac:dyDescent="0.25">
      <c r="A364" s="314" t="s">
        <v>194</v>
      </c>
      <c r="B364" s="49" t="s">
        <v>139</v>
      </c>
      <c r="C364" s="263">
        <v>42400000</v>
      </c>
      <c r="D364" s="134">
        <f>C364/C359*100</f>
        <v>22.918918918918919</v>
      </c>
      <c r="E364" s="134">
        <f t="shared" si="132"/>
        <v>82.523584905660371</v>
      </c>
      <c r="F364" s="134">
        <f t="shared" si="133"/>
        <v>18.913513513513511</v>
      </c>
      <c r="G364" s="181">
        <f>34990000</f>
        <v>34990000</v>
      </c>
      <c r="H364" s="134">
        <f t="shared" si="134"/>
        <v>82.523584905660371</v>
      </c>
      <c r="I364" s="134">
        <f t="shared" si="135"/>
        <v>18.913513513513511</v>
      </c>
      <c r="J364" s="6">
        <f t="shared" si="136"/>
        <v>-7410000</v>
      </c>
      <c r="K364" s="10"/>
    </row>
    <row r="365" spans="1:11" x14ac:dyDescent="0.25">
      <c r="A365" s="314" t="s">
        <v>183</v>
      </c>
      <c r="B365" s="49" t="s">
        <v>417</v>
      </c>
      <c r="C365" s="263">
        <v>4500000</v>
      </c>
      <c r="D365" s="134"/>
      <c r="E365" s="134">
        <f t="shared" si="132"/>
        <v>100</v>
      </c>
      <c r="F365" s="134"/>
      <c r="G365" s="181">
        <f>4500000</f>
        <v>4500000</v>
      </c>
      <c r="H365" s="134">
        <f t="shared" si="134"/>
        <v>100</v>
      </c>
      <c r="I365" s="134"/>
      <c r="J365" s="6">
        <f t="shared" si="136"/>
        <v>0</v>
      </c>
      <c r="K365" s="10"/>
    </row>
    <row r="366" spans="1:11" x14ac:dyDescent="0.25">
      <c r="A366" s="322" t="s">
        <v>195</v>
      </c>
      <c r="B366" s="170" t="s">
        <v>179</v>
      </c>
      <c r="C366" s="178">
        <v>24500000</v>
      </c>
      <c r="D366" s="134">
        <f>C366/C359*100</f>
        <v>13.243243243243244</v>
      </c>
      <c r="E366" s="134">
        <f t="shared" si="132"/>
        <v>100</v>
      </c>
      <c r="F366" s="134">
        <f t="shared" si="133"/>
        <v>13.243243243243244</v>
      </c>
      <c r="G366" s="181">
        <f>24500000</f>
        <v>24500000</v>
      </c>
      <c r="H366" s="134">
        <f t="shared" si="134"/>
        <v>100</v>
      </c>
      <c r="I366" s="134">
        <f t="shared" si="135"/>
        <v>13.243243243243244</v>
      </c>
      <c r="J366" s="6">
        <f t="shared" si="136"/>
        <v>0</v>
      </c>
      <c r="K366" s="10"/>
    </row>
    <row r="367" spans="1:11" x14ac:dyDescent="0.25">
      <c r="A367" s="322" t="s">
        <v>62</v>
      </c>
      <c r="B367" s="170" t="s">
        <v>418</v>
      </c>
      <c r="C367" s="178">
        <v>7500000</v>
      </c>
      <c r="D367" s="134"/>
      <c r="E367" s="134"/>
      <c r="F367" s="134"/>
      <c r="G367" s="181">
        <v>0</v>
      </c>
      <c r="H367" s="134"/>
      <c r="I367" s="134"/>
      <c r="J367" s="6">
        <f t="shared" si="136"/>
        <v>-7500000</v>
      </c>
      <c r="K367" s="10"/>
    </row>
    <row r="368" spans="1:11" ht="25.5" x14ac:dyDescent="0.25">
      <c r="A368" s="314" t="s">
        <v>106</v>
      </c>
      <c r="B368" s="316" t="s">
        <v>375</v>
      </c>
      <c r="C368" s="263">
        <v>16650000</v>
      </c>
      <c r="D368" s="134">
        <f>C368/C359*100</f>
        <v>9</v>
      </c>
      <c r="E368" s="134">
        <f t="shared" si="132"/>
        <v>92.792792792792795</v>
      </c>
      <c r="F368" s="134">
        <f t="shared" si="133"/>
        <v>8.3513513513513526</v>
      </c>
      <c r="G368" s="181">
        <f>15450000</f>
        <v>15450000</v>
      </c>
      <c r="H368" s="134">
        <f t="shared" si="134"/>
        <v>92.792792792792795</v>
      </c>
      <c r="I368" s="134">
        <f t="shared" si="135"/>
        <v>8.3513513513513526</v>
      </c>
      <c r="J368" s="6">
        <f t="shared" si="136"/>
        <v>-1200000</v>
      </c>
      <c r="K368" s="10"/>
    </row>
    <row r="369" spans="1:14" x14ac:dyDescent="0.25">
      <c r="A369" s="745" t="s">
        <v>162</v>
      </c>
      <c r="B369" s="746" t="s">
        <v>538</v>
      </c>
      <c r="C369" s="263">
        <v>3000000</v>
      </c>
      <c r="D369" s="134"/>
      <c r="E369" s="134"/>
      <c r="F369" s="134"/>
      <c r="G369" s="181">
        <f>3000000</f>
        <v>3000000</v>
      </c>
      <c r="H369" s="134"/>
      <c r="I369" s="134"/>
      <c r="J369" s="6">
        <f t="shared" si="136"/>
        <v>0</v>
      </c>
      <c r="K369" s="10"/>
    </row>
    <row r="370" spans="1:14" x14ac:dyDescent="0.25">
      <c r="A370" s="745" t="s">
        <v>521</v>
      </c>
      <c r="B370" s="746" t="s">
        <v>539</v>
      </c>
      <c r="C370" s="263">
        <v>3000000</v>
      </c>
      <c r="D370" s="134"/>
      <c r="E370" s="134"/>
      <c r="F370" s="134"/>
      <c r="G370" s="181">
        <f>3000000</f>
        <v>3000000</v>
      </c>
      <c r="H370" s="134"/>
      <c r="I370" s="134"/>
      <c r="J370" s="6">
        <f t="shared" si="136"/>
        <v>0</v>
      </c>
      <c r="K370" s="10"/>
    </row>
    <row r="371" spans="1:14" ht="25.5" x14ac:dyDescent="0.25">
      <c r="A371" s="745" t="s">
        <v>116</v>
      </c>
      <c r="B371" s="316" t="s">
        <v>420</v>
      </c>
      <c r="C371" s="263">
        <v>5464200</v>
      </c>
      <c r="D371" s="134"/>
      <c r="E371" s="134"/>
      <c r="F371" s="134"/>
      <c r="G371" s="181">
        <f>3000000</f>
        <v>3000000</v>
      </c>
      <c r="H371" s="134"/>
      <c r="I371" s="134"/>
      <c r="J371" s="6">
        <f t="shared" si="136"/>
        <v>-2464200</v>
      </c>
      <c r="K371" s="10"/>
    </row>
    <row r="372" spans="1:14" x14ac:dyDescent="0.25">
      <c r="A372" s="745" t="s">
        <v>65</v>
      </c>
      <c r="B372" s="754" t="s">
        <v>190</v>
      </c>
      <c r="C372" s="263">
        <v>7000000</v>
      </c>
      <c r="D372" s="134"/>
      <c r="E372" s="134"/>
      <c r="F372" s="134"/>
      <c r="G372" s="181">
        <f>6932360</f>
        <v>6932360</v>
      </c>
      <c r="H372" s="134"/>
      <c r="I372" s="134"/>
      <c r="J372" s="6">
        <f t="shared" si="136"/>
        <v>-67640</v>
      </c>
      <c r="K372" s="10"/>
    </row>
    <row r="373" spans="1:14" x14ac:dyDescent="0.25">
      <c r="A373" s="745" t="s">
        <v>400</v>
      </c>
      <c r="B373" s="754" t="s">
        <v>401</v>
      </c>
      <c r="C373" s="263">
        <v>7000000</v>
      </c>
      <c r="D373" s="134"/>
      <c r="E373" s="134"/>
      <c r="F373" s="134"/>
      <c r="G373" s="181">
        <f>7000000</f>
        <v>7000000</v>
      </c>
      <c r="H373" s="134"/>
      <c r="I373" s="134"/>
      <c r="J373" s="6">
        <f t="shared" si="136"/>
        <v>0</v>
      </c>
      <c r="K373" s="10"/>
    </row>
    <row r="374" spans="1:14" x14ac:dyDescent="0.25">
      <c r="A374" s="745" t="s">
        <v>301</v>
      </c>
      <c r="B374" s="746" t="s">
        <v>409</v>
      </c>
      <c r="C374" s="263">
        <v>20400000</v>
      </c>
      <c r="D374" s="134">
        <f>C374/C360*100</f>
        <v>237.76223776223776</v>
      </c>
      <c r="E374" s="134"/>
      <c r="F374" s="134"/>
      <c r="G374" s="181">
        <f>20400000</f>
        <v>20400000</v>
      </c>
      <c r="H374" s="134"/>
      <c r="I374" s="134"/>
      <c r="J374" s="6">
        <f t="shared" si="136"/>
        <v>0</v>
      </c>
      <c r="K374" s="10"/>
    </row>
    <row r="375" spans="1:14" x14ac:dyDescent="0.25">
      <c r="A375" s="745" t="s">
        <v>275</v>
      </c>
      <c r="B375" s="316" t="s">
        <v>543</v>
      </c>
      <c r="C375" s="263">
        <v>5000000</v>
      </c>
      <c r="D375" s="134"/>
      <c r="E375" s="134"/>
      <c r="F375" s="134"/>
      <c r="G375" s="181">
        <f>5000000</f>
        <v>5000000</v>
      </c>
      <c r="H375" s="134"/>
      <c r="I375" s="134"/>
      <c r="J375" s="6">
        <f t="shared" si="136"/>
        <v>0</v>
      </c>
      <c r="K375" s="10"/>
    </row>
    <row r="376" spans="1:14" x14ac:dyDescent="0.25">
      <c r="A376" s="1152" t="s">
        <v>95</v>
      </c>
      <c r="B376" s="1154"/>
      <c r="C376" s="822">
        <f>SUM(C360:C375)</f>
        <v>185000000</v>
      </c>
      <c r="D376" s="12">
        <f>SUM(D360:D368)</f>
        <v>61.695027027027024</v>
      </c>
      <c r="E376" s="134"/>
      <c r="F376" s="134"/>
      <c r="G376" s="837">
        <f>SUM(G360:G375)</f>
        <v>149422360</v>
      </c>
      <c r="H376" s="134"/>
      <c r="I376" s="134"/>
      <c r="J376" s="56">
        <v>0</v>
      </c>
      <c r="K376" s="3">
        <v>0</v>
      </c>
    </row>
    <row r="377" spans="1:14" x14ac:dyDescent="0.25">
      <c r="A377" s="5"/>
      <c r="B377" s="5"/>
      <c r="C377" s="5"/>
      <c r="D377" s="29"/>
      <c r="E377" s="30"/>
      <c r="F377" s="31"/>
      <c r="G377" s="36"/>
      <c r="H377" s="32"/>
      <c r="I377" s="31"/>
      <c r="J377" s="36"/>
      <c r="K377" s="37"/>
    </row>
    <row r="378" spans="1:14" ht="31.5" x14ac:dyDescent="0.25">
      <c r="A378" s="55"/>
      <c r="B378" s="46" t="s">
        <v>145</v>
      </c>
      <c r="C378" s="155"/>
      <c r="D378" s="44"/>
      <c r="E378" s="45"/>
      <c r="F378" s="45"/>
      <c r="G378" s="48"/>
      <c r="H378" s="45"/>
      <c r="I378" s="45"/>
      <c r="J378" s="44"/>
      <c r="K378" s="44"/>
      <c r="L378" s="1"/>
      <c r="M378" s="1"/>
      <c r="N378" s="1"/>
    </row>
    <row r="379" spans="1:14" x14ac:dyDescent="0.25">
      <c r="A379" s="1133" t="s">
        <v>2</v>
      </c>
      <c r="B379" s="1134" t="s">
        <v>175</v>
      </c>
      <c r="C379" s="1133" t="s">
        <v>4</v>
      </c>
      <c r="D379" s="1135" t="s">
        <v>5</v>
      </c>
      <c r="E379" s="1136"/>
      <c r="F379" s="1136"/>
      <c r="G379" s="1137" t="s">
        <v>6</v>
      </c>
      <c r="H379" s="1136"/>
      <c r="I379" s="1136"/>
      <c r="J379" s="1133" t="s">
        <v>7</v>
      </c>
      <c r="K379" s="198" t="s">
        <v>8</v>
      </c>
    </row>
    <row r="380" spans="1:14" x14ac:dyDescent="0.25">
      <c r="A380" s="1133"/>
      <c r="B380" s="1134"/>
      <c r="C380" s="1133"/>
      <c r="D380" s="198" t="s">
        <v>9</v>
      </c>
      <c r="E380" s="310" t="s">
        <v>10</v>
      </c>
      <c r="F380" s="310" t="s">
        <v>11</v>
      </c>
      <c r="G380" s="311" t="s">
        <v>12</v>
      </c>
      <c r="H380" s="310" t="s">
        <v>13</v>
      </c>
      <c r="I380" s="310" t="s">
        <v>11</v>
      </c>
      <c r="J380" s="1138"/>
      <c r="K380" s="192"/>
    </row>
    <row r="381" spans="1:14" x14ac:dyDescent="0.25">
      <c r="A381" s="1133"/>
      <c r="B381" s="1134"/>
      <c r="C381" s="1133"/>
      <c r="D381" s="197" t="s">
        <v>14</v>
      </c>
      <c r="E381" s="195" t="s">
        <v>14</v>
      </c>
      <c r="F381" s="195" t="s">
        <v>14</v>
      </c>
      <c r="G381" s="196" t="s">
        <v>15</v>
      </c>
      <c r="H381" s="195" t="s">
        <v>14</v>
      </c>
      <c r="I381" s="195" t="s">
        <v>14</v>
      </c>
      <c r="J381" s="197" t="s">
        <v>15</v>
      </c>
      <c r="K381" s="197"/>
    </row>
    <row r="382" spans="1:14" x14ac:dyDescent="0.25">
      <c r="A382" s="79" t="s">
        <v>185</v>
      </c>
      <c r="B382" s="199" t="s">
        <v>146</v>
      </c>
      <c r="C382" s="24"/>
      <c r="D382" s="10"/>
      <c r="E382" s="34"/>
      <c r="F382" s="34"/>
      <c r="G382" s="6"/>
      <c r="H382" s="34"/>
      <c r="I382" s="34"/>
      <c r="J382" s="10"/>
      <c r="K382" s="10"/>
    </row>
    <row r="383" spans="1:14" x14ac:dyDescent="0.25">
      <c r="A383" s="125" t="s">
        <v>184</v>
      </c>
      <c r="B383" s="280" t="s">
        <v>147</v>
      </c>
      <c r="C383" s="252">
        <f>SUM(C384:C385)</f>
        <v>1430900000</v>
      </c>
      <c r="D383" s="10"/>
      <c r="E383" s="34"/>
      <c r="F383" s="34"/>
      <c r="G383" s="6"/>
      <c r="H383" s="34"/>
      <c r="I383" s="34"/>
      <c r="J383" s="10"/>
      <c r="K383" s="10"/>
    </row>
    <row r="384" spans="1:14" ht="25.5" x14ac:dyDescent="0.25">
      <c r="A384" s="154" t="s">
        <v>44</v>
      </c>
      <c r="B384" s="707" t="s">
        <v>384</v>
      </c>
      <c r="C384" s="253">
        <v>30900000</v>
      </c>
      <c r="D384" s="134">
        <f>C384/C383*100</f>
        <v>2.1594800475225382</v>
      </c>
      <c r="E384" s="134">
        <f t="shared" ref="E384:E385" si="137">G384/C384*100</f>
        <v>50</v>
      </c>
      <c r="F384" s="134">
        <f t="shared" ref="F384:F385" si="138">(D384*E384)/100</f>
        <v>1.0797400237612691</v>
      </c>
      <c r="G384" s="181">
        <f>15450000</f>
        <v>15450000</v>
      </c>
      <c r="H384" s="134">
        <f t="shared" ref="H384:H385" si="139">G384/C384*100</f>
        <v>50</v>
      </c>
      <c r="I384" s="134">
        <f t="shared" ref="I384:I385" si="140">(D384*H384)/100</f>
        <v>1.0797400237612691</v>
      </c>
      <c r="J384" s="6">
        <f t="shared" ref="J384:J385" si="141">G384-C384</f>
        <v>-15450000</v>
      </c>
      <c r="K384" s="10"/>
    </row>
    <row r="385" spans="1:11" x14ac:dyDescent="0.25">
      <c r="A385" s="124" t="s">
        <v>148</v>
      </c>
      <c r="B385" s="133" t="s">
        <v>534</v>
      </c>
      <c r="C385" s="256">
        <v>1400000000</v>
      </c>
      <c r="D385" s="134">
        <f>C385/C383*100</f>
        <v>97.840519952477464</v>
      </c>
      <c r="E385" s="134">
        <f t="shared" si="137"/>
        <v>30.397104500000001</v>
      </c>
      <c r="F385" s="134">
        <f t="shared" si="138"/>
        <v>29.740685093297927</v>
      </c>
      <c r="G385" s="181">
        <f>425559463</f>
        <v>425559463</v>
      </c>
      <c r="H385" s="134">
        <f t="shared" si="139"/>
        <v>30.397104500000001</v>
      </c>
      <c r="I385" s="134">
        <f t="shared" si="140"/>
        <v>29.740685093297927</v>
      </c>
      <c r="J385" s="6">
        <f t="shared" si="141"/>
        <v>-974440537</v>
      </c>
      <c r="K385" s="10"/>
    </row>
    <row r="386" spans="1:11" x14ac:dyDescent="0.25">
      <c r="A386" s="70"/>
      <c r="B386" s="129" t="s">
        <v>95</v>
      </c>
      <c r="C386" s="807">
        <f>SUM(C384:C385)</f>
        <v>1430900000</v>
      </c>
      <c r="D386" s="271">
        <f>SUM(D384:D385)</f>
        <v>100</v>
      </c>
      <c r="E386" s="134"/>
      <c r="F386" s="134"/>
      <c r="G386" s="181">
        <f>SUM(G384:G385)</f>
        <v>441009463</v>
      </c>
      <c r="H386" s="134"/>
      <c r="I386" s="134"/>
      <c r="J386" s="56">
        <v>0</v>
      </c>
      <c r="K386" s="130"/>
    </row>
    <row r="387" spans="1:11" x14ac:dyDescent="0.25">
      <c r="A387" s="5"/>
      <c r="B387" s="5"/>
      <c r="C387" s="5"/>
      <c r="D387" s="29"/>
      <c r="E387" s="30"/>
      <c r="F387" s="31"/>
      <c r="G387" s="36"/>
      <c r="H387" s="32"/>
      <c r="I387" s="31"/>
      <c r="J387" s="36"/>
      <c r="K387" s="37"/>
    </row>
    <row r="388" spans="1:11" x14ac:dyDescent="0.25">
      <c r="A388" s="1133" t="s">
        <v>2</v>
      </c>
      <c r="B388" s="1134" t="s">
        <v>175</v>
      </c>
      <c r="C388" s="1133" t="s">
        <v>4</v>
      </c>
      <c r="D388" s="1135" t="s">
        <v>5</v>
      </c>
      <c r="E388" s="1136"/>
      <c r="F388" s="1136"/>
      <c r="G388" s="1137" t="s">
        <v>6</v>
      </c>
      <c r="H388" s="1136"/>
      <c r="I388" s="1136"/>
      <c r="J388" s="1133" t="s">
        <v>7</v>
      </c>
      <c r="K388" s="198" t="s">
        <v>8</v>
      </c>
    </row>
    <row r="389" spans="1:11" x14ac:dyDescent="0.25">
      <c r="A389" s="1133"/>
      <c r="B389" s="1134"/>
      <c r="C389" s="1133"/>
      <c r="D389" s="198" t="s">
        <v>9</v>
      </c>
      <c r="E389" s="310" t="s">
        <v>10</v>
      </c>
      <c r="F389" s="310" t="s">
        <v>11</v>
      </c>
      <c r="G389" s="311" t="s">
        <v>12</v>
      </c>
      <c r="H389" s="310" t="s">
        <v>13</v>
      </c>
      <c r="I389" s="310" t="s">
        <v>11</v>
      </c>
      <c r="J389" s="1138"/>
      <c r="K389" s="192"/>
    </row>
    <row r="390" spans="1:11" x14ac:dyDescent="0.25">
      <c r="A390" s="1133"/>
      <c r="B390" s="1134"/>
      <c r="C390" s="1133"/>
      <c r="D390" s="197" t="s">
        <v>14</v>
      </c>
      <c r="E390" s="195" t="s">
        <v>14</v>
      </c>
      <c r="F390" s="195" t="s">
        <v>14</v>
      </c>
      <c r="G390" s="196" t="s">
        <v>15</v>
      </c>
      <c r="H390" s="195" t="s">
        <v>14</v>
      </c>
      <c r="I390" s="195" t="s">
        <v>14</v>
      </c>
      <c r="J390" s="197" t="s">
        <v>15</v>
      </c>
      <c r="K390" s="197"/>
    </row>
    <row r="391" spans="1:11" x14ac:dyDescent="0.25">
      <c r="A391" s="79" t="s">
        <v>185</v>
      </c>
      <c r="B391" s="199" t="s">
        <v>146</v>
      </c>
      <c r="C391" s="24"/>
      <c r="D391" s="10"/>
      <c r="E391" s="34"/>
      <c r="F391" s="34"/>
      <c r="G391" s="6"/>
      <c r="H391" s="34"/>
      <c r="I391" s="34"/>
      <c r="J391" s="10"/>
      <c r="K391" s="10"/>
    </row>
    <row r="392" spans="1:11" x14ac:dyDescent="0.25">
      <c r="A392" s="125" t="s">
        <v>187</v>
      </c>
      <c r="B392" s="280" t="s">
        <v>156</v>
      </c>
      <c r="C392" s="252">
        <f>SUM(C393:C396)</f>
        <v>870474720</v>
      </c>
      <c r="D392" s="10"/>
      <c r="E392" s="14"/>
      <c r="F392" s="34"/>
      <c r="G392" s="6"/>
      <c r="H392" s="34"/>
      <c r="I392" s="34"/>
      <c r="J392" s="35"/>
      <c r="K392" s="10"/>
    </row>
    <row r="393" spans="1:11" ht="25.5" x14ac:dyDescent="0.25">
      <c r="A393" s="49" t="s">
        <v>59</v>
      </c>
      <c r="B393" s="707" t="s">
        <v>384</v>
      </c>
      <c r="C393" s="256">
        <v>26160000</v>
      </c>
      <c r="D393" s="34">
        <f>C393/C392*100</f>
        <v>3.0052567178516112</v>
      </c>
      <c r="E393" s="134">
        <f t="shared" ref="E393:E395" si="142">G393/C393*100</f>
        <v>50</v>
      </c>
      <c r="F393" s="134">
        <f t="shared" ref="F393:F395" si="143">(D393*E393)/100</f>
        <v>1.5026283589258056</v>
      </c>
      <c r="G393" s="181">
        <f>13080000</f>
        <v>13080000</v>
      </c>
      <c r="H393" s="134">
        <f t="shared" ref="H393:H395" si="144">G393/C393*100</f>
        <v>50</v>
      </c>
      <c r="I393" s="134">
        <f t="shared" ref="I393:I395" si="145">(D393*H393)/100</f>
        <v>1.5026283589258056</v>
      </c>
      <c r="J393" s="6">
        <f t="shared" ref="J393:J396" si="146">G393-C393</f>
        <v>-13080000</v>
      </c>
      <c r="K393" s="10"/>
    </row>
    <row r="394" spans="1:11" x14ac:dyDescent="0.25">
      <c r="A394" s="49" t="s">
        <v>148</v>
      </c>
      <c r="B394" s="133" t="s">
        <v>534</v>
      </c>
      <c r="C394" s="264">
        <v>600000000</v>
      </c>
      <c r="D394" s="134">
        <f>C394/C392*100</f>
        <v>68.927906372743365</v>
      </c>
      <c r="E394" s="134">
        <f t="shared" si="142"/>
        <v>69.786666666666662</v>
      </c>
      <c r="F394" s="134">
        <f t="shared" si="143"/>
        <v>48.102488260658504</v>
      </c>
      <c r="G394" s="181">
        <f>406470000+12250000</f>
        <v>418720000</v>
      </c>
      <c r="H394" s="134">
        <f t="shared" si="144"/>
        <v>69.786666666666662</v>
      </c>
      <c r="I394" s="134">
        <f t="shared" si="145"/>
        <v>48.102488260658504</v>
      </c>
      <c r="J394" s="6">
        <f t="shared" si="146"/>
        <v>-181280000</v>
      </c>
      <c r="K394" s="3"/>
    </row>
    <row r="395" spans="1:11" s="84" customFormat="1" ht="25.5" x14ac:dyDescent="0.2">
      <c r="A395" s="723" t="s">
        <v>152</v>
      </c>
      <c r="B395" s="133" t="s">
        <v>153</v>
      </c>
      <c r="C395" s="264">
        <v>240000000</v>
      </c>
      <c r="D395" s="134">
        <f>C395/C392*100</f>
        <v>27.571162549097352</v>
      </c>
      <c r="E395" s="134">
        <f t="shared" si="142"/>
        <v>41.666666666666671</v>
      </c>
      <c r="F395" s="134">
        <f t="shared" si="143"/>
        <v>11.48798439545723</v>
      </c>
      <c r="G395" s="181">
        <f>100000000</f>
        <v>100000000</v>
      </c>
      <c r="H395" s="134">
        <f t="shared" si="144"/>
        <v>41.666666666666671</v>
      </c>
      <c r="I395" s="134">
        <f t="shared" si="145"/>
        <v>11.48798439545723</v>
      </c>
      <c r="J395" s="6">
        <f t="shared" si="146"/>
        <v>-140000000</v>
      </c>
      <c r="K395" s="85"/>
    </row>
    <row r="396" spans="1:11" s="84" customFormat="1" x14ac:dyDescent="0.2">
      <c r="A396" s="749" t="s">
        <v>234</v>
      </c>
      <c r="B396" s="133" t="s">
        <v>522</v>
      </c>
      <c r="C396" s="264">
        <v>4314720</v>
      </c>
      <c r="D396" s="804"/>
      <c r="E396" s="134"/>
      <c r="F396" s="134"/>
      <c r="G396" s="181">
        <f>4314720</f>
        <v>4314720</v>
      </c>
      <c r="H396" s="134"/>
      <c r="I396" s="134"/>
      <c r="J396" s="6">
        <f t="shared" si="146"/>
        <v>0</v>
      </c>
      <c r="K396" s="823"/>
    </row>
    <row r="397" spans="1:11" x14ac:dyDescent="0.25">
      <c r="A397" s="73"/>
      <c r="B397" s="136" t="s">
        <v>154</v>
      </c>
      <c r="C397" s="824">
        <f>SUM(C393:C396)</f>
        <v>870474720</v>
      </c>
      <c r="D397" s="272">
        <f>SUM(D393:D395)</f>
        <v>99.504325639692325</v>
      </c>
      <c r="E397" s="134"/>
      <c r="F397" s="134"/>
      <c r="G397" s="181">
        <f>SUM(G393:G396)</f>
        <v>536114720</v>
      </c>
      <c r="H397" s="134"/>
      <c r="I397" s="134"/>
      <c r="J397" s="56">
        <v>0</v>
      </c>
      <c r="K397" s="40"/>
    </row>
    <row r="398" spans="1:11" x14ac:dyDescent="0.25">
      <c r="A398" s="50"/>
      <c r="B398" s="5"/>
      <c r="C398" s="50" t="s">
        <v>141</v>
      </c>
      <c r="D398" s="9"/>
      <c r="E398" s="23"/>
      <c r="F398" s="23"/>
      <c r="G398" s="11"/>
      <c r="H398" s="23"/>
      <c r="I398" s="23"/>
      <c r="J398" s="9"/>
      <c r="K398" s="9"/>
    </row>
    <row r="399" spans="1:11" x14ac:dyDescent="0.25">
      <c r="A399" s="50"/>
      <c r="B399" s="5"/>
      <c r="C399" s="50"/>
      <c r="D399" s="9"/>
      <c r="E399" s="23"/>
      <c r="F399" s="23"/>
      <c r="G399" s="11"/>
      <c r="H399" s="23"/>
      <c r="I399" s="23"/>
      <c r="J399" s="9"/>
      <c r="K399" s="9"/>
    </row>
    <row r="400" spans="1:11" x14ac:dyDescent="0.25">
      <c r="A400" s="1123" t="s">
        <v>2</v>
      </c>
      <c r="B400" s="1126" t="s">
        <v>171</v>
      </c>
      <c r="C400" s="1123" t="s">
        <v>4</v>
      </c>
      <c r="D400" s="1155" t="s">
        <v>5</v>
      </c>
      <c r="E400" s="1156"/>
      <c r="F400" s="1157"/>
      <c r="G400" s="1158" t="s">
        <v>6</v>
      </c>
      <c r="H400" s="1159"/>
      <c r="I400" s="1160"/>
      <c r="J400" s="1123" t="s">
        <v>7</v>
      </c>
      <c r="K400" s="289" t="s">
        <v>8</v>
      </c>
    </row>
    <row r="401" spans="1:14" x14ac:dyDescent="0.25">
      <c r="A401" s="1124"/>
      <c r="B401" s="1127"/>
      <c r="C401" s="1124"/>
      <c r="D401" s="289" t="s">
        <v>9</v>
      </c>
      <c r="E401" s="308" t="s">
        <v>10</v>
      </c>
      <c r="F401" s="308" t="s">
        <v>11</v>
      </c>
      <c r="G401" s="309" t="s">
        <v>12</v>
      </c>
      <c r="H401" s="308" t="s">
        <v>13</v>
      </c>
      <c r="I401" s="308" t="s">
        <v>11</v>
      </c>
      <c r="J401" s="1124"/>
      <c r="K401" s="115"/>
    </row>
    <row r="402" spans="1:14" x14ac:dyDescent="0.25">
      <c r="A402" s="1125"/>
      <c r="B402" s="1128"/>
      <c r="C402" s="1125"/>
      <c r="D402" s="118" t="s">
        <v>14</v>
      </c>
      <c r="E402" s="119" t="s">
        <v>14</v>
      </c>
      <c r="F402" s="119" t="s">
        <v>14</v>
      </c>
      <c r="G402" s="120" t="s">
        <v>15</v>
      </c>
      <c r="H402" s="119" t="s">
        <v>14</v>
      </c>
      <c r="I402" s="119" t="s">
        <v>14</v>
      </c>
      <c r="J402" s="118" t="s">
        <v>15</v>
      </c>
      <c r="K402" s="118"/>
    </row>
    <row r="403" spans="1:14" ht="25.5" x14ac:dyDescent="0.25">
      <c r="A403" s="79" t="s">
        <v>180</v>
      </c>
      <c r="B403" s="696" t="s">
        <v>379</v>
      </c>
      <c r="C403" s="128"/>
      <c r="D403" s="10"/>
      <c r="E403" s="34"/>
      <c r="F403" s="34"/>
      <c r="G403" s="6"/>
      <c r="H403" s="34"/>
      <c r="I403" s="34"/>
      <c r="J403" s="10"/>
      <c r="K403" s="10"/>
    </row>
    <row r="404" spans="1:14" ht="25.5" x14ac:dyDescent="0.25">
      <c r="A404" s="158" t="s">
        <v>181</v>
      </c>
      <c r="B404" s="697" t="s">
        <v>380</v>
      </c>
      <c r="C404" s="265">
        <f>SUM(C405:C416)</f>
        <v>185000000</v>
      </c>
      <c r="D404" s="10"/>
      <c r="E404" s="34"/>
      <c r="F404" s="34"/>
      <c r="G404" s="6"/>
      <c r="H404" s="34"/>
      <c r="I404" s="34"/>
      <c r="J404" s="10"/>
      <c r="K404" s="10"/>
    </row>
    <row r="405" spans="1:14" ht="25.5" x14ac:dyDescent="0.25">
      <c r="A405" s="74" t="s">
        <v>44</v>
      </c>
      <c r="B405" s="707" t="s">
        <v>384</v>
      </c>
      <c r="C405" s="266">
        <v>8580000</v>
      </c>
      <c r="D405" s="134">
        <f>C405/C404*100</f>
        <v>4.6378378378378375</v>
      </c>
      <c r="E405" s="134">
        <f t="shared" ref="E405:E413" si="147">G405/C405*100</f>
        <v>100</v>
      </c>
      <c r="F405" s="134">
        <f t="shared" ref="F405:F413" si="148">(D405*E405)/100</f>
        <v>4.6378378378378375</v>
      </c>
      <c r="G405" s="181">
        <f>8580000</f>
        <v>8580000</v>
      </c>
      <c r="H405" s="134">
        <f t="shared" ref="H405:H413" si="149">G405/C405*100</f>
        <v>100</v>
      </c>
      <c r="I405" s="134">
        <f t="shared" ref="I405:I413" si="150">(D405*H405)/100</f>
        <v>4.6378378378378375</v>
      </c>
      <c r="J405" s="6">
        <f t="shared" ref="J405:J416" si="151">G405-C405</f>
        <v>0</v>
      </c>
      <c r="K405" s="10"/>
      <c r="L405" s="1"/>
      <c r="M405" s="1"/>
      <c r="N405" s="25"/>
    </row>
    <row r="406" spans="1:14" x14ac:dyDescent="0.25">
      <c r="A406" s="74" t="s">
        <v>59</v>
      </c>
      <c r="B406" s="707" t="s">
        <v>197</v>
      </c>
      <c r="C406" s="266">
        <v>12180000</v>
      </c>
      <c r="D406" s="134">
        <f>C406/C404*100</f>
        <v>6.583783783783784</v>
      </c>
      <c r="E406" s="134">
        <f t="shared" si="147"/>
        <v>53.362479474548444</v>
      </c>
      <c r="F406" s="134">
        <f t="shared" si="148"/>
        <v>3.5132702702702705</v>
      </c>
      <c r="G406" s="181">
        <f>6499550</f>
        <v>6499550</v>
      </c>
      <c r="H406" s="134">
        <f t="shared" si="149"/>
        <v>53.362479474548444</v>
      </c>
      <c r="I406" s="134">
        <f t="shared" si="150"/>
        <v>3.5132702702702705</v>
      </c>
      <c r="J406" s="6">
        <f t="shared" si="151"/>
        <v>-5680450</v>
      </c>
      <c r="K406" s="10"/>
      <c r="L406" s="1"/>
      <c r="M406" s="1"/>
      <c r="N406" s="1"/>
    </row>
    <row r="407" spans="1:14" x14ac:dyDescent="0.25">
      <c r="A407" s="74" t="s">
        <v>62</v>
      </c>
      <c r="B407" s="707" t="s">
        <v>334</v>
      </c>
      <c r="C407" s="266">
        <v>9590000</v>
      </c>
      <c r="D407" s="134">
        <f>C407/C404*100</f>
        <v>5.1837837837837837</v>
      </c>
      <c r="E407" s="134">
        <f t="shared" si="147"/>
        <v>40.667361835245046</v>
      </c>
      <c r="F407" s="134">
        <f t="shared" si="148"/>
        <v>2.1081081081081079</v>
      </c>
      <c r="G407" s="181">
        <f>3900000</f>
        <v>3900000</v>
      </c>
      <c r="H407" s="134">
        <f t="shared" si="149"/>
        <v>40.667361835245046</v>
      </c>
      <c r="I407" s="134">
        <f t="shared" si="150"/>
        <v>2.1081081081081079</v>
      </c>
      <c r="J407" s="6">
        <f t="shared" si="151"/>
        <v>-5690000</v>
      </c>
      <c r="K407" s="10"/>
      <c r="L407" s="1"/>
      <c r="M407" s="1"/>
      <c r="N407" s="1"/>
    </row>
    <row r="408" spans="1:14" ht="25.5" x14ac:dyDescent="0.25">
      <c r="A408" s="49" t="s">
        <v>193</v>
      </c>
      <c r="B408" s="707" t="s">
        <v>537</v>
      </c>
      <c r="C408" s="266">
        <v>5250000</v>
      </c>
      <c r="D408" s="134"/>
      <c r="E408" s="134"/>
      <c r="F408" s="134"/>
      <c r="G408" s="181">
        <f>5250000</f>
        <v>5250000</v>
      </c>
      <c r="H408" s="134"/>
      <c r="I408" s="134"/>
      <c r="J408" s="6">
        <f t="shared" si="151"/>
        <v>0</v>
      </c>
      <c r="K408" s="10"/>
      <c r="L408" s="1"/>
      <c r="M408" s="1"/>
      <c r="N408" s="1"/>
    </row>
    <row r="409" spans="1:14" x14ac:dyDescent="0.25">
      <c r="A409" s="49" t="s">
        <v>148</v>
      </c>
      <c r="B409" s="133" t="s">
        <v>534</v>
      </c>
      <c r="C409" s="266">
        <v>8000000</v>
      </c>
      <c r="D409" s="134"/>
      <c r="E409" s="134"/>
      <c r="F409" s="134"/>
      <c r="G409" s="181">
        <f>8000000</f>
        <v>8000000</v>
      </c>
      <c r="H409" s="134"/>
      <c r="I409" s="134"/>
      <c r="J409" s="6">
        <f t="shared" si="151"/>
        <v>0</v>
      </c>
      <c r="K409" s="10"/>
      <c r="L409" s="1"/>
      <c r="M409" s="1"/>
      <c r="N409" s="1"/>
    </row>
    <row r="410" spans="1:14" x14ac:dyDescent="0.25">
      <c r="A410" s="74" t="s">
        <v>77</v>
      </c>
      <c r="B410" s="49" t="s">
        <v>143</v>
      </c>
      <c r="C410" s="266">
        <v>69700000</v>
      </c>
      <c r="D410" s="134">
        <f>C410/C404*100</f>
        <v>37.675675675675677</v>
      </c>
      <c r="E410" s="134">
        <f t="shared" si="147"/>
        <v>67.137733142037305</v>
      </c>
      <c r="F410" s="134">
        <f t="shared" si="148"/>
        <v>25.294594594594596</v>
      </c>
      <c r="G410" s="181">
        <f>46795000</f>
        <v>46795000</v>
      </c>
      <c r="H410" s="134">
        <f t="shared" si="149"/>
        <v>67.137733142037305</v>
      </c>
      <c r="I410" s="134">
        <f t="shared" si="150"/>
        <v>25.294594594594596</v>
      </c>
      <c r="J410" s="6">
        <f t="shared" si="151"/>
        <v>-22905000</v>
      </c>
      <c r="K410" s="10"/>
      <c r="L410" s="1"/>
      <c r="M410" s="1"/>
      <c r="N410" s="1"/>
    </row>
    <row r="411" spans="1:14" x14ac:dyDescent="0.25">
      <c r="A411" s="314" t="s">
        <v>183</v>
      </c>
      <c r="B411" s="49" t="s">
        <v>417</v>
      </c>
      <c r="C411" s="266">
        <v>14400000</v>
      </c>
      <c r="D411" s="134"/>
      <c r="E411" s="134"/>
      <c r="F411" s="134"/>
      <c r="G411" s="181">
        <f>4600000</f>
        <v>4600000</v>
      </c>
      <c r="H411" s="134"/>
      <c r="I411" s="134"/>
      <c r="J411" s="6">
        <f t="shared" si="151"/>
        <v>-9800000</v>
      </c>
      <c r="K411" s="10"/>
      <c r="L411" s="1"/>
      <c r="M411" s="1"/>
      <c r="N411" s="1"/>
    </row>
    <row r="412" spans="1:14" x14ac:dyDescent="0.25">
      <c r="A412" s="74" t="s">
        <v>186</v>
      </c>
      <c r="B412" s="170" t="s">
        <v>182</v>
      </c>
      <c r="C412" s="266">
        <v>31000000</v>
      </c>
      <c r="D412" s="134">
        <f>C412/C404*100</f>
        <v>16.756756756756758</v>
      </c>
      <c r="E412" s="134">
        <f t="shared" si="147"/>
        <v>100</v>
      </c>
      <c r="F412" s="134">
        <f t="shared" si="148"/>
        <v>16.756756756756758</v>
      </c>
      <c r="G412" s="181">
        <f>31000000</f>
        <v>31000000</v>
      </c>
      <c r="H412" s="134">
        <f t="shared" si="149"/>
        <v>100</v>
      </c>
      <c r="I412" s="134">
        <f t="shared" si="150"/>
        <v>16.756756756756758</v>
      </c>
      <c r="J412" s="6">
        <f t="shared" si="151"/>
        <v>0</v>
      </c>
      <c r="K412" s="10"/>
      <c r="L412" s="1"/>
      <c r="M412" s="1"/>
      <c r="N412" s="1"/>
    </row>
    <row r="413" spans="1:14" ht="25.5" x14ac:dyDescent="0.25">
      <c r="A413" s="74" t="s">
        <v>106</v>
      </c>
      <c r="B413" s="316" t="s">
        <v>375</v>
      </c>
      <c r="C413" s="266">
        <v>15300000</v>
      </c>
      <c r="D413" s="134">
        <f>C413/C404*100</f>
        <v>8.2702702702702702</v>
      </c>
      <c r="E413" s="134">
        <f t="shared" si="147"/>
        <v>86.928104575163403</v>
      </c>
      <c r="F413" s="134">
        <f t="shared" si="148"/>
        <v>7.1891891891891895</v>
      </c>
      <c r="G413" s="181">
        <f>13300000</f>
        <v>13300000</v>
      </c>
      <c r="H413" s="134">
        <f t="shared" si="149"/>
        <v>86.928104575163403</v>
      </c>
      <c r="I413" s="134">
        <f t="shared" si="150"/>
        <v>7.1891891891891895</v>
      </c>
      <c r="J413" s="6">
        <f t="shared" si="151"/>
        <v>-2000000</v>
      </c>
      <c r="K413" s="10"/>
      <c r="L413" s="1"/>
      <c r="M413" s="1"/>
      <c r="N413" s="1"/>
    </row>
    <row r="414" spans="1:14" x14ac:dyDescent="0.25">
      <c r="A414" s="755" t="s">
        <v>116</v>
      </c>
      <c r="B414" s="316" t="s">
        <v>538</v>
      </c>
      <c r="C414" s="266">
        <v>2000000</v>
      </c>
      <c r="D414" s="134">
        <f>C414/C405*100</f>
        <v>23.310023310023308</v>
      </c>
      <c r="E414" s="134"/>
      <c r="F414" s="134"/>
      <c r="G414" s="181">
        <f>2000000</f>
        <v>2000000</v>
      </c>
      <c r="H414" s="134"/>
      <c r="I414" s="134"/>
      <c r="J414" s="6">
        <f t="shared" si="151"/>
        <v>0</v>
      </c>
      <c r="K414" s="10"/>
      <c r="L414" s="1"/>
      <c r="M414" s="1"/>
      <c r="N414" s="1"/>
    </row>
    <row r="415" spans="1:14" x14ac:dyDescent="0.25">
      <c r="A415" s="755" t="s">
        <v>521</v>
      </c>
      <c r="B415" s="316" t="s">
        <v>539</v>
      </c>
      <c r="C415" s="266">
        <v>2000000</v>
      </c>
      <c r="D415" s="134"/>
      <c r="E415" s="134"/>
      <c r="F415" s="134"/>
      <c r="G415" s="181">
        <f>2000000</f>
        <v>2000000</v>
      </c>
      <c r="H415" s="134"/>
      <c r="I415" s="134"/>
      <c r="J415" s="6">
        <f t="shared" si="151"/>
        <v>0</v>
      </c>
      <c r="K415" s="10"/>
      <c r="L415" s="1"/>
      <c r="M415" s="1"/>
      <c r="N415" s="1"/>
    </row>
    <row r="416" spans="1:14" x14ac:dyDescent="0.25">
      <c r="A416" s="755" t="s">
        <v>65</v>
      </c>
      <c r="B416" s="316" t="s">
        <v>190</v>
      </c>
      <c r="C416" s="266">
        <v>7000000</v>
      </c>
      <c r="D416" s="134"/>
      <c r="E416" s="134"/>
      <c r="F416" s="134"/>
      <c r="G416" s="181">
        <f>6932360</f>
        <v>6932360</v>
      </c>
      <c r="H416" s="134"/>
      <c r="I416" s="134"/>
      <c r="J416" s="6">
        <f t="shared" si="151"/>
        <v>-67640</v>
      </c>
      <c r="K416" s="10"/>
      <c r="L416" s="1"/>
      <c r="M416" s="1"/>
      <c r="N416" s="1"/>
    </row>
    <row r="417" spans="1:14" x14ac:dyDescent="0.25">
      <c r="A417" s="1152" t="s">
        <v>128</v>
      </c>
      <c r="B417" s="1154"/>
      <c r="C417" s="57">
        <f>SUM(C405:C416)</f>
        <v>185000000</v>
      </c>
      <c r="D417" s="273">
        <f>SUM(D405:D413)</f>
        <v>79.108108108108112</v>
      </c>
      <c r="E417" s="134"/>
      <c r="F417" s="134"/>
      <c r="G417" s="13">
        <f>SUM(G405:G416)</f>
        <v>138856910</v>
      </c>
      <c r="H417" s="134"/>
      <c r="I417" s="134"/>
      <c r="J417" s="56">
        <v>0</v>
      </c>
      <c r="K417" s="12"/>
      <c r="L417" s="9"/>
      <c r="M417" s="9"/>
      <c r="N417" s="9"/>
    </row>
    <row r="418" spans="1:14" x14ac:dyDescent="0.25">
      <c r="A418" s="5"/>
      <c r="B418" s="5"/>
      <c r="C418" s="65"/>
      <c r="D418" s="66"/>
      <c r="E418" s="30"/>
      <c r="F418" s="31"/>
      <c r="G418" s="36"/>
      <c r="H418" s="30"/>
      <c r="I418" s="31"/>
      <c r="J418" s="33"/>
      <c r="K418" s="29"/>
      <c r="L418" s="9"/>
      <c r="M418" s="9"/>
      <c r="N418" s="9"/>
    </row>
    <row r="419" spans="1:14" ht="31.5" x14ac:dyDescent="0.25">
      <c r="A419" s="55"/>
      <c r="B419" s="46" t="s">
        <v>145</v>
      </c>
      <c r="C419" s="155"/>
      <c r="D419" s="44"/>
      <c r="E419" s="45"/>
      <c r="F419" s="45"/>
      <c r="G419" s="48"/>
      <c r="H419" s="45"/>
      <c r="I419" s="45"/>
      <c r="J419" s="44"/>
      <c r="K419" s="44"/>
      <c r="L419" s="1"/>
      <c r="M419" s="1"/>
      <c r="N419" s="1"/>
    </row>
    <row r="420" spans="1:14" x14ac:dyDescent="0.25">
      <c r="A420" s="1119" t="s">
        <v>2</v>
      </c>
      <c r="B420" s="1120" t="s">
        <v>171</v>
      </c>
      <c r="C420" s="1119" t="s">
        <v>4</v>
      </c>
      <c r="D420" s="1121" t="s">
        <v>5</v>
      </c>
      <c r="E420" s="1132"/>
      <c r="F420" s="1132"/>
      <c r="G420" s="1122" t="s">
        <v>6</v>
      </c>
      <c r="H420" s="1132"/>
      <c r="I420" s="1132"/>
      <c r="J420" s="1119" t="s">
        <v>7</v>
      </c>
      <c r="K420" s="289" t="s">
        <v>8</v>
      </c>
      <c r="L420" s="1"/>
      <c r="M420" s="1"/>
    </row>
    <row r="421" spans="1:14" x14ac:dyDescent="0.25">
      <c r="A421" s="1119"/>
      <c r="B421" s="1120"/>
      <c r="C421" s="1119"/>
      <c r="D421" s="289" t="s">
        <v>9</v>
      </c>
      <c r="E421" s="308" t="s">
        <v>10</v>
      </c>
      <c r="F421" s="308" t="s">
        <v>11</v>
      </c>
      <c r="G421" s="309" t="s">
        <v>12</v>
      </c>
      <c r="H421" s="308" t="s">
        <v>13</v>
      </c>
      <c r="I421" s="308" t="s">
        <v>11</v>
      </c>
      <c r="J421" s="1123"/>
      <c r="K421" s="115"/>
      <c r="L421" s="1"/>
      <c r="M421" s="1"/>
    </row>
    <row r="422" spans="1:14" x14ac:dyDescent="0.25">
      <c r="A422" s="1119"/>
      <c r="B422" s="1120"/>
      <c r="C422" s="1119"/>
      <c r="D422" s="118" t="s">
        <v>14</v>
      </c>
      <c r="E422" s="119" t="s">
        <v>14</v>
      </c>
      <c r="F422" s="119" t="s">
        <v>14</v>
      </c>
      <c r="G422" s="120" t="s">
        <v>15</v>
      </c>
      <c r="H422" s="119" t="s">
        <v>14</v>
      </c>
      <c r="I422" s="119" t="s">
        <v>14</v>
      </c>
      <c r="J422" s="118" t="s">
        <v>15</v>
      </c>
      <c r="K422" s="118"/>
      <c r="L422" s="1"/>
      <c r="M422" s="1"/>
    </row>
    <row r="423" spans="1:14" x14ac:dyDescent="0.25">
      <c r="A423" s="79" t="s">
        <v>185</v>
      </c>
      <c r="B423" s="199" t="s">
        <v>146</v>
      </c>
      <c r="C423" s="24"/>
      <c r="D423" s="10"/>
      <c r="E423" s="34"/>
      <c r="F423" s="34"/>
      <c r="G423" s="6"/>
      <c r="H423" s="34"/>
      <c r="I423" s="34"/>
      <c r="J423" s="10"/>
      <c r="K423" s="10"/>
      <c r="L423" s="1"/>
      <c r="M423" s="25"/>
    </row>
    <row r="424" spans="1:14" x14ac:dyDescent="0.25">
      <c r="A424" s="125" t="s">
        <v>184</v>
      </c>
      <c r="B424" s="280" t="s">
        <v>147</v>
      </c>
      <c r="C424" s="252">
        <f>SUM(C425:C426)</f>
        <v>5850440000</v>
      </c>
      <c r="D424" s="10"/>
      <c r="E424" s="34"/>
      <c r="F424" s="34"/>
      <c r="G424" s="6"/>
      <c r="H424" s="34"/>
      <c r="I424" s="34"/>
      <c r="J424" s="10"/>
      <c r="K424" s="10"/>
      <c r="L424" s="1"/>
      <c r="M424" s="1"/>
    </row>
    <row r="425" spans="1:14" x14ac:dyDescent="0.25">
      <c r="A425" s="154" t="s">
        <v>413</v>
      </c>
      <c r="B425" s="707" t="s">
        <v>414</v>
      </c>
      <c r="C425" s="253">
        <v>40440000</v>
      </c>
      <c r="D425" s="134" t="e">
        <f>C425/#REF!*100</f>
        <v>#REF!</v>
      </c>
      <c r="E425" s="134"/>
      <c r="F425" s="134"/>
      <c r="G425" s="181">
        <v>0</v>
      </c>
      <c r="H425" s="134"/>
      <c r="I425" s="134"/>
      <c r="J425" s="6">
        <f t="shared" ref="J425:J426" si="152">G425-C425</f>
        <v>-40440000</v>
      </c>
      <c r="K425" s="10"/>
      <c r="L425" s="1"/>
      <c r="M425" s="1"/>
    </row>
    <row r="426" spans="1:14" x14ac:dyDescent="0.25">
      <c r="A426" s="124" t="s">
        <v>148</v>
      </c>
      <c r="B426" s="133" t="s">
        <v>534</v>
      </c>
      <c r="C426" s="256">
        <v>5810000000</v>
      </c>
      <c r="D426" s="134">
        <f>C426/C424*100</f>
        <v>99.308769938671276</v>
      </c>
      <c r="E426" s="134">
        <f t="shared" ref="E426" si="153">G426/C426*100</f>
        <v>56.865748709122201</v>
      </c>
      <c r="F426" s="134">
        <f t="shared" ref="F426" si="154">(D426*E426)/100</f>
        <v>56.472675559445094</v>
      </c>
      <c r="G426" s="181">
        <f>962550000+2341350000</f>
        <v>3303900000</v>
      </c>
      <c r="H426" s="134">
        <f t="shared" ref="H426" si="155">G426/C426*100</f>
        <v>56.865748709122201</v>
      </c>
      <c r="I426" s="134">
        <f t="shared" ref="I426" si="156">(D426*H426)/100</f>
        <v>56.472675559445094</v>
      </c>
      <c r="J426" s="6">
        <f t="shared" si="152"/>
        <v>-2506100000</v>
      </c>
      <c r="K426" s="10"/>
      <c r="L426" s="1"/>
      <c r="M426" s="1"/>
    </row>
    <row r="427" spans="1:14" x14ac:dyDescent="0.25">
      <c r="A427" s="72"/>
      <c r="B427" s="136" t="s">
        <v>154</v>
      </c>
      <c r="C427" s="808">
        <f>SUM(C425:C426)</f>
        <v>5850440000</v>
      </c>
      <c r="D427" s="271" t="e">
        <f>SUM(D425:D426)</f>
        <v>#REF!</v>
      </c>
      <c r="E427" s="134"/>
      <c r="F427" s="134"/>
      <c r="G427" s="181">
        <f>SUM(G425:G426)</f>
        <v>3303900000</v>
      </c>
      <c r="H427" s="134"/>
      <c r="I427" s="134"/>
      <c r="J427" s="56">
        <v>0</v>
      </c>
      <c r="K427" s="130"/>
      <c r="L427" s="1"/>
      <c r="M427" s="1"/>
    </row>
    <row r="428" spans="1:14" x14ac:dyDescent="0.25">
      <c r="A428" s="5"/>
      <c r="B428" s="5"/>
      <c r="C428" s="65"/>
      <c r="D428" s="66"/>
      <c r="E428" s="30"/>
      <c r="F428" s="31"/>
      <c r="G428" s="36"/>
      <c r="H428" s="30"/>
      <c r="I428" s="31"/>
      <c r="J428" s="33"/>
      <c r="K428" s="29"/>
      <c r="L428" s="9"/>
      <c r="M428" s="9"/>
      <c r="N428" s="9"/>
    </row>
    <row r="429" spans="1:14" x14ac:dyDescent="0.25">
      <c r="A429" s="1119" t="s">
        <v>2</v>
      </c>
      <c r="B429" s="1120" t="s">
        <v>171</v>
      </c>
      <c r="C429" s="1119" t="s">
        <v>4</v>
      </c>
      <c r="D429" s="1121" t="s">
        <v>5</v>
      </c>
      <c r="E429" s="1132"/>
      <c r="F429" s="1132"/>
      <c r="G429" s="1122" t="s">
        <v>6</v>
      </c>
      <c r="H429" s="1132"/>
      <c r="I429" s="1132"/>
      <c r="J429" s="1119" t="s">
        <v>7</v>
      </c>
      <c r="K429" s="289" t="s">
        <v>8</v>
      </c>
      <c r="L429" s="1"/>
      <c r="M429" s="1"/>
    </row>
    <row r="430" spans="1:14" x14ac:dyDescent="0.25">
      <c r="A430" s="1119"/>
      <c r="B430" s="1120"/>
      <c r="C430" s="1119"/>
      <c r="D430" s="289" t="s">
        <v>9</v>
      </c>
      <c r="E430" s="308" t="s">
        <v>10</v>
      </c>
      <c r="F430" s="308" t="s">
        <v>11</v>
      </c>
      <c r="G430" s="309" t="s">
        <v>12</v>
      </c>
      <c r="H430" s="308" t="s">
        <v>13</v>
      </c>
      <c r="I430" s="308" t="s">
        <v>11</v>
      </c>
      <c r="J430" s="1123"/>
      <c r="K430" s="115"/>
      <c r="L430" s="1"/>
      <c r="M430" s="1"/>
    </row>
    <row r="431" spans="1:14" x14ac:dyDescent="0.25">
      <c r="A431" s="1119"/>
      <c r="B431" s="1120"/>
      <c r="C431" s="1119"/>
      <c r="D431" s="118" t="s">
        <v>14</v>
      </c>
      <c r="E431" s="119" t="s">
        <v>14</v>
      </c>
      <c r="F431" s="119" t="s">
        <v>14</v>
      </c>
      <c r="G431" s="120" t="s">
        <v>15</v>
      </c>
      <c r="H431" s="119" t="s">
        <v>14</v>
      </c>
      <c r="I431" s="119" t="s">
        <v>14</v>
      </c>
      <c r="J431" s="118" t="s">
        <v>15</v>
      </c>
      <c r="K431" s="118"/>
      <c r="L431" s="1"/>
      <c r="M431" s="1"/>
    </row>
    <row r="432" spans="1:14" x14ac:dyDescent="0.25">
      <c r="A432" s="79" t="s">
        <v>185</v>
      </c>
      <c r="B432" s="199" t="s">
        <v>146</v>
      </c>
      <c r="C432" s="24"/>
      <c r="D432" s="10"/>
      <c r="E432" s="34"/>
      <c r="F432" s="34"/>
      <c r="G432" s="6"/>
      <c r="H432" s="34"/>
      <c r="I432" s="34"/>
      <c r="J432" s="10"/>
      <c r="K432" s="10"/>
      <c r="L432" s="1"/>
      <c r="M432" s="1"/>
    </row>
    <row r="433" spans="1:13" x14ac:dyDescent="0.25">
      <c r="A433" s="125" t="s">
        <v>187</v>
      </c>
      <c r="B433" s="280" t="s">
        <v>164</v>
      </c>
      <c r="C433" s="252">
        <f>SUM(C434:C438)</f>
        <v>3539546088</v>
      </c>
      <c r="D433" s="10"/>
      <c r="E433" s="34"/>
      <c r="F433" s="34"/>
      <c r="G433" s="6"/>
      <c r="H433" s="34"/>
      <c r="I433" s="34"/>
      <c r="J433" s="10"/>
      <c r="K433" s="10"/>
      <c r="L433" s="1"/>
      <c r="M433" s="1"/>
    </row>
    <row r="434" spans="1:13" ht="25.5" x14ac:dyDescent="0.25">
      <c r="A434" s="154" t="s">
        <v>44</v>
      </c>
      <c r="B434" s="707" t="s">
        <v>384</v>
      </c>
      <c r="C434" s="253">
        <v>35255000</v>
      </c>
      <c r="D434" s="134">
        <f>C434/C433*100</f>
        <v>0.99603166969696488</v>
      </c>
      <c r="E434" s="134">
        <f t="shared" ref="E434:E437" si="157">G434/C434*100</f>
        <v>0</v>
      </c>
      <c r="F434" s="134">
        <f t="shared" ref="F434:F437" si="158">(D434*E434)/100</f>
        <v>0</v>
      </c>
      <c r="G434" s="181">
        <v>0</v>
      </c>
      <c r="H434" s="134">
        <f t="shared" ref="H434:H437" si="159">G434/C434*100</f>
        <v>0</v>
      </c>
      <c r="I434" s="134">
        <f t="shared" ref="I434:I437" si="160">(D434*H434)/100</f>
        <v>0</v>
      </c>
      <c r="J434" s="6">
        <f t="shared" ref="J434:J438" si="161">G434-C434</f>
        <v>-35255000</v>
      </c>
      <c r="K434" s="10"/>
      <c r="L434" s="1"/>
      <c r="M434" s="1"/>
    </row>
    <row r="435" spans="1:13" x14ac:dyDescent="0.25">
      <c r="A435" s="154" t="s">
        <v>413</v>
      </c>
      <c r="B435" s="707" t="s">
        <v>414</v>
      </c>
      <c r="C435" s="253">
        <v>385000</v>
      </c>
      <c r="D435" s="134"/>
      <c r="E435" s="134"/>
      <c r="F435" s="134"/>
      <c r="G435" s="181">
        <v>0</v>
      </c>
      <c r="H435" s="134"/>
      <c r="I435" s="134"/>
      <c r="J435" s="6">
        <f t="shared" si="161"/>
        <v>-385000</v>
      </c>
      <c r="K435" s="10"/>
      <c r="L435" s="1"/>
      <c r="M435" s="1"/>
    </row>
    <row r="436" spans="1:13" x14ac:dyDescent="0.25">
      <c r="A436" s="124" t="s">
        <v>148</v>
      </c>
      <c r="B436" s="133" t="s">
        <v>534</v>
      </c>
      <c r="C436" s="256">
        <v>2490000000</v>
      </c>
      <c r="D436" s="134">
        <f>C436/C433*100</f>
        <v>70.348003334149553</v>
      </c>
      <c r="E436" s="134">
        <f t="shared" si="157"/>
        <v>72.724056224899599</v>
      </c>
      <c r="F436" s="134">
        <f t="shared" si="158"/>
        <v>51.159921497821166</v>
      </c>
      <c r="G436" s="181">
        <f>845959800+964869200</f>
        <v>1810829000</v>
      </c>
      <c r="H436" s="134">
        <f t="shared" si="159"/>
        <v>72.724056224899599</v>
      </c>
      <c r="I436" s="134">
        <f t="shared" si="160"/>
        <v>51.159921497821166</v>
      </c>
      <c r="J436" s="6">
        <f t="shared" si="161"/>
        <v>-679171000</v>
      </c>
      <c r="K436" s="10"/>
    </row>
    <row r="437" spans="1:13" s="84" customFormat="1" ht="25.5" x14ac:dyDescent="0.2">
      <c r="A437" s="124" t="s">
        <v>152</v>
      </c>
      <c r="B437" s="133" t="s">
        <v>166</v>
      </c>
      <c r="C437" s="256">
        <v>996000000</v>
      </c>
      <c r="D437" s="134">
        <f>C437/C433*100</f>
        <v>28.13920133365982</v>
      </c>
      <c r="E437" s="134">
        <f t="shared" si="157"/>
        <v>50</v>
      </c>
      <c r="F437" s="134">
        <f t="shared" si="158"/>
        <v>14.06960066682991</v>
      </c>
      <c r="G437" s="181">
        <f>498000000</f>
        <v>498000000</v>
      </c>
      <c r="H437" s="134">
        <f t="shared" si="159"/>
        <v>50</v>
      </c>
      <c r="I437" s="134">
        <f t="shared" si="160"/>
        <v>14.06960066682991</v>
      </c>
      <c r="J437" s="6">
        <f t="shared" si="161"/>
        <v>-498000000</v>
      </c>
      <c r="K437" s="38"/>
    </row>
    <row r="438" spans="1:13" s="84" customFormat="1" x14ac:dyDescent="0.2">
      <c r="A438" s="825" t="s">
        <v>234</v>
      </c>
      <c r="B438" s="133" t="s">
        <v>522</v>
      </c>
      <c r="C438" s="256">
        <v>17906088</v>
      </c>
      <c r="D438" s="804"/>
      <c r="E438" s="134"/>
      <c r="F438" s="134"/>
      <c r="G438" s="181">
        <f>17906088</f>
        <v>17906088</v>
      </c>
      <c r="H438" s="134"/>
      <c r="I438" s="134"/>
      <c r="J438" s="6">
        <f t="shared" si="161"/>
        <v>0</v>
      </c>
      <c r="K438" s="805"/>
    </row>
    <row r="439" spans="1:13" x14ac:dyDescent="0.25">
      <c r="A439" s="70"/>
      <c r="B439" s="129" t="s">
        <v>95</v>
      </c>
      <c r="C439" s="807">
        <f>SUM(C434:C438)</f>
        <v>3539546088</v>
      </c>
      <c r="D439" s="271">
        <f>SUM(D434:D437)</f>
        <v>99.483236337506327</v>
      </c>
      <c r="E439" s="134"/>
      <c r="F439" s="134"/>
      <c r="G439" s="181">
        <f>SUM(G434:G438)</f>
        <v>2326735088</v>
      </c>
      <c r="H439" s="134"/>
      <c r="I439" s="134"/>
      <c r="J439" s="780"/>
      <c r="K439" s="130"/>
    </row>
    <row r="440" spans="1:13" x14ac:dyDescent="0.25">
      <c r="J440" s="779"/>
    </row>
    <row r="442" spans="1:13" x14ac:dyDescent="0.25">
      <c r="A442" s="50"/>
      <c r="B442" s="5"/>
      <c r="C442" s="50"/>
      <c r="D442" s="29"/>
      <c r="E442" s="30"/>
      <c r="F442" s="31"/>
      <c r="G442" s="36"/>
      <c r="H442" s="32"/>
      <c r="I442" s="31"/>
      <c r="J442" s="36"/>
      <c r="K442" s="37"/>
    </row>
    <row r="443" spans="1:13" x14ac:dyDescent="0.25">
      <c r="A443" s="1"/>
      <c r="B443" s="16" t="s">
        <v>363</v>
      </c>
      <c r="C443" s="61"/>
      <c r="D443" s="1"/>
      <c r="E443" s="1"/>
      <c r="F443" s="1"/>
      <c r="G443" s="1"/>
      <c r="H443" s="1"/>
      <c r="I443" s="18" t="s">
        <v>560</v>
      </c>
      <c r="J443" s="17"/>
      <c r="K443" s="1"/>
    </row>
    <row r="444" spans="1:13" x14ac:dyDescent="0.25">
      <c r="A444" s="1"/>
      <c r="B444" s="19"/>
      <c r="C444" s="62"/>
      <c r="D444" s="1"/>
      <c r="E444" s="1"/>
      <c r="F444" s="1"/>
      <c r="G444" s="1"/>
      <c r="H444" s="1"/>
      <c r="I444" s="63"/>
      <c r="J444" s="16"/>
      <c r="K444" s="1"/>
    </row>
    <row r="445" spans="1:13" x14ac:dyDescent="0.25">
      <c r="A445" s="1"/>
      <c r="B445" s="19"/>
      <c r="C445" s="62"/>
      <c r="D445" s="1"/>
      <c r="E445" s="1"/>
      <c r="F445" s="1"/>
      <c r="G445" s="1"/>
      <c r="H445" s="1"/>
      <c r="I445" s="63"/>
      <c r="J445" s="16"/>
      <c r="K445" s="1"/>
    </row>
    <row r="446" spans="1:13" x14ac:dyDescent="0.25">
      <c r="A446" s="1"/>
      <c r="B446" s="19"/>
      <c r="C446" s="62"/>
      <c r="D446" s="1"/>
      <c r="E446" s="1"/>
      <c r="F446" s="1"/>
      <c r="G446" s="1"/>
      <c r="H446" s="1"/>
      <c r="I446" s="18"/>
      <c r="J446" s="19"/>
      <c r="K446" s="1"/>
    </row>
    <row r="447" spans="1:13" x14ac:dyDescent="0.25">
      <c r="A447" s="1"/>
      <c r="B447" s="75" t="s">
        <v>440</v>
      </c>
      <c r="C447" s="21"/>
      <c r="D447" s="1"/>
      <c r="E447" s="1"/>
      <c r="F447" s="1"/>
      <c r="G447" s="1"/>
      <c r="H447" s="1"/>
      <c r="I447" s="20"/>
      <c r="J447" s="21"/>
      <c r="K447" s="1"/>
    </row>
    <row r="448" spans="1:13" x14ac:dyDescent="0.25">
      <c r="A448" s="1"/>
      <c r="B448" s="739" t="s">
        <v>441</v>
      </c>
      <c r="C448" s="19"/>
      <c r="D448" s="1"/>
      <c r="E448" s="1"/>
      <c r="F448" s="1"/>
      <c r="G448" s="1"/>
      <c r="H448" s="1"/>
      <c r="I448" s="22"/>
      <c r="J448" s="19"/>
      <c r="K448" s="1"/>
    </row>
    <row r="449" spans="1:14" x14ac:dyDescent="0.25">
      <c r="A449" s="5"/>
      <c r="B449" s="5"/>
      <c r="C449" s="65"/>
      <c r="D449" s="66"/>
      <c r="E449" s="30"/>
      <c r="F449" s="31"/>
      <c r="G449" s="36"/>
      <c r="H449" s="30"/>
      <c r="I449" s="31"/>
      <c r="J449" s="33"/>
      <c r="K449" s="29"/>
      <c r="L449" s="9"/>
      <c r="M449" s="9"/>
      <c r="N449" s="9"/>
    </row>
  </sheetData>
  <mergeCells count="149">
    <mergeCell ref="A1:K1"/>
    <mergeCell ref="A2:K2"/>
    <mergeCell ref="A3:K3"/>
    <mergeCell ref="A5:A7"/>
    <mergeCell ref="B5:B7"/>
    <mergeCell ref="C5:C7"/>
    <mergeCell ref="D5:F5"/>
    <mergeCell ref="G5:I5"/>
    <mergeCell ref="J5:J6"/>
    <mergeCell ref="A96:C96"/>
    <mergeCell ref="A98:K98"/>
    <mergeCell ref="A99:K99"/>
    <mergeCell ref="A100:K100"/>
    <mergeCell ref="A101:A103"/>
    <mergeCell ref="B101:B103"/>
    <mergeCell ref="C101:C103"/>
    <mergeCell ref="D101:F101"/>
    <mergeCell ref="G101:I101"/>
    <mergeCell ref="J101:J102"/>
    <mergeCell ref="K132:K134"/>
    <mergeCell ref="A150:B150"/>
    <mergeCell ref="A153:A155"/>
    <mergeCell ref="B153:B155"/>
    <mergeCell ref="C153:C155"/>
    <mergeCell ref="D153:F153"/>
    <mergeCell ref="G153:I153"/>
    <mergeCell ref="J153:J154"/>
    <mergeCell ref="A129:C129"/>
    <mergeCell ref="A132:A134"/>
    <mergeCell ref="B132:B134"/>
    <mergeCell ref="D132:F132"/>
    <mergeCell ref="G132:I132"/>
    <mergeCell ref="J132:J133"/>
    <mergeCell ref="A175:A177"/>
    <mergeCell ref="B175:B177"/>
    <mergeCell ref="C175:C177"/>
    <mergeCell ref="D175:F175"/>
    <mergeCell ref="G175:I175"/>
    <mergeCell ref="J175:J176"/>
    <mergeCell ref="A163:A165"/>
    <mergeCell ref="B163:B165"/>
    <mergeCell ref="C163:C165"/>
    <mergeCell ref="D163:F163"/>
    <mergeCell ref="G163:I163"/>
    <mergeCell ref="J163:J164"/>
    <mergeCell ref="A209:A211"/>
    <mergeCell ref="B209:B211"/>
    <mergeCell ref="C209:C211"/>
    <mergeCell ref="D209:F209"/>
    <mergeCell ref="G209:I209"/>
    <mergeCell ref="J209:J210"/>
    <mergeCell ref="A199:A201"/>
    <mergeCell ref="B199:B201"/>
    <mergeCell ref="C199:C201"/>
    <mergeCell ref="D199:F199"/>
    <mergeCell ref="G199:I199"/>
    <mergeCell ref="J199:J200"/>
    <mergeCell ref="J242:J243"/>
    <mergeCell ref="A251:A253"/>
    <mergeCell ref="B251:B253"/>
    <mergeCell ref="C251:C253"/>
    <mergeCell ref="D251:F251"/>
    <mergeCell ref="G251:I251"/>
    <mergeCell ref="J251:J252"/>
    <mergeCell ref="A222:A224"/>
    <mergeCell ref="B222:B224"/>
    <mergeCell ref="D222:F222"/>
    <mergeCell ref="G222:I222"/>
    <mergeCell ref="J222:J223"/>
    <mergeCell ref="A242:A244"/>
    <mergeCell ref="B242:B244"/>
    <mergeCell ref="C242:C244"/>
    <mergeCell ref="D242:F242"/>
    <mergeCell ref="G242:I242"/>
    <mergeCell ref="A295:A297"/>
    <mergeCell ref="B295:B297"/>
    <mergeCell ref="C295:C297"/>
    <mergeCell ref="D295:F295"/>
    <mergeCell ref="G295:I295"/>
    <mergeCell ref="J295:J296"/>
    <mergeCell ref="K265:K267"/>
    <mergeCell ref="A286:A288"/>
    <mergeCell ref="B286:B288"/>
    <mergeCell ref="C286:C288"/>
    <mergeCell ref="D286:F286"/>
    <mergeCell ref="G286:I286"/>
    <mergeCell ref="J286:J287"/>
    <mergeCell ref="A265:A267"/>
    <mergeCell ref="B265:B267"/>
    <mergeCell ref="C265:C267"/>
    <mergeCell ref="D265:F265"/>
    <mergeCell ref="G265:I265"/>
    <mergeCell ref="J265:J266"/>
    <mergeCell ref="A342:A344"/>
    <mergeCell ref="B342:B344"/>
    <mergeCell ref="C342:C344"/>
    <mergeCell ref="D342:F342"/>
    <mergeCell ref="G342:I342"/>
    <mergeCell ref="J342:J343"/>
    <mergeCell ref="K307:K309"/>
    <mergeCell ref="A333:A335"/>
    <mergeCell ref="B333:B335"/>
    <mergeCell ref="C333:C335"/>
    <mergeCell ref="D333:F333"/>
    <mergeCell ref="G333:I333"/>
    <mergeCell ref="J333:J334"/>
    <mergeCell ref="A307:A309"/>
    <mergeCell ref="B307:B309"/>
    <mergeCell ref="C307:C309"/>
    <mergeCell ref="D307:F307"/>
    <mergeCell ref="G307:I307"/>
    <mergeCell ref="J307:J308"/>
    <mergeCell ref="A379:A381"/>
    <mergeCell ref="B379:B381"/>
    <mergeCell ref="C379:C381"/>
    <mergeCell ref="D379:F379"/>
    <mergeCell ref="G379:I379"/>
    <mergeCell ref="J379:J380"/>
    <mergeCell ref="A355:A357"/>
    <mergeCell ref="B355:B357"/>
    <mergeCell ref="D355:F355"/>
    <mergeCell ref="G355:I355"/>
    <mergeCell ref="J355:J356"/>
    <mergeCell ref="A376:B376"/>
    <mergeCell ref="A400:A402"/>
    <mergeCell ref="B400:B402"/>
    <mergeCell ref="C400:C402"/>
    <mergeCell ref="D400:F400"/>
    <mergeCell ref="G400:I400"/>
    <mergeCell ref="J400:J401"/>
    <mergeCell ref="A388:A390"/>
    <mergeCell ref="B388:B390"/>
    <mergeCell ref="C388:C390"/>
    <mergeCell ref="D388:F388"/>
    <mergeCell ref="G388:I388"/>
    <mergeCell ref="J388:J389"/>
    <mergeCell ref="J420:J421"/>
    <mergeCell ref="A429:A431"/>
    <mergeCell ref="B429:B431"/>
    <mergeCell ref="C429:C431"/>
    <mergeCell ref="D429:F429"/>
    <mergeCell ref="G429:I429"/>
    <mergeCell ref="J429:J430"/>
    <mergeCell ref="A417:B417"/>
    <mergeCell ref="A420:A422"/>
    <mergeCell ref="B420:B422"/>
    <mergeCell ref="C420:C422"/>
    <mergeCell ref="D420:F420"/>
    <mergeCell ref="G420:I4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49"/>
  <sheetViews>
    <sheetView topLeftCell="A70" workbookViewId="0">
      <selection activeCell="J70" sqref="J1:J1048576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561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899" t="s">
        <v>1</v>
      </c>
      <c r="B4" s="899"/>
      <c r="C4" s="899"/>
      <c r="D4" s="899"/>
      <c r="E4" s="900"/>
      <c r="F4" s="900"/>
      <c r="G4" s="47"/>
      <c r="H4" s="900"/>
      <c r="I4" s="900"/>
      <c r="J4" s="899"/>
      <c r="K4" s="899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C11+C16+C21+C29+C40+C45+C53+C55+C58+C63+C65+C69+C73+C77+C80+C86+C90+C92</f>
        <v>14557351544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>
        <f>1150000</f>
        <v>1150000</v>
      </c>
      <c r="H12" s="161"/>
      <c r="I12" s="161"/>
      <c r="J12" s="6">
        <v>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18.510158013544018</v>
      </c>
      <c r="F13" s="134">
        <f>(D13*E13)/100</f>
        <v>2.7333333333333338</v>
      </c>
      <c r="G13" s="6">
        <f>820000</f>
        <v>820000</v>
      </c>
      <c r="H13" s="134">
        <f>G13/C13*100</f>
        <v>18.510158013544018</v>
      </c>
      <c r="I13" s="134">
        <f>(D13*H13)/100</f>
        <v>2.7333333333333338</v>
      </c>
      <c r="J13" s="6">
        <f t="shared" ref="J13:J15" si="0">G13-C13</f>
        <v>-3610000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f>4320000</f>
        <v>4320000</v>
      </c>
      <c r="H14" s="134"/>
      <c r="I14" s="134"/>
      <c r="J14" s="6">
        <f t="shared" si="0"/>
        <v>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f>16900000</f>
        <v>16900000</v>
      </c>
      <c r="H15" s="134"/>
      <c r="I15" s="134"/>
      <c r="J15" s="6">
        <f t="shared" si="0"/>
        <v>-3200000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f>4720000</f>
        <v>4720000</v>
      </c>
      <c r="H18" s="134"/>
      <c r="I18" s="134"/>
      <c r="J18" s="6">
        <f t="shared" si="1"/>
        <v>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f>1585000</f>
        <v>1585000</v>
      </c>
      <c r="H19" s="134"/>
      <c r="I19" s="134"/>
      <c r="J19" s="6">
        <f t="shared" si="1"/>
        <v>-4145000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f>4460000</f>
        <v>4460000</v>
      </c>
      <c r="H20" s="134"/>
      <c r="I20" s="134"/>
      <c r="J20" s="6">
        <f t="shared" si="1"/>
        <v>-4920000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100</v>
      </c>
      <c r="F24" s="134">
        <f t="shared" ref="F24:F26" si="3">(D24*E24)/100</f>
        <v>10.917999999999999</v>
      </c>
      <c r="G24" s="6">
        <f>5459000</f>
        <v>5459000</v>
      </c>
      <c r="H24" s="134">
        <f t="shared" ref="H24:H26" si="4">G24/C24*100</f>
        <v>100</v>
      </c>
      <c r="I24" s="134">
        <f t="shared" ref="I24:I26" si="5">(D24*H24)/100</f>
        <v>10.917999999999999</v>
      </c>
      <c r="J24" s="6">
        <f t="shared" si="2"/>
        <v>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99.896491046475518</v>
      </c>
      <c r="F25" s="134">
        <f t="shared" si="3"/>
        <v>19.302</v>
      </c>
      <c r="G25" s="6">
        <f>9651000</f>
        <v>9651000</v>
      </c>
      <c r="H25" s="134">
        <f t="shared" si="4"/>
        <v>99.896491046475518</v>
      </c>
      <c r="I25" s="134">
        <f t="shared" si="5"/>
        <v>19.302</v>
      </c>
      <c r="J25" s="6">
        <f t="shared" si="2"/>
        <v>-10000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32.777777777777779</v>
      </c>
      <c r="F26" s="134">
        <f t="shared" si="3"/>
        <v>9.44</v>
      </c>
      <c r="G26" s="6">
        <f>4720000</f>
        <v>4720000</v>
      </c>
      <c r="H26" s="134">
        <f t="shared" si="4"/>
        <v>32.777777777777779</v>
      </c>
      <c r="I26" s="134">
        <f t="shared" si="5"/>
        <v>9.44</v>
      </c>
      <c r="J26" s="6">
        <f t="shared" si="2"/>
        <v>-9680000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f>17851651</f>
        <v>17851651</v>
      </c>
      <c r="H27" s="134"/>
      <c r="I27" s="134"/>
      <c r="J27" s="6">
        <f t="shared" si="2"/>
        <v>-148349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4245540345</v>
      </c>
      <c r="D30" s="200">
        <f>C30/C29*100</f>
        <v>36.245950350934478</v>
      </c>
      <c r="E30" s="134">
        <f>G30/C30*100</f>
        <v>84.743847252263009</v>
      </c>
      <c r="F30" s="134">
        <f t="shared" ref="F30:F38" si="6">(D30*E30)/100</f>
        <v>30.716212800527</v>
      </c>
      <c r="G30" s="6">
        <f>3597834225</f>
        <v>3597834225</v>
      </c>
      <c r="H30" s="134">
        <f>G30/C30*100</f>
        <v>84.743847252263009</v>
      </c>
      <c r="I30" s="134">
        <f t="shared" ref="I30:I38" si="7">(D30*H30)/100</f>
        <v>30.716212800527</v>
      </c>
      <c r="J30" s="6">
        <f t="shared" ref="J30:J39" si="8">G30-C30</f>
        <v>-647706120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9" si="9">G31/C31*100</f>
        <v>48.977958776685362</v>
      </c>
      <c r="F31" s="134">
        <f t="shared" si="6"/>
        <v>2.9472104596335531</v>
      </c>
      <c r="G31" s="6">
        <f>345211004</f>
        <v>345211004</v>
      </c>
      <c r="H31" s="134">
        <f t="shared" ref="H31:H39" si="10">G31/C31*100</f>
        <v>48.977958776685362</v>
      </c>
      <c r="I31" s="134">
        <f t="shared" si="7"/>
        <v>2.9472104596335531</v>
      </c>
      <c r="J31" s="6">
        <f t="shared" si="8"/>
        <v>-359618296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63.160897136290991</v>
      </c>
      <c r="F32" s="134">
        <f t="shared" si="6"/>
        <v>2.1136084453770154</v>
      </c>
      <c r="G32" s="6">
        <f>247570000</f>
        <v>247570000</v>
      </c>
      <c r="H32" s="134">
        <f t="shared" si="10"/>
        <v>63.160897136290991</v>
      </c>
      <c r="I32" s="134">
        <f t="shared" si="7"/>
        <v>2.1136084453770154</v>
      </c>
      <c r="J32" s="6">
        <f t="shared" si="8"/>
        <v>-144397200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31.357466063348415</v>
      </c>
      <c r="F33" s="134">
        <f t="shared" si="6"/>
        <v>0.11832860626459359</v>
      </c>
      <c r="G33" s="6">
        <f>13860000</f>
        <v>13860000</v>
      </c>
      <c r="H33" s="134">
        <f t="shared" si="10"/>
        <v>31.357466063348415</v>
      </c>
      <c r="I33" s="134">
        <f t="shared" si="7"/>
        <v>0.11832860626459359</v>
      </c>
      <c r="J33" s="6">
        <f t="shared" si="8"/>
        <v>-30340000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80.631278665141963</v>
      </c>
      <c r="F34" s="134">
        <f t="shared" si="6"/>
        <v>0.78377761169704319</v>
      </c>
      <c r="G34" s="6">
        <f>91805000</f>
        <v>91805000</v>
      </c>
      <c r="H34" s="134">
        <f>G34/C34*100</f>
        <v>80.631278665141963</v>
      </c>
      <c r="I34" s="134">
        <f t="shared" si="7"/>
        <v>0.78377761169704319</v>
      </c>
      <c r="J34" s="6">
        <f t="shared" si="8"/>
        <v>-22052800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79.470899470899468</v>
      </c>
      <c r="F35" s="134">
        <f t="shared" si="6"/>
        <v>1.8573124406715971</v>
      </c>
      <c r="G35" s="6">
        <f>217549680</f>
        <v>217549680</v>
      </c>
      <c r="H35" s="134">
        <f t="shared" si="10"/>
        <v>79.470899470899468</v>
      </c>
      <c r="I35" s="134">
        <f t="shared" si="7"/>
        <v>1.8573124406715971</v>
      </c>
      <c r="J35" s="6">
        <f t="shared" si="8"/>
        <v>-56197920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45.350200000000001</v>
      </c>
      <c r="F36" s="134">
        <f t="shared" si="6"/>
        <v>5.8076038526196687E-2</v>
      </c>
      <c r="G36" s="6">
        <f>6802530</f>
        <v>6802530</v>
      </c>
      <c r="H36" s="134">
        <f t="shared" si="10"/>
        <v>45.350200000000001</v>
      </c>
      <c r="I36" s="134">
        <f t="shared" si="7"/>
        <v>5.8076038526196687E-2</v>
      </c>
      <c r="J36" s="6">
        <f t="shared" si="8"/>
        <v>-8197470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8.2402370990237106</v>
      </c>
      <c r="F37" s="134">
        <f t="shared" si="6"/>
        <v>4.035295745816942E-4</v>
      </c>
      <c r="G37" s="6">
        <f>47266</f>
        <v>47266</v>
      </c>
      <c r="H37" s="134">
        <f>G37/C37*100</f>
        <v>8.2402370990237106</v>
      </c>
      <c r="I37" s="134">
        <f t="shared" si="7"/>
        <v>4.035295745816942E-4</v>
      </c>
      <c r="J37" s="6">
        <f t="shared" si="8"/>
        <v>-526334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5647177786</v>
      </c>
      <c r="D38" s="200">
        <f>C38/C29*100</f>
        <v>48.212314339520454</v>
      </c>
      <c r="E38" s="134">
        <f t="shared" si="9"/>
        <v>68.047217258266784</v>
      </c>
      <c r="F38" s="134">
        <f t="shared" si="6"/>
        <v>32.807138283851991</v>
      </c>
      <c r="G38" s="6">
        <f>3842747337</f>
        <v>3842747337</v>
      </c>
      <c r="H38" s="134">
        <f t="shared" si="10"/>
        <v>68.047217258266784</v>
      </c>
      <c r="I38" s="134">
        <f t="shared" si="7"/>
        <v>32.807138283851991</v>
      </c>
      <c r="J38" s="6">
        <f t="shared" si="8"/>
        <v>-1804430449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276250331</v>
      </c>
      <c r="D39" s="200"/>
      <c r="E39" s="134">
        <f t="shared" si="9"/>
        <v>72.507722352738099</v>
      </c>
      <c r="F39" s="134"/>
      <c r="G39" s="6">
        <f>200302823</f>
        <v>200302823</v>
      </c>
      <c r="H39" s="134">
        <f t="shared" si="10"/>
        <v>72.507722352738099</v>
      </c>
      <c r="I39" s="134"/>
      <c r="J39" s="6">
        <f t="shared" si="8"/>
        <v>-75947508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1853928000</v>
      </c>
      <c r="D40" s="241"/>
      <c r="E40" s="242"/>
      <c r="F40" s="242"/>
      <c r="G40" s="791">
        <v>0</v>
      </c>
      <c r="H40" s="242"/>
      <c r="I40" s="242"/>
      <c r="J40" s="791">
        <v>0</v>
      </c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1723250000</v>
      </c>
      <c r="D41" s="200">
        <f>C41/C40*100</f>
        <v>92.95129044925153</v>
      </c>
      <c r="E41" s="134">
        <f>G41/C41*100</f>
        <v>77.484404468301165</v>
      </c>
      <c r="F41" s="134">
        <f t="shared" ref="F41:F44" si="11">(D41*E41)/100</f>
        <v>72.022753850203443</v>
      </c>
      <c r="G41" s="6">
        <f>1335250000</f>
        <v>1335250000</v>
      </c>
      <c r="H41" s="134">
        <f t="shared" ref="H41:H44" si="12">G41/C41*100</f>
        <v>77.484404468301165</v>
      </c>
      <c r="I41" s="134">
        <f t="shared" ref="I41:I44" si="13">(D41*H41)/100</f>
        <v>72.022753850203443</v>
      </c>
      <c r="J41" s="6">
        <f t="shared" ref="J41:J44" si="14">G41-C41</f>
        <v>-388000000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122730550</v>
      </c>
      <c r="D42" s="200">
        <f>C42/C40*100</f>
        <v>6.6200278543719069</v>
      </c>
      <c r="E42" s="134">
        <f t="shared" ref="E42:E44" si="15">G42/C42*100</f>
        <v>78.110961777650317</v>
      </c>
      <c r="F42" s="134">
        <f t="shared" si="11"/>
        <v>5.170967426998244</v>
      </c>
      <c r="G42" s="6">
        <f>95866013</f>
        <v>95866013</v>
      </c>
      <c r="H42" s="134">
        <f t="shared" si="12"/>
        <v>78.110961777650317</v>
      </c>
      <c r="I42" s="134">
        <f t="shared" si="13"/>
        <v>5.170967426998244</v>
      </c>
      <c r="J42" s="6">
        <f t="shared" si="14"/>
        <v>-26864537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3532200</v>
      </c>
      <c r="D43" s="200">
        <f>C43/C40*100</f>
        <v>0.19052519838958148</v>
      </c>
      <c r="E43" s="134">
        <f t="shared" si="15"/>
        <v>82.791319857312729</v>
      </c>
      <c r="F43" s="134">
        <f t="shared" si="11"/>
        <v>0.15773832640749805</v>
      </c>
      <c r="G43" s="6">
        <f>2924355</f>
        <v>2924355</v>
      </c>
      <c r="H43" s="134">
        <f t="shared" si="12"/>
        <v>82.791319857312729</v>
      </c>
      <c r="I43" s="134">
        <f t="shared" si="13"/>
        <v>0.15773832640749805</v>
      </c>
      <c r="J43" s="6">
        <f t="shared" si="14"/>
        <v>-607845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4415250</v>
      </c>
      <c r="D44" s="200">
        <f>C44/C40*100</f>
        <v>0.23815649798697683</v>
      </c>
      <c r="E44" s="134">
        <f t="shared" si="15"/>
        <v>82.791574656021737</v>
      </c>
      <c r="F44" s="134">
        <f t="shared" si="11"/>
        <v>0.19717351482905482</v>
      </c>
      <c r="G44" s="6">
        <f>3655455</f>
        <v>3655455</v>
      </c>
      <c r="H44" s="134">
        <f t="shared" si="12"/>
        <v>82.791574656021737</v>
      </c>
      <c r="I44" s="134">
        <f t="shared" si="13"/>
        <v>0.19717351482905482</v>
      </c>
      <c r="J44" s="6">
        <f t="shared" si="14"/>
        <v>-759795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</v>
      </c>
      <c r="D47" s="741"/>
      <c r="E47" s="742"/>
      <c r="F47" s="742"/>
      <c r="G47" s="6">
        <v>0</v>
      </c>
      <c r="H47" s="742"/>
      <c r="I47" s="742"/>
      <c r="J47" s="6">
        <f t="shared" si="16"/>
        <v>-170000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8775400</v>
      </c>
      <c r="D48" s="200">
        <f>C48/C45*100</f>
        <v>17.550799999999999</v>
      </c>
      <c r="E48" s="134">
        <f t="shared" ref="E48:E50" si="17">G48/C48*100</f>
        <v>63.788260364199921</v>
      </c>
      <c r="F48" s="134">
        <f t="shared" ref="F48:F50" si="18">(D48*E48)/100</f>
        <v>11.195349999999998</v>
      </c>
      <c r="G48" s="6">
        <f>4851675+746000</f>
        <v>5597675</v>
      </c>
      <c r="H48" s="134">
        <f t="shared" ref="H48:H50" si="19">G48/C48*100</f>
        <v>63.788260364199921</v>
      </c>
      <c r="I48" s="134">
        <f t="shared" ref="I48:I50" si="20">(D48*H48)/100</f>
        <v>11.195349999999998</v>
      </c>
      <c r="J48" s="6">
        <f t="shared" si="16"/>
        <v>-3177725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42.404111913882559</v>
      </c>
      <c r="F49" s="134">
        <f t="shared" si="18"/>
        <v>3.4980000000000002</v>
      </c>
      <c r="G49" s="6">
        <v>1749000</v>
      </c>
      <c r="H49" s="134">
        <f t="shared" si="19"/>
        <v>42.404111913882559</v>
      </c>
      <c r="I49" s="134">
        <f t="shared" si="20"/>
        <v>3.4980000000000002</v>
      </c>
      <c r="J49" s="6">
        <f t="shared" si="16"/>
        <v>-2375600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14520000</v>
      </c>
      <c r="D50" s="200">
        <f>C50/C45*100</f>
        <v>29.04</v>
      </c>
      <c r="E50" s="134">
        <f t="shared" si="17"/>
        <v>34.380165289256198</v>
      </c>
      <c r="F50" s="134">
        <f t="shared" si="18"/>
        <v>9.984</v>
      </c>
      <c r="G50" s="6">
        <f>4992000</f>
        <v>4992000</v>
      </c>
      <c r="H50" s="134">
        <f t="shared" si="19"/>
        <v>34.380165289256198</v>
      </c>
      <c r="I50" s="134">
        <f t="shared" si="20"/>
        <v>9.984</v>
      </c>
      <c r="J50" s="6">
        <f t="shared" si="16"/>
        <v>-9528000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f>12450000</f>
        <v>12450000</v>
      </c>
      <c r="H51" s="134"/>
      <c r="I51" s="134"/>
      <c r="J51" s="6">
        <f t="shared" si="16"/>
        <v>-7650000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60.178829814862908</v>
      </c>
      <c r="F54" s="134">
        <f t="shared" ref="F54:F57" si="21">(D54*E54)/100</f>
        <v>60.178829814862908</v>
      </c>
      <c r="G54" s="6">
        <f>4432500+3677500</f>
        <v>8110000</v>
      </c>
      <c r="H54" s="134">
        <f>G54/C54*100</f>
        <v>60.178829814862908</v>
      </c>
      <c r="I54" s="134">
        <f>(D54*H54)/100</f>
        <v>60.178829814862908</v>
      </c>
      <c r="J54" s="6">
        <f>G54-C54</f>
        <v>-5366500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SUM(C56:C57)</f>
        <v>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2.5342874180083479</v>
      </c>
      <c r="E56" s="134">
        <f t="shared" ref="E56:E57" si="22">G56/C56*100</f>
        <v>0</v>
      </c>
      <c r="F56" s="134">
        <f t="shared" si="21"/>
        <v>0</v>
      </c>
      <c r="G56" s="6">
        <v>0</v>
      </c>
      <c r="H56" s="134">
        <f t="shared" ref="H56:H58" si="23">G56/C56*100</f>
        <v>0</v>
      </c>
      <c r="I56" s="134">
        <f t="shared" ref="I56:I57" si="24">(D56*H56)/100</f>
        <v>0</v>
      </c>
      <c r="J56" s="6">
        <f t="shared" ref="J56:J57" si="25">G56-C56</f>
        <v>-170000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6538000</v>
      </c>
      <c r="D57" s="200">
        <f>C57/C55*100</f>
        <v>97.465712581991653</v>
      </c>
      <c r="E57" s="134">
        <f t="shared" si="22"/>
        <v>56.079840929947999</v>
      </c>
      <c r="F57" s="134">
        <f t="shared" si="21"/>
        <v>54.658616577221231</v>
      </c>
      <c r="G57" s="6">
        <f>3666500</f>
        <v>3666500</v>
      </c>
      <c r="H57" s="134">
        <f t="shared" si="23"/>
        <v>56.079840929947999</v>
      </c>
      <c r="I57" s="134">
        <f t="shared" si="24"/>
        <v>54.658616577221231</v>
      </c>
      <c r="J57" s="6">
        <f t="shared" si="25"/>
        <v>-2871500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238" t="s">
        <v>503</v>
      </c>
      <c r="B58" s="238" t="s">
        <v>61</v>
      </c>
      <c r="C58" s="239">
        <f>SUM(C59:C62)</f>
        <v>62599600</v>
      </c>
      <c r="D58" s="241"/>
      <c r="E58" s="242"/>
      <c r="F58" s="242"/>
      <c r="G58" s="791">
        <v>0</v>
      </c>
      <c r="H58" s="242">
        <f t="shared" si="23"/>
        <v>0</v>
      </c>
      <c r="I58" s="242"/>
      <c r="J58" s="791">
        <v>0</v>
      </c>
      <c r="K58" s="237"/>
      <c r="L58" s="4"/>
      <c r="M58" s="4"/>
      <c r="N58" s="4"/>
      <c r="O58" s="4"/>
      <c r="P58" s="4"/>
      <c r="Q58" s="4"/>
      <c r="R58" s="9"/>
    </row>
    <row r="59" spans="1:18" ht="22.5" customHeight="1" x14ac:dyDescent="0.25">
      <c r="A59" s="49" t="s">
        <v>450</v>
      </c>
      <c r="B59" s="707" t="s">
        <v>384</v>
      </c>
      <c r="C59" s="56">
        <v>3090000</v>
      </c>
      <c r="D59" s="200">
        <f>C59/C58*100</f>
        <v>4.9361337772126337</v>
      </c>
      <c r="E59" s="134">
        <f>G59/C59*100</f>
        <v>100</v>
      </c>
      <c r="F59" s="134">
        <f t="shared" ref="F59:F71" si="26">(D59*E59)/100</f>
        <v>4.9361337772126337</v>
      </c>
      <c r="G59" s="6">
        <f>3090000</f>
        <v>3090000</v>
      </c>
      <c r="H59" s="134">
        <f>G59/C59*100</f>
        <v>100</v>
      </c>
      <c r="I59" s="134">
        <f>(D59*H59)/100</f>
        <v>4.9361337772126337</v>
      </c>
      <c r="J59" s="6">
        <f t="shared" ref="J59:J62" si="27">G59-C59</f>
        <v>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448</v>
      </c>
      <c r="B60" s="707" t="s">
        <v>445</v>
      </c>
      <c r="C60" s="56">
        <v>170000</v>
      </c>
      <c r="D60" s="200"/>
      <c r="E60" s="134"/>
      <c r="F60" s="134"/>
      <c r="G60" s="6">
        <v>0</v>
      </c>
      <c r="H60" s="134"/>
      <c r="I60" s="134"/>
      <c r="J60" s="6">
        <f t="shared" si="27"/>
        <v>-170000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415</v>
      </c>
      <c r="B61" s="707" t="s">
        <v>197</v>
      </c>
      <c r="C61" s="56">
        <v>7993000</v>
      </c>
      <c r="D61" s="200"/>
      <c r="E61" s="134"/>
      <c r="F61" s="134"/>
      <c r="G61" s="6">
        <f>7664500+302500</f>
        <v>7967000</v>
      </c>
      <c r="H61" s="134"/>
      <c r="I61" s="134"/>
      <c r="J61" s="6">
        <f t="shared" si="27"/>
        <v>-26000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413</v>
      </c>
      <c r="B62" s="707" t="s">
        <v>334</v>
      </c>
      <c r="C62" s="56">
        <v>51346600</v>
      </c>
      <c r="D62" s="200"/>
      <c r="E62" s="134"/>
      <c r="F62" s="134"/>
      <c r="G62" s="6">
        <f>25575000+14860800</f>
        <v>40435800</v>
      </c>
      <c r="H62" s="134"/>
      <c r="I62" s="134"/>
      <c r="J62" s="6">
        <f t="shared" si="27"/>
        <v>-10910800</v>
      </c>
      <c r="K62" s="163"/>
      <c r="L62" s="4"/>
      <c r="M62" s="4"/>
      <c r="N62" s="4"/>
      <c r="O62" s="4"/>
      <c r="P62" s="4"/>
      <c r="Q62" s="4"/>
      <c r="R62" s="9"/>
    </row>
    <row r="63" spans="1:18" s="796" customFormat="1" x14ac:dyDescent="0.25">
      <c r="A63" s="799" t="s">
        <v>468</v>
      </c>
      <c r="B63" s="736" t="s">
        <v>467</v>
      </c>
      <c r="C63" s="800">
        <v>3000000</v>
      </c>
      <c r="D63" s="789"/>
      <c r="E63" s="790"/>
      <c r="F63" s="790"/>
      <c r="G63" s="791">
        <v>0</v>
      </c>
      <c r="H63" s="790"/>
      <c r="I63" s="790"/>
      <c r="J63" s="791">
        <v>0</v>
      </c>
      <c r="K63" s="793"/>
      <c r="L63" s="794"/>
      <c r="M63" s="794"/>
      <c r="N63" s="794"/>
      <c r="O63" s="794"/>
      <c r="P63" s="794"/>
      <c r="Q63" s="794"/>
      <c r="R63" s="795"/>
    </row>
    <row r="64" spans="1:18" x14ac:dyDescent="0.25">
      <c r="A64" s="49" t="s">
        <v>413</v>
      </c>
      <c r="B64" s="707" t="s">
        <v>334</v>
      </c>
      <c r="C64" s="56">
        <v>3000000</v>
      </c>
      <c r="D64" s="200"/>
      <c r="E64" s="134"/>
      <c r="F64" s="134"/>
      <c r="G64" s="6">
        <v>0</v>
      </c>
      <c r="H64" s="134"/>
      <c r="I64" s="134"/>
      <c r="J64" s="6">
        <f>G64-C64</f>
        <v>-3000000</v>
      </c>
      <c r="K64" s="163"/>
      <c r="L64" s="4"/>
      <c r="M64" s="4"/>
      <c r="N64" s="4"/>
      <c r="O64" s="4"/>
      <c r="P64" s="4"/>
      <c r="Q64" s="4"/>
      <c r="R64" s="9"/>
    </row>
    <row r="65" spans="1:18" s="796" customFormat="1" x14ac:dyDescent="0.25">
      <c r="A65" s="799" t="s">
        <v>469</v>
      </c>
      <c r="B65" s="736" t="s">
        <v>470</v>
      </c>
      <c r="C65" s="800">
        <f>SUM(C66:C68)</f>
        <v>12000000</v>
      </c>
      <c r="D65" s="789"/>
      <c r="E65" s="790"/>
      <c r="F65" s="790"/>
      <c r="G65" s="791">
        <v>0</v>
      </c>
      <c r="H65" s="790"/>
      <c r="I65" s="790"/>
      <c r="J65" s="791">
        <v>0</v>
      </c>
      <c r="K65" s="793"/>
      <c r="L65" s="794"/>
      <c r="M65" s="794"/>
      <c r="N65" s="794"/>
      <c r="O65" s="794"/>
      <c r="P65" s="794"/>
      <c r="Q65" s="794"/>
      <c r="R65" s="795"/>
    </row>
    <row r="66" spans="1:18" x14ac:dyDescent="0.25">
      <c r="A66" s="49" t="s">
        <v>448</v>
      </c>
      <c r="B66" s="707" t="s">
        <v>445</v>
      </c>
      <c r="C66" s="56">
        <v>170000</v>
      </c>
      <c r="D66" s="200"/>
      <c r="E66" s="134"/>
      <c r="F66" s="134"/>
      <c r="G66" s="6">
        <v>0</v>
      </c>
      <c r="H66" s="134"/>
      <c r="I66" s="134"/>
      <c r="J66" s="6">
        <f t="shared" ref="J66:J68" si="28">G66-C66</f>
        <v>-170000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413</v>
      </c>
      <c r="B67" s="707" t="s">
        <v>334</v>
      </c>
      <c r="C67" s="56">
        <v>820000</v>
      </c>
      <c r="D67" s="200"/>
      <c r="E67" s="134"/>
      <c r="F67" s="134"/>
      <c r="G67" s="6">
        <v>0</v>
      </c>
      <c r="H67" s="134"/>
      <c r="I67" s="134"/>
      <c r="J67" s="6">
        <f t="shared" si="28"/>
        <v>-820000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391</v>
      </c>
      <c r="B68" s="218" t="s">
        <v>198</v>
      </c>
      <c r="C68" s="56">
        <v>11010000</v>
      </c>
      <c r="D68" s="200"/>
      <c r="E68" s="134"/>
      <c r="F68" s="134"/>
      <c r="G68" s="6">
        <v>0</v>
      </c>
      <c r="H68" s="134"/>
      <c r="I68" s="134"/>
      <c r="J68" s="6">
        <f t="shared" si="28"/>
        <v>-11010000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238" t="s">
        <v>504</v>
      </c>
      <c r="B69" s="238" t="s">
        <v>64</v>
      </c>
      <c r="C69" s="239">
        <f>SUM(C70:C71)</f>
        <v>148714000</v>
      </c>
      <c r="D69" s="241"/>
      <c r="E69" s="242"/>
      <c r="F69" s="242"/>
      <c r="G69" s="791">
        <v>0</v>
      </c>
      <c r="H69" s="242"/>
      <c r="I69" s="242"/>
      <c r="J69" s="791">
        <v>0</v>
      </c>
      <c r="K69" s="237"/>
      <c r="L69" s="4"/>
      <c r="M69" s="4"/>
      <c r="N69" s="4"/>
      <c r="O69" s="4"/>
      <c r="P69" s="4"/>
      <c r="Q69" s="4"/>
      <c r="R69" s="9"/>
    </row>
    <row r="70" spans="1:18" ht="21" customHeight="1" x14ac:dyDescent="0.25">
      <c r="A70" s="49" t="s">
        <v>450</v>
      </c>
      <c r="B70" s="707" t="s">
        <v>384</v>
      </c>
      <c r="C70" s="56">
        <v>3480000</v>
      </c>
      <c r="D70" s="200">
        <f>C70/C69*100</f>
        <v>2.3400621326842126</v>
      </c>
      <c r="E70" s="134">
        <f t="shared" ref="E70:E71" si="29">G70/C70*100</f>
        <v>100</v>
      </c>
      <c r="F70" s="134">
        <f t="shared" si="26"/>
        <v>2.3400621326842126</v>
      </c>
      <c r="G70" s="6">
        <f>3480000</f>
        <v>3480000</v>
      </c>
      <c r="H70" s="134">
        <f t="shared" ref="H70:H71" si="30">G70/C70*100</f>
        <v>100</v>
      </c>
      <c r="I70" s="134">
        <f t="shared" ref="I70:I71" si="31">(D70*H70)/100</f>
        <v>2.3400621326842126</v>
      </c>
      <c r="J70" s="6">
        <f t="shared" ref="J70:J71" si="32">G70-C70</f>
        <v>0</v>
      </c>
      <c r="K70" s="163"/>
      <c r="L70" s="4"/>
      <c r="M70" s="4"/>
      <c r="N70" s="4"/>
      <c r="O70" s="4"/>
      <c r="P70" s="4"/>
      <c r="Q70" s="4"/>
      <c r="R70" s="9"/>
    </row>
    <row r="71" spans="1:18" ht="15.75" thickBot="1" x14ac:dyDescent="0.3">
      <c r="A71" s="217" t="s">
        <v>449</v>
      </c>
      <c r="B71" s="78" t="s">
        <v>23</v>
      </c>
      <c r="C71" s="219">
        <v>145234000</v>
      </c>
      <c r="D71" s="200">
        <f>C71/C69*100</f>
        <v>97.659937867315776</v>
      </c>
      <c r="E71" s="134">
        <f t="shared" si="29"/>
        <v>98.406741534351454</v>
      </c>
      <c r="F71" s="134">
        <f t="shared" si="26"/>
        <v>96.103962639697656</v>
      </c>
      <c r="G71" s="6">
        <f>86169136+56750911</f>
        <v>142920047</v>
      </c>
      <c r="H71" s="134">
        <f t="shared" si="30"/>
        <v>98.406741534351454</v>
      </c>
      <c r="I71" s="134">
        <f t="shared" si="31"/>
        <v>96.103962639697656</v>
      </c>
      <c r="J71" s="6">
        <f t="shared" si="32"/>
        <v>-2313953</v>
      </c>
      <c r="K71" s="163"/>
      <c r="L71" s="4"/>
      <c r="M71" s="4"/>
      <c r="N71" s="4"/>
      <c r="O71" s="694"/>
      <c r="P71" s="4"/>
      <c r="Q71" s="4"/>
      <c r="R71" s="9"/>
    </row>
    <row r="72" spans="1:18" ht="15.75" thickBot="1" x14ac:dyDescent="0.3">
      <c r="A72" s="689" t="s">
        <v>248</v>
      </c>
      <c r="B72" s="708" t="s">
        <v>68</v>
      </c>
      <c r="C72" s="690"/>
      <c r="D72" s="216"/>
      <c r="E72" s="134"/>
      <c r="F72" s="134"/>
      <c r="G72" s="6">
        <v>0</v>
      </c>
      <c r="H72" s="134"/>
      <c r="I72" s="134"/>
      <c r="J72" s="6">
        <v>0</v>
      </c>
      <c r="K72" s="163"/>
      <c r="L72" s="4"/>
      <c r="M72" s="4"/>
      <c r="N72" s="4"/>
      <c r="O72" s="4"/>
      <c r="P72" s="4"/>
      <c r="Q72" s="4"/>
      <c r="R72" s="9"/>
    </row>
    <row r="73" spans="1:18" x14ac:dyDescent="0.25">
      <c r="A73" s="233" t="s">
        <v>249</v>
      </c>
      <c r="B73" s="696" t="s">
        <v>387</v>
      </c>
      <c r="C73" s="234">
        <f>SUM(C74:C76)</f>
        <v>237367500</v>
      </c>
      <c r="D73" s="241"/>
      <c r="E73" s="242"/>
      <c r="F73" s="242"/>
      <c r="G73" s="791">
        <v>0</v>
      </c>
      <c r="H73" s="242"/>
      <c r="I73" s="242"/>
      <c r="J73" s="791">
        <v>0</v>
      </c>
      <c r="K73" s="237"/>
      <c r="L73" s="4"/>
      <c r="M73" s="4"/>
      <c r="N73" s="4"/>
      <c r="O73" s="713"/>
      <c r="P73" s="4"/>
      <c r="Q73" s="4"/>
      <c r="R73" s="9"/>
    </row>
    <row r="74" spans="1:18" x14ac:dyDescent="0.25">
      <c r="A74" s="49" t="s">
        <v>471</v>
      </c>
      <c r="B74" s="78" t="s">
        <v>388</v>
      </c>
      <c r="C74" s="56">
        <v>54000000</v>
      </c>
      <c r="D74" s="200">
        <f>C74/C73*100</f>
        <v>22.749533950519762</v>
      </c>
      <c r="E74" s="134">
        <f t="shared" ref="E74:E76" si="33">G74/C74*100</f>
        <v>59.579370370370363</v>
      </c>
      <c r="F74" s="134">
        <f t="shared" ref="F74:F76" si="34">(D74*E74)/100</f>
        <v>13.554029089913318</v>
      </c>
      <c r="G74" s="6">
        <f>32172860</f>
        <v>32172860</v>
      </c>
      <c r="H74" s="134">
        <f t="shared" ref="H74:H78" si="35">G74/C74*100</f>
        <v>59.579370370370363</v>
      </c>
      <c r="I74" s="134">
        <f t="shared" ref="I74:I76" si="36">(D74*H74)/100</f>
        <v>13.554029089913318</v>
      </c>
      <c r="J74" s="6">
        <f t="shared" ref="J74:J76" si="37">G74-C74</f>
        <v>-21827140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472</v>
      </c>
      <c r="B75" s="78" t="s">
        <v>73</v>
      </c>
      <c r="C75" s="56">
        <v>39000000</v>
      </c>
      <c r="D75" s="200">
        <f>C75/C73*100</f>
        <v>16.430218964264274</v>
      </c>
      <c r="E75" s="134">
        <f t="shared" si="33"/>
        <v>47.369946153846158</v>
      </c>
      <c r="F75" s="134">
        <f t="shared" si="34"/>
        <v>7.782985876331006</v>
      </c>
      <c r="G75" s="6">
        <f>17600989+873290</f>
        <v>18474279</v>
      </c>
      <c r="H75" s="134">
        <f t="shared" si="35"/>
        <v>47.369946153846158</v>
      </c>
      <c r="I75" s="134">
        <f t="shared" si="36"/>
        <v>7.782985876331006</v>
      </c>
      <c r="J75" s="6">
        <f t="shared" si="37"/>
        <v>-20525721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473</v>
      </c>
      <c r="B76" s="78" t="s">
        <v>75</v>
      </c>
      <c r="C76" s="56">
        <v>144367500</v>
      </c>
      <c r="D76" s="200">
        <f>C76/C73*100</f>
        <v>60.820247085215961</v>
      </c>
      <c r="E76" s="134">
        <f t="shared" si="33"/>
        <v>81.4411955599425</v>
      </c>
      <c r="F76" s="134">
        <f t="shared" si="34"/>
        <v>49.532736368710957</v>
      </c>
      <c r="G76" s="6">
        <f>113805118+3769500</f>
        <v>117574618</v>
      </c>
      <c r="H76" s="134">
        <f t="shared" si="35"/>
        <v>81.4411955599425</v>
      </c>
      <c r="I76" s="134">
        <f t="shared" si="36"/>
        <v>49.532736368710957</v>
      </c>
      <c r="J76" s="6">
        <f t="shared" si="37"/>
        <v>-26792882</v>
      </c>
      <c r="K76" s="163"/>
      <c r="L76" s="4"/>
      <c r="M76" s="4"/>
      <c r="N76" s="4"/>
      <c r="O76" s="4"/>
      <c r="P76" s="4"/>
      <c r="Q76" s="4"/>
      <c r="R76" s="9"/>
    </row>
    <row r="77" spans="1:18" x14ac:dyDescent="0.25">
      <c r="A77" s="238" t="s">
        <v>505</v>
      </c>
      <c r="B77" s="238" t="s">
        <v>76</v>
      </c>
      <c r="C77" s="239">
        <f>SUM(C78:C78)</f>
        <v>20000000</v>
      </c>
      <c r="D77" s="241"/>
      <c r="E77" s="242"/>
      <c r="F77" s="242"/>
      <c r="G77" s="791">
        <v>0</v>
      </c>
      <c r="H77" s="242"/>
      <c r="I77" s="242"/>
      <c r="J77" s="791">
        <v>0</v>
      </c>
      <c r="K77" s="237"/>
      <c r="L77" s="4"/>
      <c r="M77" s="4"/>
      <c r="N77" s="4"/>
      <c r="O77" s="4"/>
      <c r="P77" s="4"/>
      <c r="Q77" s="4"/>
      <c r="R77" s="9"/>
    </row>
    <row r="78" spans="1:18" ht="14.25" customHeight="1" thickBot="1" x14ac:dyDescent="0.3">
      <c r="A78" s="49" t="s">
        <v>450</v>
      </c>
      <c r="B78" s="707" t="s">
        <v>384</v>
      </c>
      <c r="C78" s="56">
        <v>20000000</v>
      </c>
      <c r="D78" s="200">
        <f>C78/C77*100</f>
        <v>100</v>
      </c>
      <c r="E78" s="134">
        <f t="shared" ref="E78" si="38">G78/C78*100</f>
        <v>42.5</v>
      </c>
      <c r="F78" s="134">
        <f t="shared" ref="F78" si="39">(D78*E78)/100</f>
        <v>42.5</v>
      </c>
      <c r="G78" s="6">
        <f>8500000</f>
        <v>8500000</v>
      </c>
      <c r="H78" s="134">
        <f t="shared" si="35"/>
        <v>42.5</v>
      </c>
      <c r="I78" s="134">
        <f t="shared" ref="I78" si="40">(D78*H78)/100</f>
        <v>42.5</v>
      </c>
      <c r="J78" s="6">
        <f>G78-C78</f>
        <v>-11500000</v>
      </c>
      <c r="K78" s="163"/>
      <c r="L78" s="4"/>
      <c r="M78" s="4"/>
      <c r="N78" s="4"/>
      <c r="O78" s="4"/>
      <c r="P78" s="4"/>
      <c r="Q78" s="4"/>
      <c r="R78" s="9"/>
    </row>
    <row r="79" spans="1:18" ht="26.25" thickBot="1" x14ac:dyDescent="0.3">
      <c r="A79" s="689" t="s">
        <v>506</v>
      </c>
      <c r="B79" s="692" t="s">
        <v>377</v>
      </c>
      <c r="C79" s="690"/>
      <c r="D79" s="216"/>
      <c r="E79" s="134"/>
      <c r="F79" s="134"/>
      <c r="G79" s="6">
        <v>0</v>
      </c>
      <c r="H79" s="134"/>
      <c r="I79" s="134"/>
      <c r="J79" s="6">
        <v>0</v>
      </c>
      <c r="K79" s="163"/>
      <c r="L79" s="4"/>
      <c r="M79" s="4"/>
      <c r="N79" s="4"/>
      <c r="O79" s="694"/>
      <c r="P79" s="4"/>
      <c r="Q79" s="4"/>
      <c r="R79" s="9"/>
    </row>
    <row r="80" spans="1:18" ht="26.25" x14ac:dyDescent="0.25">
      <c r="A80" s="693" t="s">
        <v>507</v>
      </c>
      <c r="B80" s="691" t="s">
        <v>474</v>
      </c>
      <c r="C80" s="234">
        <f>SUM(C81:C85)</f>
        <v>151843982</v>
      </c>
      <c r="D80" s="241"/>
      <c r="E80" s="242"/>
      <c r="F80" s="242"/>
      <c r="G80" s="791">
        <v>0</v>
      </c>
      <c r="H80" s="242"/>
      <c r="I80" s="242"/>
      <c r="J80" s="791">
        <v>0</v>
      </c>
      <c r="K80" s="244"/>
      <c r="L80" s="4"/>
      <c r="M80" s="4"/>
      <c r="N80" s="4"/>
      <c r="O80" s="4"/>
      <c r="P80" s="4"/>
      <c r="Q80" s="4"/>
      <c r="R80" s="9"/>
    </row>
    <row r="81" spans="1:18" s="783" customFormat="1" ht="25.5" x14ac:dyDescent="0.25">
      <c r="A81" s="801" t="s">
        <v>450</v>
      </c>
      <c r="B81" s="707" t="s">
        <v>384</v>
      </c>
      <c r="C81" s="788">
        <v>7330000</v>
      </c>
      <c r="D81" s="741"/>
      <c r="E81" s="742"/>
      <c r="F81" s="742"/>
      <c r="G81" s="6">
        <f>3670000</f>
        <v>3670000</v>
      </c>
      <c r="H81" s="742"/>
      <c r="I81" s="742"/>
      <c r="J81" s="6">
        <f t="shared" ref="J81:J85" si="41">G81-C81</f>
        <v>-3660000</v>
      </c>
      <c r="K81" s="743"/>
      <c r="L81" s="737"/>
      <c r="M81" s="737"/>
      <c r="N81" s="737"/>
      <c r="O81" s="737"/>
      <c r="P81" s="737"/>
      <c r="Q81" s="737"/>
      <c r="R81" s="782"/>
    </row>
    <row r="82" spans="1:18" x14ac:dyDescent="0.25">
      <c r="A82" s="224" t="s">
        <v>475</v>
      </c>
      <c r="B82" s="78" t="s">
        <v>81</v>
      </c>
      <c r="C82" s="56">
        <v>79356018</v>
      </c>
      <c r="D82" s="200">
        <f>C82/C80*100</f>
        <v>52.261549621373874</v>
      </c>
      <c r="E82" s="134">
        <f t="shared" ref="E82:E85" si="42">G82/C82*100</f>
        <v>96.092073319505516</v>
      </c>
      <c r="F82" s="134">
        <f t="shared" ref="F82:F85" si="43">(D82*E82)/100</f>
        <v>50.219206580080346</v>
      </c>
      <c r="G82" s="6">
        <f>76254843</f>
        <v>76254843</v>
      </c>
      <c r="H82" s="134">
        <f t="shared" ref="H82:H85" si="44">G82/C82*100</f>
        <v>96.092073319505516</v>
      </c>
      <c r="I82" s="134">
        <f t="shared" ref="I82:I85" si="45">(D82*H82)/100</f>
        <v>50.219206580080346</v>
      </c>
      <c r="J82" s="6">
        <f t="shared" si="41"/>
        <v>-3101175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476</v>
      </c>
      <c r="B83" s="78" t="s">
        <v>83</v>
      </c>
      <c r="C83" s="56">
        <v>22600000</v>
      </c>
      <c r="D83" s="200">
        <f>C83/C80*100</f>
        <v>14.883698189632566</v>
      </c>
      <c r="E83" s="134">
        <f t="shared" si="42"/>
        <v>42.415929203539818</v>
      </c>
      <c r="F83" s="134">
        <f t="shared" si="43"/>
        <v>6.3130588869830868</v>
      </c>
      <c r="G83" s="6">
        <f>9586000</f>
        <v>9586000</v>
      </c>
      <c r="H83" s="134">
        <f t="shared" si="44"/>
        <v>42.415929203539818</v>
      </c>
      <c r="I83" s="134">
        <f t="shared" si="45"/>
        <v>6.3130588869830868</v>
      </c>
      <c r="J83" s="6">
        <f t="shared" si="41"/>
        <v>-13014000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477</v>
      </c>
      <c r="B84" s="78" t="s">
        <v>85</v>
      </c>
      <c r="C84" s="56">
        <v>13307964</v>
      </c>
      <c r="D84" s="200">
        <f>C84/C80*100</f>
        <v>8.7642353847121832</v>
      </c>
      <c r="E84" s="134">
        <f t="shared" si="42"/>
        <v>2.6856099099757107</v>
      </c>
      <c r="F84" s="134">
        <f t="shared" si="43"/>
        <v>0.23537317402542826</v>
      </c>
      <c r="G84" s="6">
        <f>357400</f>
        <v>357400</v>
      </c>
      <c r="H84" s="134">
        <f t="shared" si="44"/>
        <v>2.6856099099757107</v>
      </c>
      <c r="I84" s="134">
        <f t="shared" si="45"/>
        <v>0.23537317402542826</v>
      </c>
      <c r="J84" s="6">
        <f t="shared" si="41"/>
        <v>-12950564</v>
      </c>
      <c r="K84" s="56"/>
      <c r="L84" s="4"/>
      <c r="M84" s="4"/>
      <c r="N84" s="4"/>
      <c r="O84" s="713"/>
      <c r="P84" s="4"/>
      <c r="Q84" s="4"/>
      <c r="R84" s="9"/>
    </row>
    <row r="85" spans="1:18" ht="25.5" x14ac:dyDescent="0.25">
      <c r="A85" s="49" t="s">
        <v>478</v>
      </c>
      <c r="B85" s="77" t="s">
        <v>87</v>
      </c>
      <c r="C85" s="56">
        <v>29250000</v>
      </c>
      <c r="D85" s="200">
        <f>C85/C80*100</f>
        <v>19.263193453396134</v>
      </c>
      <c r="E85" s="134">
        <f t="shared" si="42"/>
        <v>89.977777777777774</v>
      </c>
      <c r="F85" s="134">
        <f t="shared" si="43"/>
        <v>17.33259339840021</v>
      </c>
      <c r="G85" s="6">
        <f>17270000+9048500</f>
        <v>26318500</v>
      </c>
      <c r="H85" s="134">
        <f t="shared" si="44"/>
        <v>89.977777777777774</v>
      </c>
      <c r="I85" s="134">
        <f t="shared" si="45"/>
        <v>17.33259339840021</v>
      </c>
      <c r="J85" s="6">
        <f t="shared" si="41"/>
        <v>-2931500</v>
      </c>
      <c r="K85" s="56"/>
      <c r="L85" s="4"/>
      <c r="M85" s="4"/>
      <c r="N85" s="4"/>
      <c r="O85" s="4"/>
      <c r="P85" s="4"/>
      <c r="Q85" s="4"/>
      <c r="R85" s="9"/>
    </row>
    <row r="86" spans="1:18" s="796" customFormat="1" x14ac:dyDescent="0.25">
      <c r="A86" s="799" t="s">
        <v>483</v>
      </c>
      <c r="B86" s="691" t="s">
        <v>479</v>
      </c>
      <c r="C86" s="800">
        <f>SUM(C87:C89)</f>
        <v>30280000</v>
      </c>
      <c r="D86" s="789"/>
      <c r="E86" s="790"/>
      <c r="F86" s="790"/>
      <c r="G86" s="791">
        <v>0</v>
      </c>
      <c r="H86" s="790"/>
      <c r="I86" s="790"/>
      <c r="J86" s="791">
        <v>0</v>
      </c>
      <c r="K86" s="792"/>
      <c r="L86" s="794"/>
      <c r="M86" s="794"/>
      <c r="N86" s="794"/>
      <c r="O86" s="794"/>
      <c r="P86" s="794"/>
      <c r="Q86" s="794"/>
      <c r="R86" s="795"/>
    </row>
    <row r="87" spans="1:18" ht="25.5" x14ac:dyDescent="0.25">
      <c r="A87" s="49" t="s">
        <v>484</v>
      </c>
      <c r="B87" s="77" t="s">
        <v>480</v>
      </c>
      <c r="C87" s="56">
        <v>4110000</v>
      </c>
      <c r="D87" s="200"/>
      <c r="E87" s="134"/>
      <c r="F87" s="134"/>
      <c r="G87" s="132">
        <f>2870000</f>
        <v>2870000</v>
      </c>
      <c r="H87" s="134"/>
      <c r="I87" s="134"/>
      <c r="J87" s="6">
        <f t="shared" ref="J87:J89" si="46">G87-C87</f>
        <v>-1240000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485</v>
      </c>
      <c r="B88" s="77" t="s">
        <v>481</v>
      </c>
      <c r="C88" s="56">
        <v>14490000</v>
      </c>
      <c r="D88" s="200"/>
      <c r="E88" s="134"/>
      <c r="F88" s="134"/>
      <c r="G88" s="6">
        <f>6300000</f>
        <v>6300000</v>
      </c>
      <c r="H88" s="134"/>
      <c r="I88" s="134"/>
      <c r="J88" s="6">
        <f t="shared" si="46"/>
        <v>-8190000</v>
      </c>
      <c r="K88" s="56"/>
      <c r="L88" s="4"/>
      <c r="M88" s="4"/>
      <c r="N88" s="4"/>
      <c r="O88" s="4"/>
      <c r="P88" s="4"/>
      <c r="Q88" s="4"/>
      <c r="R88" s="9"/>
    </row>
    <row r="89" spans="1:18" ht="25.5" x14ac:dyDescent="0.25">
      <c r="A89" s="49" t="s">
        <v>486</v>
      </c>
      <c r="B89" s="77" t="s">
        <v>482</v>
      </c>
      <c r="C89" s="56">
        <v>11680000</v>
      </c>
      <c r="D89" s="200"/>
      <c r="E89" s="134"/>
      <c r="F89" s="134"/>
      <c r="G89" s="132">
        <f>9840000</f>
        <v>9840000</v>
      </c>
      <c r="H89" s="134"/>
      <c r="I89" s="134"/>
      <c r="J89" s="6">
        <f t="shared" si="46"/>
        <v>-1840000</v>
      </c>
      <c r="K89" s="56"/>
      <c r="L89" s="4"/>
      <c r="M89" s="4"/>
      <c r="N89" s="4"/>
      <c r="O89" s="4"/>
      <c r="P89" s="4"/>
      <c r="Q89" s="4"/>
      <c r="R89" s="9"/>
    </row>
    <row r="90" spans="1:18" s="796" customFormat="1" ht="25.5" x14ac:dyDescent="0.25">
      <c r="A90" s="799" t="s">
        <v>508</v>
      </c>
      <c r="B90" s="802" t="s">
        <v>90</v>
      </c>
      <c r="C90" s="800">
        <v>107280000</v>
      </c>
      <c r="D90" s="789"/>
      <c r="E90" s="790"/>
      <c r="F90" s="790"/>
      <c r="G90" s="791"/>
      <c r="H90" s="790"/>
      <c r="I90" s="790"/>
      <c r="J90" s="791"/>
      <c r="K90" s="792"/>
      <c r="L90" s="794"/>
      <c r="M90" s="794"/>
      <c r="N90" s="794"/>
      <c r="O90" s="794"/>
      <c r="P90" s="794"/>
      <c r="Q90" s="794"/>
      <c r="R90" s="795"/>
    </row>
    <row r="91" spans="1:18" ht="25.5" x14ac:dyDescent="0.25">
      <c r="A91" s="49" t="s">
        <v>487</v>
      </c>
      <c r="B91" s="77" t="s">
        <v>509</v>
      </c>
      <c r="C91" s="56">
        <v>107280000</v>
      </c>
      <c r="D91" s="200"/>
      <c r="E91" s="134"/>
      <c r="F91" s="134"/>
      <c r="G91" s="132">
        <f>11450000+1093000</f>
        <v>12543000</v>
      </c>
      <c r="H91" s="134"/>
      <c r="I91" s="134"/>
      <c r="J91" s="6">
        <f>G91-C91</f>
        <v>-94737000</v>
      </c>
      <c r="K91" s="56"/>
      <c r="L91" s="4"/>
      <c r="M91" s="4"/>
      <c r="N91" s="4"/>
      <c r="O91" s="4"/>
      <c r="P91" s="4"/>
      <c r="Q91" s="4"/>
      <c r="R91" s="9"/>
    </row>
    <row r="92" spans="1:18" ht="25.5" x14ac:dyDescent="0.25">
      <c r="A92" s="238" t="s">
        <v>510</v>
      </c>
      <c r="B92" s="240" t="s">
        <v>90</v>
      </c>
      <c r="C92" s="239">
        <v>47010000</v>
      </c>
      <c r="D92" s="241"/>
      <c r="E92" s="242"/>
      <c r="F92" s="242"/>
      <c r="G92" s="791">
        <v>0</v>
      </c>
      <c r="H92" s="242"/>
      <c r="I92" s="242"/>
      <c r="J92" s="791">
        <v>0</v>
      </c>
      <c r="K92" s="244"/>
      <c r="L92" s="4"/>
      <c r="M92" s="4"/>
      <c r="N92" s="4"/>
      <c r="O92" s="4"/>
      <c r="P92" s="4"/>
      <c r="Q92" s="4"/>
      <c r="R92" s="9"/>
    </row>
    <row r="93" spans="1:18" s="783" customFormat="1" x14ac:dyDescent="0.25">
      <c r="A93" s="124" t="s">
        <v>448</v>
      </c>
      <c r="B93" s="707" t="s">
        <v>445</v>
      </c>
      <c r="C93" s="743">
        <v>170000</v>
      </c>
      <c r="D93" s="741"/>
      <c r="E93" s="742"/>
      <c r="F93" s="742"/>
      <c r="G93" s="6">
        <v>0</v>
      </c>
      <c r="H93" s="742"/>
      <c r="I93" s="742"/>
      <c r="J93" s="6">
        <f t="shared" ref="J93:J95" si="47">G93-C93</f>
        <v>-170000</v>
      </c>
      <c r="K93" s="743"/>
      <c r="L93" s="737"/>
      <c r="M93" s="737"/>
      <c r="N93" s="737"/>
      <c r="O93" s="737"/>
      <c r="P93" s="737"/>
      <c r="Q93" s="737"/>
      <c r="R93" s="782"/>
    </row>
    <row r="94" spans="1:18" x14ac:dyDescent="0.25">
      <c r="A94" s="49" t="s">
        <v>490</v>
      </c>
      <c r="B94" s="316" t="s">
        <v>488</v>
      </c>
      <c r="C94" s="56">
        <v>8500000</v>
      </c>
      <c r="D94" s="200">
        <f>C94/C92*100</f>
        <v>18.081259306530526</v>
      </c>
      <c r="E94" s="134">
        <f t="shared" ref="E94:E95" si="48">G94/C94*100</f>
        <v>0</v>
      </c>
      <c r="F94" s="134">
        <f t="shared" ref="F94:F95" si="49">(D94*E94)/100</f>
        <v>0</v>
      </c>
      <c r="G94" s="6">
        <v>0</v>
      </c>
      <c r="H94" s="134">
        <f t="shared" ref="H94:H95" si="50">G94/C94*100</f>
        <v>0</v>
      </c>
      <c r="I94" s="134">
        <f t="shared" ref="I94:I95" si="51">(D94*H94)/100</f>
        <v>0</v>
      </c>
      <c r="J94" s="6">
        <f t="shared" si="47"/>
        <v>-8500000</v>
      </c>
      <c r="K94" s="56"/>
      <c r="L94" s="4"/>
      <c r="M94" s="4"/>
      <c r="N94" s="4"/>
      <c r="O94" s="4"/>
      <c r="P94" s="4"/>
      <c r="Q94" s="4"/>
      <c r="R94" s="9"/>
    </row>
    <row r="95" spans="1:18" ht="25.5" x14ac:dyDescent="0.25">
      <c r="A95" s="49" t="s">
        <v>491</v>
      </c>
      <c r="B95" s="77" t="s">
        <v>489</v>
      </c>
      <c r="C95" s="56">
        <v>38340000</v>
      </c>
      <c r="D95" s="200">
        <f>C95/C92*100</f>
        <v>81.557115507338864</v>
      </c>
      <c r="E95" s="134">
        <f t="shared" si="48"/>
        <v>78.651082420448617</v>
      </c>
      <c r="F95" s="134">
        <f t="shared" si="49"/>
        <v>64.145554137417562</v>
      </c>
      <c r="G95" s="138">
        <f>19048825+11106000</f>
        <v>30154825</v>
      </c>
      <c r="H95" s="134">
        <f t="shared" si="50"/>
        <v>78.651082420448617</v>
      </c>
      <c r="I95" s="134">
        <f t="shared" si="51"/>
        <v>64.145554137417562</v>
      </c>
      <c r="J95" s="6">
        <f t="shared" si="47"/>
        <v>-8185175</v>
      </c>
      <c r="K95" s="56"/>
      <c r="L95" s="4"/>
      <c r="M95" s="695"/>
      <c r="N95" s="4"/>
      <c r="O95" s="4"/>
      <c r="P95" s="4"/>
      <c r="Q95" s="4"/>
      <c r="R95" s="9"/>
    </row>
    <row r="96" spans="1:18" x14ac:dyDescent="0.25">
      <c r="A96" s="1045" t="s">
        <v>95</v>
      </c>
      <c r="B96" s="1046"/>
      <c r="C96" s="1047"/>
      <c r="D96" s="81"/>
      <c r="E96" s="134"/>
      <c r="F96" s="134"/>
      <c r="G96" s="768">
        <f>SUM(G12:G95)</f>
        <v>10666756686</v>
      </c>
      <c r="H96" s="134"/>
      <c r="I96" s="134"/>
      <c r="J96" s="781">
        <v>0</v>
      </c>
      <c r="K96" s="130"/>
      <c r="L96" s="1"/>
      <c r="M96" s="1"/>
      <c r="N96" s="1"/>
      <c r="O96" s="1"/>
      <c r="P96" s="1"/>
      <c r="Q96" s="1"/>
      <c r="R96" s="1"/>
    </row>
    <row r="97" spans="1:18" x14ac:dyDescent="0.25">
      <c r="A97" s="50"/>
      <c r="B97" s="5"/>
      <c r="C97" s="50"/>
      <c r="D97" s="9"/>
      <c r="E97" s="23"/>
      <c r="F97" s="23"/>
      <c r="G97" s="11"/>
      <c r="H97" s="23"/>
      <c r="I97" s="23"/>
      <c r="J97" s="4"/>
      <c r="K97" s="9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0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1"/>
      <c r="M98" s="1"/>
      <c r="N98" s="1"/>
      <c r="O98" s="1"/>
      <c r="P98" s="1"/>
      <c r="Q98" s="1"/>
      <c r="R98" s="1"/>
    </row>
    <row r="99" spans="1:18" x14ac:dyDescent="0.25">
      <c r="A99" s="1036" t="s">
        <v>511</v>
      </c>
      <c r="B99" s="1036"/>
      <c r="C99" s="1036"/>
      <c r="D99" s="1036"/>
      <c r="E99" s="1037"/>
      <c r="F99" s="1037"/>
      <c r="G99" s="1038"/>
      <c r="H99" s="1037"/>
      <c r="I99" s="1037"/>
      <c r="J99" s="1036"/>
      <c r="K99" s="1036"/>
      <c r="L99" s="9"/>
      <c r="M99" s="9"/>
      <c r="N99" s="9"/>
      <c r="O99" s="9"/>
      <c r="P99" s="9"/>
      <c r="Q99" s="9"/>
      <c r="R99" s="9"/>
    </row>
    <row r="100" spans="1:18" x14ac:dyDescent="0.25">
      <c r="A100" s="1161" t="s">
        <v>561</v>
      </c>
      <c r="B100" s="1161"/>
      <c r="C100" s="1161"/>
      <c r="D100" s="1161"/>
      <c r="E100" s="1161"/>
      <c r="F100" s="1161"/>
      <c r="G100" s="1161"/>
      <c r="H100" s="1161"/>
      <c r="I100" s="1161"/>
      <c r="J100" s="1161"/>
      <c r="K100" s="1161"/>
      <c r="L100" s="9"/>
      <c r="M100" s="9"/>
      <c r="N100" s="9"/>
      <c r="O100" s="9"/>
      <c r="P100" s="9"/>
      <c r="Q100" s="9"/>
      <c r="R100" s="9"/>
    </row>
    <row r="101" spans="1:18" x14ac:dyDescent="0.25">
      <c r="A101" s="1048" t="s">
        <v>2</v>
      </c>
      <c r="B101" s="1051" t="s">
        <v>3</v>
      </c>
      <c r="C101" s="1048" t="s">
        <v>4</v>
      </c>
      <c r="D101" s="1054" t="s">
        <v>5</v>
      </c>
      <c r="E101" s="1055"/>
      <c r="F101" s="1055"/>
      <c r="G101" s="1044" t="s">
        <v>6</v>
      </c>
      <c r="H101" s="1055"/>
      <c r="I101" s="1055"/>
      <c r="J101" s="1048" t="s">
        <v>7</v>
      </c>
      <c r="K101" s="213" t="s">
        <v>8</v>
      </c>
      <c r="L101" s="9"/>
      <c r="M101" s="9"/>
      <c r="N101" s="9"/>
      <c r="O101" s="9"/>
      <c r="P101" s="9"/>
      <c r="Q101" s="9"/>
      <c r="R101" s="9"/>
    </row>
    <row r="102" spans="1:18" x14ac:dyDescent="0.25">
      <c r="A102" s="1049"/>
      <c r="B102" s="1052"/>
      <c r="C102" s="1049"/>
      <c r="D102" s="209" t="s">
        <v>9</v>
      </c>
      <c r="E102" s="214" t="s">
        <v>10</v>
      </c>
      <c r="F102" s="214" t="s">
        <v>11</v>
      </c>
      <c r="G102" s="209" t="s">
        <v>12</v>
      </c>
      <c r="H102" s="214" t="s">
        <v>13</v>
      </c>
      <c r="I102" s="214" t="s">
        <v>11</v>
      </c>
      <c r="J102" s="1049"/>
      <c r="K102" s="209"/>
      <c r="L102" s="1"/>
      <c r="M102" s="1"/>
      <c r="N102" s="1"/>
      <c r="O102" s="1"/>
      <c r="P102" s="1"/>
      <c r="Q102" s="1"/>
      <c r="R102" s="1"/>
    </row>
    <row r="103" spans="1:18" x14ac:dyDescent="0.25">
      <c r="A103" s="1050"/>
      <c r="B103" s="1053"/>
      <c r="C103" s="1050"/>
      <c r="D103" s="212" t="s">
        <v>14</v>
      </c>
      <c r="E103" s="215" t="s">
        <v>14</v>
      </c>
      <c r="F103" s="215" t="s">
        <v>14</v>
      </c>
      <c r="G103" s="212" t="s">
        <v>15</v>
      </c>
      <c r="H103" s="215" t="s">
        <v>14</v>
      </c>
      <c r="I103" s="215" t="s">
        <v>14</v>
      </c>
      <c r="J103" s="212" t="s">
        <v>15</v>
      </c>
      <c r="K103" s="212"/>
      <c r="L103" s="1"/>
      <c r="M103" s="1"/>
      <c r="N103" s="1"/>
      <c r="O103" s="1"/>
      <c r="P103" s="1"/>
      <c r="Q103" s="1"/>
      <c r="R103" s="1"/>
    </row>
    <row r="104" spans="1:18" ht="26.25" thickBot="1" x14ac:dyDescent="0.3">
      <c r="A104" s="227" t="s">
        <v>220</v>
      </c>
      <c r="B104" s="704" t="s">
        <v>212</v>
      </c>
      <c r="C104" s="245">
        <f>SUM(C105:C105)</f>
        <v>1071720000</v>
      </c>
      <c r="D104" s="6"/>
      <c r="E104" s="203"/>
      <c r="F104" s="204"/>
      <c r="G104" s="6"/>
      <c r="H104" s="204"/>
      <c r="I104" s="204"/>
      <c r="J104" s="6"/>
      <c r="K104" s="6"/>
      <c r="L104" s="1"/>
      <c r="M104" s="1"/>
      <c r="N104" s="1"/>
      <c r="O104" s="714"/>
      <c r="P104" s="1"/>
      <c r="Q104" s="1"/>
      <c r="R104" s="1"/>
    </row>
    <row r="105" spans="1:18" ht="26.25" thickBot="1" x14ac:dyDescent="0.3">
      <c r="A105" s="703" t="s">
        <v>180</v>
      </c>
      <c r="B105" s="705" t="s">
        <v>379</v>
      </c>
      <c r="C105" s="246">
        <f>SUM(C106:C106)</f>
        <v>1071720000</v>
      </c>
      <c r="D105" s="226"/>
      <c r="E105" s="204"/>
      <c r="F105" s="204"/>
      <c r="G105" s="6"/>
      <c r="H105" s="204"/>
      <c r="I105" s="204"/>
      <c r="J105" s="6"/>
      <c r="K105" s="6"/>
      <c r="L105" s="1"/>
      <c r="M105" s="1"/>
      <c r="N105" s="1"/>
      <c r="O105" s="1"/>
      <c r="P105" s="1"/>
      <c r="Q105" s="1"/>
      <c r="R105" s="1"/>
    </row>
    <row r="106" spans="1:18" ht="25.5" x14ac:dyDescent="0.25">
      <c r="A106" s="698" t="s">
        <v>181</v>
      </c>
      <c r="B106" s="706" t="s">
        <v>380</v>
      </c>
      <c r="C106" s="246">
        <f>SUM(C107:C128)</f>
        <v>1071720000</v>
      </c>
      <c r="D106" s="236"/>
      <c r="E106" s="278"/>
      <c r="F106" s="278"/>
      <c r="G106" s="236"/>
      <c r="H106" s="278"/>
      <c r="I106" s="278"/>
      <c r="J106" s="236"/>
      <c r="K106" s="236"/>
      <c r="L106" s="1"/>
      <c r="M106" s="1"/>
      <c r="N106" s="1"/>
      <c r="O106" s="715"/>
      <c r="P106" s="1"/>
      <c r="Q106" s="1"/>
      <c r="R106" s="1"/>
    </row>
    <row r="107" spans="1:18" ht="15" customHeight="1" x14ac:dyDescent="0.25">
      <c r="A107" s="315" t="s">
        <v>44</v>
      </c>
      <c r="B107" s="707" t="s">
        <v>384</v>
      </c>
      <c r="C107" s="722">
        <v>53020000</v>
      </c>
      <c r="D107" s="722">
        <f>C107/C105*100</f>
        <v>4.947187698279401</v>
      </c>
      <c r="E107" s="134">
        <f t="shared" ref="E107:E127" si="52">G107/C107*100</f>
        <v>57.431158053564687</v>
      </c>
      <c r="F107" s="134">
        <f t="shared" ref="F107:F127" si="53">(D107*E107)/100</f>
        <v>2.841227186205352</v>
      </c>
      <c r="G107" s="6">
        <f>30450000</f>
        <v>30450000</v>
      </c>
      <c r="H107" s="134">
        <f t="shared" ref="H107:H127" si="54">G107/C107*100</f>
        <v>57.431158053564687</v>
      </c>
      <c r="I107" s="134">
        <f t="shared" ref="I107:I127" si="55">(D107*H107)/100</f>
        <v>2.841227186205352</v>
      </c>
      <c r="J107" s="6">
        <f t="shared" ref="J107:J128" si="56">G107-C107</f>
        <v>-22570000</v>
      </c>
      <c r="K107" s="6"/>
      <c r="L107" s="1"/>
      <c r="M107" s="1"/>
      <c r="N107" s="1"/>
      <c r="O107" s="1"/>
      <c r="P107" s="1"/>
      <c r="Q107" s="1"/>
      <c r="R107" s="1"/>
    </row>
    <row r="108" spans="1:18" ht="15" customHeight="1" x14ac:dyDescent="0.25">
      <c r="A108" s="315" t="s">
        <v>518</v>
      </c>
      <c r="B108" s="707" t="s">
        <v>512</v>
      </c>
      <c r="C108" s="722">
        <v>1500000</v>
      </c>
      <c r="D108" s="722"/>
      <c r="E108" s="134"/>
      <c r="F108" s="134"/>
      <c r="G108" s="6">
        <f>1500000</f>
        <v>1500000</v>
      </c>
      <c r="H108" s="134"/>
      <c r="I108" s="134"/>
      <c r="J108" s="6">
        <f t="shared" si="56"/>
        <v>0</v>
      </c>
      <c r="K108" s="6"/>
      <c r="L108" s="1"/>
      <c r="M108" s="1"/>
      <c r="N108" s="1"/>
      <c r="O108" s="1"/>
      <c r="P108" s="1"/>
      <c r="Q108" s="1"/>
      <c r="R108" s="1"/>
    </row>
    <row r="109" spans="1:18" x14ac:dyDescent="0.25">
      <c r="A109" s="315" t="s">
        <v>59</v>
      </c>
      <c r="B109" s="707" t="s">
        <v>197</v>
      </c>
      <c r="C109" s="247">
        <v>24044000</v>
      </c>
      <c r="D109" s="279">
        <f>C109/C105*100</f>
        <v>2.2434964356361737</v>
      </c>
      <c r="E109" s="134">
        <f t="shared" si="52"/>
        <v>80.527366494759605</v>
      </c>
      <c r="F109" s="134">
        <f t="shared" si="53"/>
        <v>1.80662859702161</v>
      </c>
      <c r="G109" s="6">
        <f>13845500+5516500</f>
        <v>19362000</v>
      </c>
      <c r="H109" s="134">
        <f t="shared" si="54"/>
        <v>80.527366494759605</v>
      </c>
      <c r="I109" s="134">
        <f t="shared" si="55"/>
        <v>1.80662859702161</v>
      </c>
      <c r="J109" s="6">
        <f t="shared" si="56"/>
        <v>-4682000</v>
      </c>
      <c r="K109" s="6"/>
      <c r="L109" s="1"/>
      <c r="M109" s="25"/>
    </row>
    <row r="110" spans="1:18" x14ac:dyDescent="0.25">
      <c r="A110" s="228" t="s">
        <v>62</v>
      </c>
      <c r="B110" s="707" t="s">
        <v>334</v>
      </c>
      <c r="C110" s="247">
        <v>25150000</v>
      </c>
      <c r="D110" s="279">
        <f>C110/C105*100</f>
        <v>2.3466950322845519</v>
      </c>
      <c r="E110" s="134">
        <f t="shared" si="52"/>
        <v>76.437773359840961</v>
      </c>
      <c r="F110" s="134">
        <f t="shared" si="53"/>
        <v>1.7937614302243126</v>
      </c>
      <c r="G110" s="6">
        <f>18524100+700000</f>
        <v>19224100</v>
      </c>
      <c r="H110" s="134">
        <f t="shared" si="54"/>
        <v>76.437773359840961</v>
      </c>
      <c r="I110" s="134">
        <f t="shared" si="55"/>
        <v>1.7937614302243126</v>
      </c>
      <c r="J110" s="6">
        <f t="shared" si="56"/>
        <v>-5925900</v>
      </c>
      <c r="K110" s="6"/>
      <c r="L110" s="1"/>
      <c r="M110" s="1"/>
      <c r="O110" s="716"/>
    </row>
    <row r="111" spans="1:18" x14ac:dyDescent="0.25">
      <c r="A111" s="315" t="s">
        <v>54</v>
      </c>
      <c r="B111" s="707" t="s">
        <v>386</v>
      </c>
      <c r="C111" s="248">
        <v>6000000</v>
      </c>
      <c r="D111" s="279">
        <f>C111/C105*100</f>
        <v>0.55984772141977379</v>
      </c>
      <c r="E111" s="134">
        <f t="shared" si="52"/>
        <v>100</v>
      </c>
      <c r="F111" s="134">
        <f t="shared" si="53"/>
        <v>0.55984772141977379</v>
      </c>
      <c r="G111" s="6">
        <f>6000000</f>
        <v>6000000</v>
      </c>
      <c r="H111" s="134">
        <f t="shared" si="54"/>
        <v>100</v>
      </c>
      <c r="I111" s="134">
        <f t="shared" si="55"/>
        <v>0.55984772141977379</v>
      </c>
      <c r="J111" s="6">
        <f t="shared" si="56"/>
        <v>0</v>
      </c>
      <c r="K111" s="6"/>
      <c r="L111" s="1"/>
      <c r="M111" s="1"/>
    </row>
    <row r="112" spans="1:18" ht="25.5" x14ac:dyDescent="0.25">
      <c r="A112" s="315" t="s">
        <v>86</v>
      </c>
      <c r="B112" s="707" t="s">
        <v>545</v>
      </c>
      <c r="C112" s="732">
        <v>6000000</v>
      </c>
      <c r="D112" s="279"/>
      <c r="E112" s="134"/>
      <c r="F112" s="134"/>
      <c r="G112" s="6"/>
      <c r="H112" s="134"/>
      <c r="I112" s="134"/>
      <c r="J112" s="6">
        <f t="shared" si="56"/>
        <v>-6000000</v>
      </c>
      <c r="K112" s="6"/>
      <c r="L112" s="1"/>
      <c r="M112" s="1"/>
    </row>
    <row r="113" spans="1:13" ht="25.5" x14ac:dyDescent="0.25">
      <c r="A113" s="315" t="s">
        <v>193</v>
      </c>
      <c r="B113" s="316" t="s">
        <v>372</v>
      </c>
      <c r="C113" s="732">
        <v>20000000</v>
      </c>
      <c r="D113" s="279">
        <f>C113/C105*100</f>
        <v>1.8661590713992462</v>
      </c>
      <c r="E113" s="134">
        <f t="shared" si="52"/>
        <v>8.6999999999999993</v>
      </c>
      <c r="F113" s="134">
        <f t="shared" si="53"/>
        <v>0.16235583921173441</v>
      </c>
      <c r="G113" s="6">
        <f>1740000</f>
        <v>1740000</v>
      </c>
      <c r="H113" s="134">
        <f t="shared" si="54"/>
        <v>8.6999999999999993</v>
      </c>
      <c r="I113" s="134">
        <f t="shared" si="55"/>
        <v>0.16235583921173441</v>
      </c>
      <c r="J113" s="6">
        <f t="shared" si="56"/>
        <v>-18260000</v>
      </c>
      <c r="K113" s="6"/>
      <c r="L113" s="1"/>
      <c r="M113" s="716"/>
    </row>
    <row r="114" spans="1:13" x14ac:dyDescent="0.25">
      <c r="A114" s="315" t="s">
        <v>519</v>
      </c>
      <c r="B114" s="315" t="s">
        <v>513</v>
      </c>
      <c r="C114" s="248">
        <v>2292000</v>
      </c>
      <c r="D114" s="279">
        <f>C114/C105*100</f>
        <v>0.21386182958235359</v>
      </c>
      <c r="E114" s="134">
        <v>0</v>
      </c>
      <c r="F114" s="134">
        <f t="shared" si="53"/>
        <v>0</v>
      </c>
      <c r="G114" s="6">
        <v>0</v>
      </c>
      <c r="H114" s="134">
        <v>0</v>
      </c>
      <c r="I114" s="134">
        <f t="shared" si="55"/>
        <v>0</v>
      </c>
      <c r="J114" s="6">
        <f t="shared" si="56"/>
        <v>-2292000</v>
      </c>
      <c r="K114" s="6"/>
      <c r="L114" s="1"/>
      <c r="M114" s="1"/>
    </row>
    <row r="115" spans="1:13" x14ac:dyDescent="0.25">
      <c r="A115" s="228" t="s">
        <v>77</v>
      </c>
      <c r="B115" s="315" t="s">
        <v>103</v>
      </c>
      <c r="C115" s="247">
        <v>325910000</v>
      </c>
      <c r="D115" s="279">
        <f>C115/C105*100</f>
        <v>30.409995147986415</v>
      </c>
      <c r="E115" s="134">
        <f t="shared" si="52"/>
        <v>65.802675585284277</v>
      </c>
      <c r="F115" s="134">
        <f t="shared" si="53"/>
        <v>20.010590452730188</v>
      </c>
      <c r="G115" s="6">
        <f>212327500+2130000</f>
        <v>214457500</v>
      </c>
      <c r="H115" s="134">
        <f t="shared" si="54"/>
        <v>65.802675585284277</v>
      </c>
      <c r="I115" s="134">
        <f t="shared" si="55"/>
        <v>20.010590452730188</v>
      </c>
      <c r="J115" s="6">
        <f t="shared" si="56"/>
        <v>-111452500</v>
      </c>
      <c r="K115" s="6"/>
      <c r="L115" s="1"/>
      <c r="M115" s="1"/>
    </row>
    <row r="116" spans="1:13" x14ac:dyDescent="0.25">
      <c r="A116" s="228" t="s">
        <v>225</v>
      </c>
      <c r="B116" s="315" t="s">
        <v>217</v>
      </c>
      <c r="C116" s="247">
        <v>600000</v>
      </c>
      <c r="D116" s="279">
        <f>C116/C105*100</f>
        <v>5.5984772141977376E-2</v>
      </c>
      <c r="E116" s="134">
        <f t="shared" si="52"/>
        <v>100</v>
      </c>
      <c r="F116" s="134">
        <f t="shared" si="53"/>
        <v>5.5984772141977376E-2</v>
      </c>
      <c r="G116" s="6">
        <f>600000</f>
        <v>600000</v>
      </c>
      <c r="H116" s="134">
        <f t="shared" si="54"/>
        <v>100</v>
      </c>
      <c r="I116" s="134">
        <f t="shared" si="55"/>
        <v>5.5984772141977376E-2</v>
      </c>
      <c r="J116" s="6">
        <f t="shared" si="56"/>
        <v>0</v>
      </c>
      <c r="K116" s="6"/>
      <c r="L116" s="1"/>
      <c r="M116" s="1"/>
    </row>
    <row r="117" spans="1:13" x14ac:dyDescent="0.25">
      <c r="A117" s="228" t="s">
        <v>283</v>
      </c>
      <c r="B117" s="315" t="s">
        <v>514</v>
      </c>
      <c r="C117" s="247">
        <v>5000000</v>
      </c>
      <c r="D117" s="279">
        <f>C117/C105*100</f>
        <v>0.46653976784981155</v>
      </c>
      <c r="E117" s="134">
        <f t="shared" si="52"/>
        <v>100</v>
      </c>
      <c r="F117" s="134">
        <f t="shared" si="53"/>
        <v>0.46653976784981155</v>
      </c>
      <c r="G117" s="6">
        <f>5000000</f>
        <v>5000000</v>
      </c>
      <c r="H117" s="134">
        <f t="shared" si="54"/>
        <v>100</v>
      </c>
      <c r="I117" s="134">
        <f t="shared" si="55"/>
        <v>0.46653976784981155</v>
      </c>
      <c r="J117" s="6">
        <f t="shared" si="56"/>
        <v>0</v>
      </c>
      <c r="K117" s="6"/>
      <c r="L117" s="1"/>
      <c r="M117" s="1"/>
    </row>
    <row r="118" spans="1:13" x14ac:dyDescent="0.25">
      <c r="A118" s="228" t="s">
        <v>104</v>
      </c>
      <c r="B118" s="315" t="s">
        <v>105</v>
      </c>
      <c r="C118" s="249">
        <v>76700000</v>
      </c>
      <c r="D118" s="279">
        <f>C118/C105*100</f>
        <v>7.1567200388161085</v>
      </c>
      <c r="E118" s="134">
        <f t="shared" si="52"/>
        <v>100</v>
      </c>
      <c r="F118" s="134">
        <f t="shared" si="53"/>
        <v>7.1567200388161085</v>
      </c>
      <c r="G118" s="6">
        <f>76700000</f>
        <v>76700000</v>
      </c>
      <c r="H118" s="134">
        <f t="shared" si="54"/>
        <v>100</v>
      </c>
      <c r="I118" s="134">
        <f t="shared" si="55"/>
        <v>7.1567200388161085</v>
      </c>
      <c r="J118" s="6">
        <f t="shared" si="56"/>
        <v>0</v>
      </c>
      <c r="K118" s="6"/>
      <c r="L118" s="1"/>
      <c r="M118" s="1"/>
    </row>
    <row r="119" spans="1:13" x14ac:dyDescent="0.25">
      <c r="A119" s="228" t="s">
        <v>130</v>
      </c>
      <c r="B119" s="315" t="s">
        <v>392</v>
      </c>
      <c r="C119" s="249">
        <v>28200000</v>
      </c>
      <c r="D119" s="279"/>
      <c r="E119" s="134"/>
      <c r="F119" s="134"/>
      <c r="G119" s="6">
        <f>28200000</f>
        <v>28200000</v>
      </c>
      <c r="H119" s="134"/>
      <c r="I119" s="134"/>
      <c r="J119" s="6">
        <f t="shared" si="56"/>
        <v>0</v>
      </c>
      <c r="K119" s="6"/>
      <c r="L119" s="1"/>
      <c r="M119" s="1"/>
    </row>
    <row r="120" spans="1:13" ht="25.5" x14ac:dyDescent="0.25">
      <c r="A120" s="228" t="s">
        <v>106</v>
      </c>
      <c r="B120" s="316" t="s">
        <v>107</v>
      </c>
      <c r="C120" s="251">
        <v>139200000</v>
      </c>
      <c r="D120" s="279">
        <f>C120/C105*100</f>
        <v>12.988467136938752</v>
      </c>
      <c r="E120" s="134">
        <f t="shared" si="52"/>
        <v>82.47126436781609</v>
      </c>
      <c r="F120" s="134">
        <f t="shared" si="53"/>
        <v>10.711753069831671</v>
      </c>
      <c r="G120" s="135">
        <f>114800000</f>
        <v>114800000</v>
      </c>
      <c r="H120" s="134">
        <f t="shared" si="54"/>
        <v>82.47126436781609</v>
      </c>
      <c r="I120" s="134">
        <f t="shared" si="55"/>
        <v>10.711753069831671</v>
      </c>
      <c r="J120" s="6">
        <f t="shared" si="56"/>
        <v>-24400000</v>
      </c>
      <c r="K120" s="6"/>
      <c r="L120" s="1"/>
      <c r="M120" s="1"/>
    </row>
    <row r="121" spans="1:13" x14ac:dyDescent="0.25">
      <c r="A121" s="228" t="s">
        <v>227</v>
      </c>
      <c r="B121" s="315" t="s">
        <v>218</v>
      </c>
      <c r="C121" s="250">
        <v>219000000</v>
      </c>
      <c r="D121" s="279">
        <f>C121/C105*100</f>
        <v>20.434441831821744</v>
      </c>
      <c r="E121" s="134">
        <f t="shared" si="52"/>
        <v>60</v>
      </c>
      <c r="F121" s="134">
        <f t="shared" si="53"/>
        <v>12.260665099093046</v>
      </c>
      <c r="G121" s="6">
        <f>131400000</f>
        <v>131400000</v>
      </c>
      <c r="H121" s="134">
        <f t="shared" si="54"/>
        <v>60</v>
      </c>
      <c r="I121" s="134">
        <f t="shared" si="55"/>
        <v>12.260665099093046</v>
      </c>
      <c r="J121" s="6">
        <f t="shared" si="56"/>
        <v>-87600000</v>
      </c>
      <c r="K121" s="6"/>
      <c r="L121" s="1"/>
      <c r="M121" s="1"/>
    </row>
    <row r="122" spans="1:13" x14ac:dyDescent="0.25">
      <c r="A122" s="315" t="s">
        <v>108</v>
      </c>
      <c r="B122" s="315" t="s">
        <v>109</v>
      </c>
      <c r="C122" s="250">
        <v>1200000</v>
      </c>
      <c r="D122" s="279">
        <f>C122/C105*100</f>
        <v>0.11196954428395475</v>
      </c>
      <c r="E122" s="134">
        <f t="shared" si="52"/>
        <v>0</v>
      </c>
      <c r="F122" s="134">
        <f t="shared" si="53"/>
        <v>0</v>
      </c>
      <c r="G122" s="6">
        <v>0</v>
      </c>
      <c r="H122" s="134">
        <f t="shared" si="54"/>
        <v>0</v>
      </c>
      <c r="I122" s="134">
        <f t="shared" si="55"/>
        <v>0</v>
      </c>
      <c r="J122" s="6">
        <f t="shared" si="56"/>
        <v>-1200000</v>
      </c>
      <c r="K122" s="6"/>
      <c r="L122" s="1"/>
      <c r="M122" s="1"/>
    </row>
    <row r="123" spans="1:13" x14ac:dyDescent="0.25">
      <c r="A123" s="83" t="s">
        <v>162</v>
      </c>
      <c r="B123" s="315" t="s">
        <v>515</v>
      </c>
      <c r="C123" s="250">
        <v>3000000</v>
      </c>
      <c r="D123" s="279">
        <f>C123/C105*100</f>
        <v>0.2799238607098869</v>
      </c>
      <c r="E123" s="134">
        <f t="shared" si="52"/>
        <v>40</v>
      </c>
      <c r="F123" s="134">
        <f t="shared" si="53"/>
        <v>0.11196954428395475</v>
      </c>
      <c r="G123" s="6">
        <f>1200000</f>
        <v>1200000</v>
      </c>
      <c r="H123" s="134">
        <f t="shared" si="54"/>
        <v>40</v>
      </c>
      <c r="I123" s="134">
        <f t="shared" si="55"/>
        <v>0.11196954428395475</v>
      </c>
      <c r="J123" s="6">
        <f t="shared" si="56"/>
        <v>-1800000</v>
      </c>
      <c r="K123" s="6"/>
      <c r="L123" s="1"/>
      <c r="M123" s="1"/>
    </row>
    <row r="124" spans="1:13" ht="25.5" x14ac:dyDescent="0.25">
      <c r="A124" s="315" t="s">
        <v>116</v>
      </c>
      <c r="B124" s="316" t="s">
        <v>516</v>
      </c>
      <c r="C124" s="250">
        <v>7603000</v>
      </c>
      <c r="D124" s="279">
        <f>C124/C105*100</f>
        <v>0.70942037099242339</v>
      </c>
      <c r="E124" s="134">
        <f t="shared" si="52"/>
        <v>13.054057608838615</v>
      </c>
      <c r="F124" s="134">
        <f t="shared" si="53"/>
        <v>9.2608143918187585E-2</v>
      </c>
      <c r="G124" s="6">
        <f>992500</f>
        <v>992500</v>
      </c>
      <c r="H124" s="134">
        <f t="shared" si="54"/>
        <v>13.054057608838615</v>
      </c>
      <c r="I124" s="134">
        <f t="shared" si="55"/>
        <v>9.2608143918187585E-2</v>
      </c>
      <c r="J124" s="6">
        <f t="shared" si="56"/>
        <v>-6610500</v>
      </c>
      <c r="K124" s="6"/>
      <c r="L124" s="1"/>
      <c r="M124" s="1"/>
    </row>
    <row r="125" spans="1:13" x14ac:dyDescent="0.25">
      <c r="A125" s="228" t="s">
        <v>65</v>
      </c>
      <c r="B125" s="315" t="s">
        <v>393</v>
      </c>
      <c r="C125" s="251">
        <v>43666000</v>
      </c>
      <c r="D125" s="279">
        <f>C125/C106*100</f>
        <v>4.0743851005859737</v>
      </c>
      <c r="E125" s="134">
        <f t="shared" si="52"/>
        <v>78.336371547657208</v>
      </c>
      <c r="F125" s="134">
        <f t="shared" si="53"/>
        <v>3.1917254506774153</v>
      </c>
      <c r="G125" s="6">
        <f>28696360+5510000</f>
        <v>34206360</v>
      </c>
      <c r="H125" s="134">
        <f t="shared" si="54"/>
        <v>78.336371547657208</v>
      </c>
      <c r="I125" s="134">
        <f t="shared" si="55"/>
        <v>3.1917254506774153</v>
      </c>
      <c r="J125" s="6">
        <f t="shared" si="56"/>
        <v>-9459640</v>
      </c>
      <c r="K125" s="6"/>
    </row>
    <row r="126" spans="1:13" x14ac:dyDescent="0.25">
      <c r="A126" s="228" t="s">
        <v>66</v>
      </c>
      <c r="B126" s="315" t="s">
        <v>120</v>
      </c>
      <c r="C126" s="251">
        <v>38885000</v>
      </c>
      <c r="D126" s="279">
        <f>C126/C107*100</f>
        <v>73.340248962655593</v>
      </c>
      <c r="E126" s="134">
        <f t="shared" si="52"/>
        <v>99.318503278899314</v>
      </c>
      <c r="F126" s="134">
        <f t="shared" si="53"/>
        <v>72.840437570728014</v>
      </c>
      <c r="G126" s="6">
        <f>38620000</f>
        <v>38620000</v>
      </c>
      <c r="H126" s="134">
        <v>0</v>
      </c>
      <c r="I126" s="134">
        <v>0</v>
      </c>
      <c r="J126" s="6">
        <f t="shared" si="56"/>
        <v>-265000</v>
      </c>
      <c r="K126" s="6"/>
    </row>
    <row r="127" spans="1:13" x14ac:dyDescent="0.25">
      <c r="A127" s="315" t="s">
        <v>287</v>
      </c>
      <c r="B127" s="315" t="s">
        <v>191</v>
      </c>
      <c r="C127" s="250">
        <v>15000000</v>
      </c>
      <c r="D127" s="279">
        <f>C127/C105*100</f>
        <v>1.3996193035494346</v>
      </c>
      <c r="E127" s="134">
        <f t="shared" si="52"/>
        <v>0</v>
      </c>
      <c r="F127" s="134">
        <f t="shared" si="53"/>
        <v>0</v>
      </c>
      <c r="G127" s="6">
        <v>0</v>
      </c>
      <c r="H127" s="134">
        <f t="shared" si="54"/>
        <v>0</v>
      </c>
      <c r="I127" s="134">
        <f t="shared" si="55"/>
        <v>0</v>
      </c>
      <c r="J127" s="6">
        <f t="shared" si="56"/>
        <v>-15000000</v>
      </c>
      <c r="K127" s="6"/>
    </row>
    <row r="128" spans="1:13" x14ac:dyDescent="0.25">
      <c r="A128" s="803" t="s">
        <v>520</v>
      </c>
      <c r="B128" s="315" t="s">
        <v>517</v>
      </c>
      <c r="C128" s="250">
        <v>29750000</v>
      </c>
      <c r="D128" s="279"/>
      <c r="E128" s="134"/>
      <c r="F128" s="134"/>
      <c r="G128" s="6">
        <f>29750000</f>
        <v>29750000</v>
      </c>
      <c r="H128" s="134"/>
      <c r="I128" s="134"/>
      <c r="J128" s="6">
        <f t="shared" si="56"/>
        <v>0</v>
      </c>
      <c r="K128" s="6"/>
    </row>
    <row r="129" spans="1:15" x14ac:dyDescent="0.25">
      <c r="A129" s="1066" t="s">
        <v>95</v>
      </c>
      <c r="B129" s="1067"/>
      <c r="C129" s="1068"/>
      <c r="D129" s="277"/>
      <c r="E129" s="134"/>
      <c r="F129" s="134"/>
      <c r="G129" s="26">
        <f>SUM(G107:G128)</f>
        <v>754202460</v>
      </c>
      <c r="H129" s="134"/>
      <c r="I129" s="134"/>
      <c r="J129" s="734"/>
      <c r="K129" s="26">
        <v>0</v>
      </c>
    </row>
    <row r="130" spans="1:15" x14ac:dyDescent="0.25">
      <c r="A130" s="52"/>
      <c r="B130" s="8"/>
      <c r="C130" s="52"/>
      <c r="D130" s="27"/>
      <c r="E130" s="28"/>
      <c r="F130" s="23"/>
      <c r="G130" s="11"/>
      <c r="H130" s="23"/>
      <c r="I130" s="23"/>
      <c r="J130" s="9"/>
      <c r="K130" s="9"/>
    </row>
    <row r="131" spans="1:15" x14ac:dyDescent="0.25">
      <c r="A131" s="50"/>
      <c r="B131" s="5"/>
      <c r="C131" s="50"/>
      <c r="D131" s="9"/>
      <c r="E131" s="23"/>
      <c r="F131" s="23"/>
      <c r="G131" s="11"/>
      <c r="H131" s="23"/>
      <c r="I131" s="23"/>
      <c r="J131" s="9"/>
      <c r="K131" s="9"/>
    </row>
    <row r="132" spans="1:15" x14ac:dyDescent="0.25">
      <c r="A132" s="1069" t="s">
        <v>2</v>
      </c>
      <c r="B132" s="1069" t="s">
        <v>123</v>
      </c>
      <c r="C132" s="896"/>
      <c r="D132" s="1063" t="s">
        <v>5</v>
      </c>
      <c r="E132" s="1064"/>
      <c r="F132" s="1064"/>
      <c r="G132" s="1065" t="s">
        <v>6</v>
      </c>
      <c r="H132" s="1064"/>
      <c r="I132" s="1064"/>
      <c r="J132" s="1056" t="s">
        <v>7</v>
      </c>
      <c r="K132" s="1056" t="s">
        <v>8</v>
      </c>
    </row>
    <row r="133" spans="1:15" x14ac:dyDescent="0.25">
      <c r="A133" s="1070"/>
      <c r="B133" s="1070"/>
      <c r="C133" s="897" t="s">
        <v>124</v>
      </c>
      <c r="D133" s="89" t="s">
        <v>9</v>
      </c>
      <c r="E133" s="90" t="s">
        <v>10</v>
      </c>
      <c r="F133" s="90" t="s">
        <v>11</v>
      </c>
      <c r="G133" s="91" t="s">
        <v>12</v>
      </c>
      <c r="H133" s="90" t="s">
        <v>13</v>
      </c>
      <c r="I133" s="90" t="s">
        <v>11</v>
      </c>
      <c r="J133" s="1057"/>
      <c r="K133" s="1057"/>
      <c r="O133" s="713"/>
    </row>
    <row r="134" spans="1:15" x14ac:dyDescent="0.25">
      <c r="A134" s="1071"/>
      <c r="B134" s="1071"/>
      <c r="C134" s="897"/>
      <c r="D134" s="92" t="s">
        <v>14</v>
      </c>
      <c r="E134" s="93" t="s">
        <v>14</v>
      </c>
      <c r="F134" s="93" t="s">
        <v>14</v>
      </c>
      <c r="G134" s="94" t="s">
        <v>15</v>
      </c>
      <c r="H134" s="93" t="s">
        <v>14</v>
      </c>
      <c r="I134" s="93" t="s">
        <v>14</v>
      </c>
      <c r="J134" s="92" t="s">
        <v>15</v>
      </c>
      <c r="K134" s="1058"/>
    </row>
    <row r="135" spans="1:15" ht="25.5" x14ac:dyDescent="0.25">
      <c r="A135" s="139" t="s">
        <v>180</v>
      </c>
      <c r="B135" s="696" t="s">
        <v>379</v>
      </c>
      <c r="C135" s="58"/>
      <c r="D135" s="38"/>
      <c r="E135" s="134"/>
      <c r="F135" s="134"/>
      <c r="G135" s="135"/>
      <c r="H135" s="134"/>
      <c r="I135" s="134"/>
      <c r="J135" s="38"/>
      <c r="K135" s="10"/>
    </row>
    <row r="136" spans="1:15" ht="25.5" x14ac:dyDescent="0.25">
      <c r="A136" s="176" t="s">
        <v>181</v>
      </c>
      <c r="B136" s="697" t="s">
        <v>380</v>
      </c>
      <c r="C136" s="86">
        <f>SUM(C137:C149)</f>
        <v>185000000</v>
      </c>
      <c r="D136" s="179"/>
      <c r="E136" s="180"/>
      <c r="F136" s="180"/>
      <c r="G136" s="181"/>
      <c r="H136" s="180"/>
      <c r="I136" s="180"/>
      <c r="J136" s="179"/>
      <c r="K136" s="167"/>
    </row>
    <row r="137" spans="1:15" ht="25.5" x14ac:dyDescent="0.25">
      <c r="A137" s="170" t="s">
        <v>44</v>
      </c>
      <c r="B137" s="707" t="s">
        <v>384</v>
      </c>
      <c r="C137" s="58">
        <v>8580000</v>
      </c>
      <c r="D137" s="180">
        <f>C137/C136*100</f>
        <v>4.6378378378378375</v>
      </c>
      <c r="E137" s="134">
        <f t="shared" ref="E137:E144" si="57">G137/C137*100</f>
        <v>100</v>
      </c>
      <c r="F137" s="134">
        <f t="shared" ref="F137:F144" si="58">(D137*E137)/100</f>
        <v>4.6378378378378375</v>
      </c>
      <c r="G137" s="181">
        <f>8580000</f>
        <v>8580000</v>
      </c>
      <c r="H137" s="134">
        <f t="shared" ref="H137:H144" si="59">G137/C137*100</f>
        <v>100</v>
      </c>
      <c r="I137" s="134">
        <f t="shared" ref="I137:I144" si="60">(D137*H137)/100</f>
        <v>4.6378378378378375</v>
      </c>
      <c r="J137" s="6">
        <f t="shared" ref="J137:J149" si="61">G137-C137</f>
        <v>0</v>
      </c>
      <c r="K137" s="167"/>
    </row>
    <row r="138" spans="1:15" x14ac:dyDescent="0.25">
      <c r="A138" s="170" t="s">
        <v>59</v>
      </c>
      <c r="B138" s="707" t="s">
        <v>197</v>
      </c>
      <c r="C138" s="58">
        <v>13390000</v>
      </c>
      <c r="D138" s="180">
        <f>C138/C136*100</f>
        <v>7.2378378378378381</v>
      </c>
      <c r="E138" s="134">
        <f t="shared" si="57"/>
        <v>66.691560866318142</v>
      </c>
      <c r="F138" s="134">
        <f t="shared" si="58"/>
        <v>4.8270270270270261</v>
      </c>
      <c r="G138" s="181">
        <f>8930000</f>
        <v>8930000</v>
      </c>
      <c r="H138" s="134">
        <f t="shared" si="59"/>
        <v>66.691560866318142</v>
      </c>
      <c r="I138" s="134">
        <f t="shared" si="60"/>
        <v>4.8270270270270261</v>
      </c>
      <c r="J138" s="6">
        <f t="shared" si="61"/>
        <v>-4460000</v>
      </c>
      <c r="K138" s="167"/>
    </row>
    <row r="139" spans="1:15" x14ac:dyDescent="0.25">
      <c r="A139" s="170" t="s">
        <v>62</v>
      </c>
      <c r="B139" s="707" t="s">
        <v>334</v>
      </c>
      <c r="C139" s="58">
        <v>8840000</v>
      </c>
      <c r="D139" s="180">
        <v>2.34</v>
      </c>
      <c r="E139" s="134">
        <f t="shared" si="57"/>
        <v>54.751131221719461</v>
      </c>
      <c r="F139" s="134">
        <f t="shared" si="58"/>
        <v>1.2811764705882354</v>
      </c>
      <c r="G139" s="181">
        <f>4840000</f>
        <v>4840000</v>
      </c>
      <c r="H139" s="134">
        <f t="shared" si="59"/>
        <v>54.751131221719461</v>
      </c>
      <c r="I139" s="134">
        <f t="shared" si="60"/>
        <v>1.2811764705882354</v>
      </c>
      <c r="J139" s="6">
        <f t="shared" si="61"/>
        <v>-4000000</v>
      </c>
      <c r="K139" s="167"/>
    </row>
    <row r="140" spans="1:15" ht="25.5" x14ac:dyDescent="0.25">
      <c r="A140" s="170" t="s">
        <v>193</v>
      </c>
      <c r="B140" s="316" t="s">
        <v>372</v>
      </c>
      <c r="C140" s="58">
        <v>6300000</v>
      </c>
      <c r="D140" s="180"/>
      <c r="E140" s="134"/>
      <c r="F140" s="134"/>
      <c r="G140" s="181">
        <f>6300000</f>
        <v>6300000</v>
      </c>
      <c r="H140" s="134"/>
      <c r="I140" s="134"/>
      <c r="J140" s="6">
        <f t="shared" si="61"/>
        <v>0</v>
      </c>
      <c r="K140" s="167"/>
    </row>
    <row r="141" spans="1:15" x14ac:dyDescent="0.25">
      <c r="A141" s="170" t="s">
        <v>148</v>
      </c>
      <c r="B141" s="133" t="s">
        <v>531</v>
      </c>
      <c r="C141" s="58">
        <v>10000000</v>
      </c>
      <c r="D141" s="180"/>
      <c r="E141" s="134"/>
      <c r="F141" s="134"/>
      <c r="G141" s="181">
        <f>10000000</f>
        <v>10000000</v>
      </c>
      <c r="H141" s="134"/>
      <c r="I141" s="134"/>
      <c r="J141" s="6">
        <f t="shared" si="61"/>
        <v>0</v>
      </c>
      <c r="K141" s="167"/>
    </row>
    <row r="142" spans="1:15" x14ac:dyDescent="0.25">
      <c r="A142" s="170" t="s">
        <v>77</v>
      </c>
      <c r="B142" s="170" t="s">
        <v>127</v>
      </c>
      <c r="C142" s="58">
        <v>67741000</v>
      </c>
      <c r="D142" s="180">
        <f>C142/C136*100</f>
        <v>36.616756756756757</v>
      </c>
      <c r="E142" s="134">
        <f t="shared" si="57"/>
        <v>75.996811384538162</v>
      </c>
      <c r="F142" s="134">
        <f t="shared" si="58"/>
        <v>27.827567567567566</v>
      </c>
      <c r="G142" s="181">
        <f>51481000</f>
        <v>51481000</v>
      </c>
      <c r="H142" s="134">
        <f t="shared" si="59"/>
        <v>75.996811384538162</v>
      </c>
      <c r="I142" s="134">
        <f t="shared" si="60"/>
        <v>27.827567567567566</v>
      </c>
      <c r="J142" s="6">
        <f t="shared" si="61"/>
        <v>-16260000</v>
      </c>
      <c r="K142" s="167"/>
    </row>
    <row r="143" spans="1:15" x14ac:dyDescent="0.25">
      <c r="A143" s="170" t="s">
        <v>183</v>
      </c>
      <c r="B143" s="170" t="s">
        <v>178</v>
      </c>
      <c r="C143" s="58">
        <v>12000000</v>
      </c>
      <c r="D143" s="180">
        <f>C143/C136*100</f>
        <v>6.4864864864864868</v>
      </c>
      <c r="E143" s="134">
        <f t="shared" si="57"/>
        <v>58.333333333333336</v>
      </c>
      <c r="F143" s="134">
        <f t="shared" si="58"/>
        <v>3.7837837837837842</v>
      </c>
      <c r="G143" s="181">
        <f>7000000</f>
        <v>7000000</v>
      </c>
      <c r="H143" s="134">
        <f t="shared" si="59"/>
        <v>58.333333333333336</v>
      </c>
      <c r="I143" s="134">
        <f t="shared" si="60"/>
        <v>3.7837837837837842</v>
      </c>
      <c r="J143" s="6">
        <f t="shared" si="61"/>
        <v>-5000000</v>
      </c>
      <c r="K143" s="167"/>
    </row>
    <row r="144" spans="1:15" x14ac:dyDescent="0.25">
      <c r="A144" s="170" t="s">
        <v>104</v>
      </c>
      <c r="B144" s="170" t="s">
        <v>182</v>
      </c>
      <c r="C144" s="58">
        <v>23200000</v>
      </c>
      <c r="D144" s="180">
        <f>C144/C136*100</f>
        <v>12.54054054054054</v>
      </c>
      <c r="E144" s="134">
        <f t="shared" si="57"/>
        <v>100</v>
      </c>
      <c r="F144" s="134">
        <f t="shared" si="58"/>
        <v>12.54054054054054</v>
      </c>
      <c r="G144" s="181">
        <f>23200000</f>
        <v>23200000</v>
      </c>
      <c r="H144" s="134">
        <f t="shared" si="59"/>
        <v>100</v>
      </c>
      <c r="I144" s="134">
        <f t="shared" si="60"/>
        <v>12.54054054054054</v>
      </c>
      <c r="J144" s="6">
        <f t="shared" si="61"/>
        <v>0</v>
      </c>
      <c r="K144" s="167"/>
    </row>
    <row r="145" spans="1:14" ht="25.5" x14ac:dyDescent="0.25">
      <c r="A145" s="170" t="s">
        <v>106</v>
      </c>
      <c r="B145" s="316" t="s">
        <v>107</v>
      </c>
      <c r="C145" s="58">
        <v>22200000</v>
      </c>
      <c r="D145" s="180"/>
      <c r="E145" s="134"/>
      <c r="F145" s="134"/>
      <c r="G145" s="181">
        <f>22200000</f>
        <v>22200000</v>
      </c>
      <c r="H145" s="134"/>
      <c r="I145" s="134"/>
      <c r="J145" s="6">
        <f t="shared" si="61"/>
        <v>0</v>
      </c>
      <c r="K145" s="167"/>
    </row>
    <row r="146" spans="1:14" x14ac:dyDescent="0.25">
      <c r="A146" s="170" t="s">
        <v>162</v>
      </c>
      <c r="B146" s="315" t="s">
        <v>515</v>
      </c>
      <c r="C146" s="58">
        <v>2000000</v>
      </c>
      <c r="D146" s="180"/>
      <c r="E146" s="134"/>
      <c r="F146" s="134"/>
      <c r="G146" s="181">
        <f>2000000</f>
        <v>2000000</v>
      </c>
      <c r="H146" s="134"/>
      <c r="I146" s="134"/>
      <c r="J146" s="6">
        <f t="shared" si="61"/>
        <v>0</v>
      </c>
      <c r="K146" s="167"/>
    </row>
    <row r="147" spans="1:14" x14ac:dyDescent="0.25">
      <c r="A147" s="170" t="s">
        <v>521</v>
      </c>
      <c r="B147" s="316" t="s">
        <v>526</v>
      </c>
      <c r="C147" s="58">
        <v>1000000</v>
      </c>
      <c r="D147" s="180"/>
      <c r="E147" s="134"/>
      <c r="F147" s="134"/>
      <c r="G147" s="181">
        <f>1000000</f>
        <v>1000000</v>
      </c>
      <c r="H147" s="134"/>
      <c r="I147" s="134"/>
      <c r="J147" s="6">
        <f t="shared" si="61"/>
        <v>0</v>
      </c>
      <c r="K147" s="167"/>
    </row>
    <row r="148" spans="1:14" ht="25.5" x14ac:dyDescent="0.25">
      <c r="A148" s="747" t="s">
        <v>116</v>
      </c>
      <c r="B148" s="316" t="s">
        <v>420</v>
      </c>
      <c r="C148" s="58">
        <v>2749000</v>
      </c>
      <c r="D148" s="180"/>
      <c r="E148" s="134"/>
      <c r="F148" s="134"/>
      <c r="G148" s="181">
        <f>2749000</f>
        <v>2749000</v>
      </c>
      <c r="H148" s="134"/>
      <c r="I148" s="134"/>
      <c r="J148" s="6">
        <f t="shared" si="61"/>
        <v>0</v>
      </c>
      <c r="K148" s="167"/>
    </row>
    <row r="149" spans="1:14" x14ac:dyDescent="0.25">
      <c r="A149" s="747" t="s">
        <v>65</v>
      </c>
      <c r="B149" s="315" t="s">
        <v>393</v>
      </c>
      <c r="C149" s="58">
        <v>7000000</v>
      </c>
      <c r="D149" s="180"/>
      <c r="E149" s="134"/>
      <c r="F149" s="134"/>
      <c r="G149" s="181">
        <f>6932360</f>
        <v>6932360</v>
      </c>
      <c r="H149" s="134"/>
      <c r="I149" s="134"/>
      <c r="J149" s="6">
        <f t="shared" si="61"/>
        <v>-67640</v>
      </c>
      <c r="K149" s="167"/>
    </row>
    <row r="150" spans="1:14" x14ac:dyDescent="0.25">
      <c r="A150" s="1059" t="s">
        <v>128</v>
      </c>
      <c r="B150" s="1060"/>
      <c r="C150" s="60">
        <f>SUM(C137:C149)</f>
        <v>185000000</v>
      </c>
      <c r="D150" s="276">
        <f>SUM(D137:D147)</f>
        <v>69.859459459459458</v>
      </c>
      <c r="E150" s="134"/>
      <c r="F150" s="134"/>
      <c r="G150" s="837">
        <f>SUM(G137:G149)</f>
        <v>155212360</v>
      </c>
      <c r="H150" s="134"/>
      <c r="I150" s="134"/>
      <c r="J150" s="56">
        <v>0</v>
      </c>
      <c r="K150" s="3"/>
    </row>
    <row r="151" spans="1:14" x14ac:dyDescent="0.25">
      <c r="A151" s="54"/>
      <c r="B151" s="54"/>
      <c r="C151" s="59"/>
      <c r="D151" s="182"/>
      <c r="E151" s="183"/>
      <c r="F151" s="183"/>
      <c r="G151" s="184"/>
      <c r="H151" s="183"/>
      <c r="I151" s="183"/>
      <c r="J151" s="185"/>
      <c r="K151" s="37"/>
    </row>
    <row r="152" spans="1:14" ht="31.5" x14ac:dyDescent="0.25">
      <c r="A152" s="55"/>
      <c r="B152" s="46" t="s">
        <v>145</v>
      </c>
      <c r="C152" s="155"/>
      <c r="D152" s="44"/>
      <c r="E152" s="45"/>
      <c r="F152" s="45"/>
      <c r="G152" s="48"/>
      <c r="H152" s="45"/>
      <c r="I152" s="45"/>
      <c r="J152" s="44"/>
      <c r="K152" s="44"/>
      <c r="L152" s="1"/>
      <c r="M152" s="1"/>
      <c r="N152" s="1"/>
    </row>
    <row r="153" spans="1:14" x14ac:dyDescent="0.25">
      <c r="A153" s="1061" t="s">
        <v>2</v>
      </c>
      <c r="B153" s="1062" t="s">
        <v>176</v>
      </c>
      <c r="C153" s="1061" t="s">
        <v>4</v>
      </c>
      <c r="D153" s="1063" t="s">
        <v>5</v>
      </c>
      <c r="E153" s="1064"/>
      <c r="F153" s="1064"/>
      <c r="G153" s="1065" t="s">
        <v>6</v>
      </c>
      <c r="H153" s="1064"/>
      <c r="I153" s="1064"/>
      <c r="J153" s="1061" t="s">
        <v>7</v>
      </c>
      <c r="K153" s="281" t="s">
        <v>8</v>
      </c>
      <c r="L153" s="1"/>
      <c r="M153" s="1"/>
      <c r="N153" s="1"/>
    </row>
    <row r="154" spans="1:14" x14ac:dyDescent="0.25">
      <c r="A154" s="1061"/>
      <c r="B154" s="1062"/>
      <c r="C154" s="1061"/>
      <c r="D154" s="281" t="s">
        <v>9</v>
      </c>
      <c r="E154" s="292" t="s">
        <v>10</v>
      </c>
      <c r="F154" s="292" t="s">
        <v>11</v>
      </c>
      <c r="G154" s="293" t="s">
        <v>12</v>
      </c>
      <c r="H154" s="292" t="s">
        <v>13</v>
      </c>
      <c r="I154" s="292" t="s">
        <v>11</v>
      </c>
      <c r="J154" s="1056"/>
      <c r="K154" s="89"/>
    </row>
    <row r="155" spans="1:14" x14ac:dyDescent="0.25">
      <c r="A155" s="1061"/>
      <c r="B155" s="1062"/>
      <c r="C155" s="1061"/>
      <c r="D155" s="92" t="s">
        <v>14</v>
      </c>
      <c r="E155" s="93" t="s">
        <v>14</v>
      </c>
      <c r="F155" s="93" t="s">
        <v>14</v>
      </c>
      <c r="G155" s="94" t="s">
        <v>15</v>
      </c>
      <c r="H155" s="93" t="s">
        <v>14</v>
      </c>
      <c r="I155" s="93" t="s">
        <v>14</v>
      </c>
      <c r="J155" s="92" t="s">
        <v>15</v>
      </c>
      <c r="K155" s="92"/>
    </row>
    <row r="156" spans="1:14" x14ac:dyDescent="0.25">
      <c r="A156" s="79" t="s">
        <v>185</v>
      </c>
      <c r="B156" s="199" t="s">
        <v>146</v>
      </c>
      <c r="C156" s="24"/>
      <c r="D156" s="10"/>
      <c r="E156" s="34"/>
      <c r="F156" s="34"/>
      <c r="G156" s="6"/>
      <c r="H156" s="34"/>
      <c r="I156" s="34"/>
      <c r="J156" s="10"/>
      <c r="K156" s="10"/>
    </row>
    <row r="157" spans="1:14" x14ac:dyDescent="0.25">
      <c r="A157" s="125" t="s">
        <v>184</v>
      </c>
      <c r="B157" s="280" t="s">
        <v>147</v>
      </c>
      <c r="C157" s="252">
        <f>SUM(C158:C159)</f>
        <v>2975640000</v>
      </c>
      <c r="D157" s="10"/>
      <c r="E157" s="34"/>
      <c r="F157" s="34"/>
      <c r="G157" s="6"/>
      <c r="H157" s="34"/>
      <c r="I157" s="34"/>
      <c r="J157" s="10"/>
      <c r="K157" s="10"/>
    </row>
    <row r="158" spans="1:14" ht="25.5" x14ac:dyDescent="0.25">
      <c r="A158" s="154" t="s">
        <v>44</v>
      </c>
      <c r="B158" s="707" t="s">
        <v>384</v>
      </c>
      <c r="C158" s="253">
        <v>35640000</v>
      </c>
      <c r="D158" s="134">
        <f>C158/C157*100</f>
        <v>1.1977255313142718</v>
      </c>
      <c r="E158" s="134">
        <f t="shared" ref="E158:E159" si="62">G158/C158*100</f>
        <v>66.666666666666657</v>
      </c>
      <c r="F158" s="134">
        <f t="shared" ref="F158:F159" si="63">(D158*E158)/100</f>
        <v>0.79848368754284782</v>
      </c>
      <c r="G158" s="181">
        <f>23760000</f>
        <v>23760000</v>
      </c>
      <c r="H158" s="134">
        <f t="shared" ref="H158:H159" si="64">G158/C158*100</f>
        <v>66.666666666666657</v>
      </c>
      <c r="I158" s="134">
        <f t="shared" ref="I158:I159" si="65">(D158*H158)/100</f>
        <v>0.79848368754284782</v>
      </c>
      <c r="J158" s="6">
        <f t="shared" ref="J158:J159" si="66">G158-C158</f>
        <v>-11880000</v>
      </c>
      <c r="K158" s="10"/>
    </row>
    <row r="159" spans="1:14" x14ac:dyDescent="0.25">
      <c r="A159" s="124" t="s">
        <v>148</v>
      </c>
      <c r="B159" s="133" t="s">
        <v>531</v>
      </c>
      <c r="C159" s="253">
        <v>2940000000</v>
      </c>
      <c r="D159" s="134">
        <f>C159/C157*100</f>
        <v>98.802274468685724</v>
      </c>
      <c r="E159" s="134">
        <f t="shared" si="62"/>
        <v>100</v>
      </c>
      <c r="F159" s="134">
        <f t="shared" si="63"/>
        <v>98.802274468685724</v>
      </c>
      <c r="G159" s="181">
        <f>939055000+2000945000</f>
        <v>2940000000</v>
      </c>
      <c r="H159" s="134">
        <f t="shared" si="64"/>
        <v>100</v>
      </c>
      <c r="I159" s="134">
        <f t="shared" si="65"/>
        <v>98.802274468685724</v>
      </c>
      <c r="J159" s="6">
        <f t="shared" si="66"/>
        <v>0</v>
      </c>
      <c r="K159" s="10"/>
    </row>
    <row r="160" spans="1:14" x14ac:dyDescent="0.25">
      <c r="A160" s="70"/>
      <c r="B160" s="129" t="s">
        <v>95</v>
      </c>
      <c r="C160" s="807">
        <f>SUM(C158:C159)</f>
        <v>2975640000</v>
      </c>
      <c r="D160" s="271">
        <f>SUM(D158:D159)</f>
        <v>100</v>
      </c>
      <c r="E160" s="134"/>
      <c r="F160" s="134"/>
      <c r="G160" s="181">
        <f>SUM(G158:G159)</f>
        <v>2963760000</v>
      </c>
      <c r="H160" s="134"/>
      <c r="I160" s="134"/>
      <c r="J160" s="734"/>
      <c r="K160" s="130"/>
    </row>
    <row r="161" spans="1:11" x14ac:dyDescent="0.25">
      <c r="A161" s="54"/>
      <c r="B161" s="2"/>
      <c r="C161" s="59"/>
      <c r="D161" s="29"/>
      <c r="E161" s="31"/>
      <c r="F161" s="31"/>
      <c r="G161" s="36"/>
      <c r="H161" s="31"/>
      <c r="I161" s="31"/>
      <c r="J161" s="15"/>
      <c r="K161" s="37"/>
    </row>
    <row r="162" spans="1:11" x14ac:dyDescent="0.25">
      <c r="A162" s="50"/>
      <c r="B162" s="5"/>
      <c r="C162" s="50"/>
      <c r="D162" s="29"/>
      <c r="E162" s="30"/>
      <c r="F162" s="31"/>
      <c r="G162" s="36"/>
      <c r="H162" s="32"/>
      <c r="I162" s="31"/>
      <c r="J162" s="36"/>
      <c r="K162" s="37"/>
    </row>
    <row r="163" spans="1:11" x14ac:dyDescent="0.25">
      <c r="A163" s="1061" t="s">
        <v>2</v>
      </c>
      <c r="B163" s="1062" t="s">
        <v>176</v>
      </c>
      <c r="C163" s="1061" t="s">
        <v>4</v>
      </c>
      <c r="D163" s="1063" t="s">
        <v>5</v>
      </c>
      <c r="E163" s="1064"/>
      <c r="F163" s="1064"/>
      <c r="G163" s="1065" t="s">
        <v>6</v>
      </c>
      <c r="H163" s="1064"/>
      <c r="I163" s="1064"/>
      <c r="J163" s="1061" t="s">
        <v>7</v>
      </c>
      <c r="K163" s="281" t="s">
        <v>8</v>
      </c>
    </row>
    <row r="164" spans="1:11" x14ac:dyDescent="0.25">
      <c r="A164" s="1061"/>
      <c r="B164" s="1062"/>
      <c r="C164" s="1061"/>
      <c r="D164" s="281" t="s">
        <v>9</v>
      </c>
      <c r="E164" s="292" t="s">
        <v>10</v>
      </c>
      <c r="F164" s="292" t="s">
        <v>11</v>
      </c>
      <c r="G164" s="293" t="s">
        <v>12</v>
      </c>
      <c r="H164" s="292" t="s">
        <v>13</v>
      </c>
      <c r="I164" s="292" t="s">
        <v>11</v>
      </c>
      <c r="J164" s="1056"/>
      <c r="K164" s="89"/>
    </row>
    <row r="165" spans="1:11" x14ac:dyDescent="0.25">
      <c r="A165" s="1061"/>
      <c r="B165" s="1062"/>
      <c r="C165" s="1061"/>
      <c r="D165" s="92" t="s">
        <v>14</v>
      </c>
      <c r="E165" s="93" t="s">
        <v>14</v>
      </c>
      <c r="F165" s="93" t="s">
        <v>14</v>
      </c>
      <c r="G165" s="94" t="s">
        <v>15</v>
      </c>
      <c r="H165" s="93" t="s">
        <v>14</v>
      </c>
      <c r="I165" s="93" t="s">
        <v>14</v>
      </c>
      <c r="J165" s="92" t="s">
        <v>15</v>
      </c>
      <c r="K165" s="92"/>
    </row>
    <row r="166" spans="1:11" x14ac:dyDescent="0.25">
      <c r="A166" s="79" t="s">
        <v>185</v>
      </c>
      <c r="B166" s="199" t="s">
        <v>146</v>
      </c>
      <c r="C166" s="153"/>
      <c r="D166" s="150"/>
      <c r="E166" s="151"/>
      <c r="F166" s="151"/>
      <c r="G166" s="152"/>
      <c r="H166" s="151"/>
      <c r="I166" s="151"/>
      <c r="J166" s="150"/>
      <c r="K166" s="150"/>
    </row>
    <row r="167" spans="1:11" x14ac:dyDescent="0.25">
      <c r="A167" s="125" t="s">
        <v>184</v>
      </c>
      <c r="B167" s="280" t="s">
        <v>150</v>
      </c>
      <c r="C167" s="254">
        <f>SUM(C168:C171)</f>
        <v>1803960912</v>
      </c>
      <c r="D167" s="10"/>
      <c r="E167" s="34"/>
      <c r="F167" s="34"/>
      <c r="G167" s="6"/>
      <c r="H167" s="34"/>
      <c r="I167" s="34"/>
      <c r="J167" s="10"/>
      <c r="K167" s="10"/>
    </row>
    <row r="168" spans="1:11" ht="25.5" x14ac:dyDescent="0.25">
      <c r="A168" s="38" t="s">
        <v>44</v>
      </c>
      <c r="B168" s="707" t="s">
        <v>384</v>
      </c>
      <c r="C168" s="255">
        <v>30310000</v>
      </c>
      <c r="D168" s="134">
        <f>C168/C167*100</f>
        <v>1.6801916160365231</v>
      </c>
      <c r="E168" s="134">
        <f t="shared" ref="E168:E170" si="67">G168/C168*100</f>
        <v>70.999670075882548</v>
      </c>
      <c r="F168" s="134">
        <f t="shared" ref="F168:F170" si="68">(D168*E168)/100</f>
        <v>1.1929305040285707</v>
      </c>
      <c r="G168" s="181">
        <f>21520000</f>
        <v>21520000</v>
      </c>
      <c r="H168" s="134">
        <f t="shared" ref="H168:H170" si="69">G168/C168*100</f>
        <v>70.999670075882548</v>
      </c>
      <c r="I168" s="134">
        <f t="shared" ref="I168:I170" si="70">(D168*H168)/100</f>
        <v>1.1929305040285707</v>
      </c>
      <c r="J168" s="6">
        <f t="shared" ref="J168:J171" si="71">G168-C168</f>
        <v>-8790000</v>
      </c>
      <c r="K168" s="10"/>
    </row>
    <row r="169" spans="1:11" x14ac:dyDescent="0.25">
      <c r="A169" s="49" t="s">
        <v>148</v>
      </c>
      <c r="B169" s="133" t="s">
        <v>531</v>
      </c>
      <c r="C169" s="256">
        <v>1260590000</v>
      </c>
      <c r="D169" s="134">
        <f>C169/C167*100</f>
        <v>69.87900855359554</v>
      </c>
      <c r="E169" s="134">
        <f t="shared" si="67"/>
        <v>78.81692699450258</v>
      </c>
      <c r="F169" s="134">
        <f t="shared" si="68"/>
        <v>55.076487156169613</v>
      </c>
      <c r="G169" s="181">
        <f>627032300+366526000</f>
        <v>993558300</v>
      </c>
      <c r="H169" s="134">
        <f t="shared" si="69"/>
        <v>78.81692699450258</v>
      </c>
      <c r="I169" s="134">
        <f t="shared" si="70"/>
        <v>55.076487156169613</v>
      </c>
      <c r="J169" s="6">
        <f t="shared" si="71"/>
        <v>-267031700</v>
      </c>
      <c r="K169" s="10"/>
    </row>
    <row r="170" spans="1:11" s="84" customFormat="1" ht="25.5" x14ac:dyDescent="0.2">
      <c r="A170" s="49" t="s">
        <v>152</v>
      </c>
      <c r="B170" s="133" t="s">
        <v>153</v>
      </c>
      <c r="C170" s="256">
        <v>504000000</v>
      </c>
      <c r="D170" s="134">
        <f>C170/C167*100</f>
        <v>27.9385210980669</v>
      </c>
      <c r="E170" s="134">
        <f t="shared" si="67"/>
        <v>50</v>
      </c>
      <c r="F170" s="134">
        <f t="shared" si="68"/>
        <v>13.96926054903345</v>
      </c>
      <c r="G170" s="181">
        <f>252000000</f>
        <v>252000000</v>
      </c>
      <c r="H170" s="134">
        <f t="shared" si="69"/>
        <v>50</v>
      </c>
      <c r="I170" s="134">
        <f t="shared" si="70"/>
        <v>13.96926054903345</v>
      </c>
      <c r="J170" s="6">
        <f t="shared" si="71"/>
        <v>-252000000</v>
      </c>
      <c r="K170" s="38"/>
    </row>
    <row r="171" spans="1:11" s="84" customFormat="1" x14ac:dyDescent="0.2">
      <c r="A171" s="749" t="s">
        <v>234</v>
      </c>
      <c r="B171" s="133" t="s">
        <v>522</v>
      </c>
      <c r="C171" s="256">
        <v>9060912</v>
      </c>
      <c r="D171" s="804"/>
      <c r="E171" s="134"/>
      <c r="F171" s="134"/>
      <c r="G171" s="181">
        <f>9060912</f>
        <v>9060912</v>
      </c>
      <c r="H171" s="134"/>
      <c r="I171" s="134"/>
      <c r="J171" s="6">
        <f t="shared" si="71"/>
        <v>0</v>
      </c>
      <c r="K171" s="805"/>
    </row>
    <row r="172" spans="1:11" x14ac:dyDescent="0.25">
      <c r="A172" s="898"/>
      <c r="B172" s="129" t="s">
        <v>154</v>
      </c>
      <c r="C172" s="826">
        <f>SUM(C168:C171)</f>
        <v>1803960912</v>
      </c>
      <c r="D172" s="272">
        <f>SUM(D168:D170)</f>
        <v>99.497721267698964</v>
      </c>
      <c r="E172" s="134"/>
      <c r="F172" s="134"/>
      <c r="G172" s="181">
        <f>SUM(G168:G171)</f>
        <v>1276139212</v>
      </c>
      <c r="H172" s="134"/>
      <c r="I172" s="134"/>
      <c r="J172" s="734"/>
      <c r="K172" s="40"/>
    </row>
    <row r="173" spans="1:11" x14ac:dyDescent="0.25">
      <c r="A173" s="54"/>
      <c r="B173" s="54"/>
      <c r="C173" s="59"/>
      <c r="D173" s="182"/>
      <c r="E173" s="183"/>
      <c r="F173" s="183"/>
      <c r="G173" s="184"/>
      <c r="H173" s="183"/>
      <c r="I173" s="183"/>
      <c r="J173" s="185"/>
      <c r="K173" s="37"/>
    </row>
    <row r="174" spans="1:11" x14ac:dyDescent="0.25">
      <c r="A174" s="50"/>
      <c r="B174" s="5"/>
      <c r="C174" s="50"/>
      <c r="D174" s="9"/>
      <c r="E174" s="23"/>
      <c r="F174" s="23"/>
      <c r="G174" s="11"/>
      <c r="H174" s="23"/>
      <c r="I174" s="23"/>
      <c r="J174" s="9"/>
      <c r="K174" s="9"/>
    </row>
    <row r="175" spans="1:11" x14ac:dyDescent="0.25">
      <c r="A175" s="1072" t="s">
        <v>2</v>
      </c>
      <c r="B175" s="1072" t="s">
        <v>129</v>
      </c>
      <c r="C175" s="1072" t="s">
        <v>124</v>
      </c>
      <c r="D175" s="1075" t="s">
        <v>5</v>
      </c>
      <c r="E175" s="1076"/>
      <c r="F175" s="1076"/>
      <c r="G175" s="1077" t="s">
        <v>6</v>
      </c>
      <c r="H175" s="1076"/>
      <c r="I175" s="1076"/>
      <c r="J175" s="1078" t="s">
        <v>7</v>
      </c>
      <c r="K175" s="95" t="s">
        <v>8</v>
      </c>
    </row>
    <row r="176" spans="1:11" x14ac:dyDescent="0.25">
      <c r="A176" s="1073"/>
      <c r="B176" s="1073"/>
      <c r="C176" s="1073"/>
      <c r="D176" s="95" t="s">
        <v>9</v>
      </c>
      <c r="E176" s="294" t="s">
        <v>10</v>
      </c>
      <c r="F176" s="294" t="s">
        <v>11</v>
      </c>
      <c r="G176" s="96" t="s">
        <v>12</v>
      </c>
      <c r="H176" s="97" t="s">
        <v>13</v>
      </c>
      <c r="I176" s="97" t="s">
        <v>11</v>
      </c>
      <c r="J176" s="1079"/>
      <c r="K176" s="98"/>
    </row>
    <row r="177" spans="1:15" x14ac:dyDescent="0.25">
      <c r="A177" s="1074"/>
      <c r="B177" s="1074"/>
      <c r="C177" s="1074"/>
      <c r="D177" s="101" t="s">
        <v>14</v>
      </c>
      <c r="E177" s="100" t="s">
        <v>14</v>
      </c>
      <c r="F177" s="100" t="s">
        <v>14</v>
      </c>
      <c r="G177" s="99" t="s">
        <v>15</v>
      </c>
      <c r="H177" s="100" t="s">
        <v>14</v>
      </c>
      <c r="I177" s="100" t="s">
        <v>14</v>
      </c>
      <c r="J177" s="101" t="s">
        <v>15</v>
      </c>
      <c r="K177" s="101"/>
    </row>
    <row r="178" spans="1:15" ht="25.5" x14ac:dyDescent="0.25">
      <c r="A178" s="175" t="s">
        <v>180</v>
      </c>
      <c r="B178" s="696" t="s">
        <v>379</v>
      </c>
      <c r="C178" s="126"/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6" t="s">
        <v>181</v>
      </c>
      <c r="B179" s="697" t="s">
        <v>380</v>
      </c>
      <c r="C179" s="86">
        <f>SUM(C180:C195)</f>
        <v>335000000</v>
      </c>
      <c r="D179" s="121"/>
      <c r="E179" s="122"/>
      <c r="F179" s="122"/>
      <c r="G179" s="123"/>
      <c r="H179" s="122"/>
      <c r="I179" s="122"/>
      <c r="J179" s="121"/>
      <c r="K179" s="121"/>
    </row>
    <row r="180" spans="1:15" ht="25.5" x14ac:dyDescent="0.25">
      <c r="A180" s="170" t="s">
        <v>44</v>
      </c>
      <c r="B180" s="707" t="s">
        <v>384</v>
      </c>
      <c r="C180" s="58">
        <v>16310000</v>
      </c>
      <c r="D180" s="134">
        <f>C180/C179*100</f>
        <v>4.8686567164179104</v>
      </c>
      <c r="E180" s="134">
        <f t="shared" ref="E180:E192" si="72">G180/C180*100</f>
        <v>88.044144696505214</v>
      </c>
      <c r="F180" s="134">
        <f t="shared" ref="F180:F192" si="73">(D180*E180)/100</f>
        <v>4.2865671641791048</v>
      </c>
      <c r="G180" s="181">
        <f>14360000</f>
        <v>14360000</v>
      </c>
      <c r="H180" s="134">
        <f t="shared" ref="H180:H192" si="74">G180/C180*100</f>
        <v>88.044144696505214</v>
      </c>
      <c r="I180" s="134">
        <f t="shared" ref="I180:I192" si="75">(D180*H180)/100</f>
        <v>4.2865671641791048</v>
      </c>
      <c r="J180" s="6">
        <f t="shared" ref="J180:J195" si="76">G180-C180</f>
        <v>-1950000</v>
      </c>
      <c r="K180" s="121"/>
    </row>
    <row r="181" spans="1:15" x14ac:dyDescent="0.25">
      <c r="A181" s="170" t="s">
        <v>59</v>
      </c>
      <c r="B181" s="707" t="s">
        <v>197</v>
      </c>
      <c r="C181" s="58">
        <v>13836500</v>
      </c>
      <c r="D181" s="180">
        <f>C181/C179*100</f>
        <v>4.1302985074626868</v>
      </c>
      <c r="E181" s="134">
        <f t="shared" si="72"/>
        <v>50</v>
      </c>
      <c r="F181" s="134">
        <f t="shared" si="73"/>
        <v>2.0651492537313434</v>
      </c>
      <c r="G181" s="181">
        <f>6918250</f>
        <v>6918250</v>
      </c>
      <c r="H181" s="134">
        <f t="shared" si="74"/>
        <v>50</v>
      </c>
      <c r="I181" s="134">
        <f t="shared" si="75"/>
        <v>2.0651492537313434</v>
      </c>
      <c r="J181" s="6">
        <f t="shared" si="76"/>
        <v>-6918250</v>
      </c>
      <c r="K181" s="167"/>
    </row>
    <row r="182" spans="1:15" ht="25.5" x14ac:dyDescent="0.25">
      <c r="A182" s="170" t="s">
        <v>62</v>
      </c>
      <c r="B182" s="707" t="s">
        <v>385</v>
      </c>
      <c r="C182" s="58">
        <v>10871000</v>
      </c>
      <c r="D182" s="726">
        <f>C182/C179*100</f>
        <v>3.2450746268656716</v>
      </c>
      <c r="E182" s="134">
        <f t="shared" si="72"/>
        <v>0</v>
      </c>
      <c r="F182" s="134">
        <f t="shared" si="73"/>
        <v>0</v>
      </c>
      <c r="G182" s="181">
        <v>0</v>
      </c>
      <c r="H182" s="134">
        <f t="shared" si="74"/>
        <v>0</v>
      </c>
      <c r="I182" s="134">
        <f t="shared" si="75"/>
        <v>0</v>
      </c>
      <c r="J182" s="6">
        <f t="shared" si="76"/>
        <v>-10871000</v>
      </c>
      <c r="K182" s="167"/>
    </row>
    <row r="183" spans="1:15" x14ac:dyDescent="0.25">
      <c r="A183" s="170" t="s">
        <v>148</v>
      </c>
      <c r="B183" s="133" t="s">
        <v>531</v>
      </c>
      <c r="C183" s="58">
        <v>10000000</v>
      </c>
      <c r="D183" s="726"/>
      <c r="E183" s="134"/>
      <c r="F183" s="134"/>
      <c r="G183" s="181">
        <f>10000000</f>
        <v>10000000</v>
      </c>
      <c r="H183" s="134"/>
      <c r="I183" s="134"/>
      <c r="J183" s="6">
        <f t="shared" si="76"/>
        <v>0</v>
      </c>
      <c r="K183" s="167"/>
    </row>
    <row r="184" spans="1:15" x14ac:dyDescent="0.25">
      <c r="A184" s="170" t="s">
        <v>77</v>
      </c>
      <c r="B184" s="170" t="s">
        <v>127</v>
      </c>
      <c r="C184" s="58">
        <v>61010000</v>
      </c>
      <c r="D184" s="726">
        <f>C184/C179*100</f>
        <v>18.211940298507461</v>
      </c>
      <c r="E184" s="134">
        <f t="shared" si="72"/>
        <v>66.972627438124903</v>
      </c>
      <c r="F184" s="134">
        <f t="shared" si="73"/>
        <v>12.197014925373134</v>
      </c>
      <c r="G184" s="181">
        <f>40860000</f>
        <v>40860000</v>
      </c>
      <c r="H184" s="134">
        <f t="shared" si="74"/>
        <v>66.972627438124903</v>
      </c>
      <c r="I184" s="134">
        <f t="shared" si="75"/>
        <v>12.197014925373134</v>
      </c>
      <c r="J184" s="6">
        <f t="shared" si="76"/>
        <v>-20150000</v>
      </c>
      <c r="K184" s="167"/>
      <c r="O184" s="190"/>
    </row>
    <row r="185" spans="1:15" x14ac:dyDescent="0.25">
      <c r="A185" s="170" t="s">
        <v>183</v>
      </c>
      <c r="B185" s="170" t="s">
        <v>178</v>
      </c>
      <c r="C185" s="58">
        <v>44625000</v>
      </c>
      <c r="D185" s="726">
        <f>C185/C179*100</f>
        <v>13.32089552238806</v>
      </c>
      <c r="E185" s="134">
        <f t="shared" si="72"/>
        <v>25.770308123249297</v>
      </c>
      <c r="F185" s="134">
        <f t="shared" si="73"/>
        <v>3.4328358208955221</v>
      </c>
      <c r="G185" s="181">
        <f>11500000</f>
        <v>11500000</v>
      </c>
      <c r="H185" s="134">
        <f t="shared" si="74"/>
        <v>25.770308123249297</v>
      </c>
      <c r="I185" s="134">
        <f t="shared" si="75"/>
        <v>3.4328358208955221</v>
      </c>
      <c r="J185" s="6">
        <f t="shared" si="76"/>
        <v>-33125000</v>
      </c>
      <c r="K185" s="167"/>
    </row>
    <row r="186" spans="1:15" x14ac:dyDescent="0.25">
      <c r="A186" s="170" t="s">
        <v>186</v>
      </c>
      <c r="B186" s="170" t="s">
        <v>179</v>
      </c>
      <c r="C186" s="58">
        <v>44100000</v>
      </c>
      <c r="D186" s="726">
        <f>C186/C179*100</f>
        <v>13.164179104477611</v>
      </c>
      <c r="E186" s="134">
        <f t="shared" si="72"/>
        <v>100</v>
      </c>
      <c r="F186" s="134">
        <f t="shared" si="73"/>
        <v>13.164179104477611</v>
      </c>
      <c r="G186" s="181">
        <f>44100000</f>
        <v>44100000</v>
      </c>
      <c r="H186" s="134">
        <f t="shared" si="74"/>
        <v>100</v>
      </c>
      <c r="I186" s="134">
        <f t="shared" si="75"/>
        <v>13.164179104477611</v>
      </c>
      <c r="J186" s="6">
        <f t="shared" si="76"/>
        <v>0</v>
      </c>
      <c r="K186" s="167"/>
    </row>
    <row r="187" spans="1:15" ht="25.5" x14ac:dyDescent="0.25">
      <c r="A187" s="170" t="s">
        <v>106</v>
      </c>
      <c r="B187" s="316" t="s">
        <v>375</v>
      </c>
      <c r="C187" s="58">
        <v>44000000</v>
      </c>
      <c r="D187" s="726">
        <f>C187/C179*100</f>
        <v>13.134328358208954</v>
      </c>
      <c r="E187" s="134">
        <f t="shared" si="72"/>
        <v>93.181818181818173</v>
      </c>
      <c r="F187" s="134">
        <f t="shared" si="73"/>
        <v>12.238805970149251</v>
      </c>
      <c r="G187" s="181">
        <f>41000000</f>
        <v>41000000</v>
      </c>
      <c r="H187" s="134">
        <f t="shared" si="74"/>
        <v>93.181818181818173</v>
      </c>
      <c r="I187" s="134">
        <f t="shared" si="75"/>
        <v>12.238805970149251</v>
      </c>
      <c r="J187" s="6">
        <f t="shared" si="76"/>
        <v>-3000000</v>
      </c>
      <c r="K187" s="167"/>
    </row>
    <row r="188" spans="1:15" x14ac:dyDescent="0.25">
      <c r="A188" s="170" t="s">
        <v>162</v>
      </c>
      <c r="B188" s="315" t="s">
        <v>515</v>
      </c>
      <c r="C188" s="58">
        <v>36000000</v>
      </c>
      <c r="D188" s="726"/>
      <c r="E188" s="134"/>
      <c r="F188" s="134"/>
      <c r="G188" s="181">
        <f>36000000</f>
        <v>36000000</v>
      </c>
      <c r="H188" s="134"/>
      <c r="I188" s="134"/>
      <c r="J188" s="6">
        <f t="shared" si="76"/>
        <v>0</v>
      </c>
      <c r="K188" s="167"/>
    </row>
    <row r="189" spans="1:15" x14ac:dyDescent="0.25">
      <c r="A189" s="170" t="s">
        <v>527</v>
      </c>
      <c r="B189" s="316" t="s">
        <v>523</v>
      </c>
      <c r="C189" s="58">
        <v>5625000</v>
      </c>
      <c r="D189" s="726"/>
      <c r="E189" s="134"/>
      <c r="F189" s="134"/>
      <c r="G189" s="181">
        <f>5625000</f>
        <v>5625000</v>
      </c>
      <c r="H189" s="134"/>
      <c r="I189" s="134"/>
      <c r="J189" s="6">
        <f t="shared" si="76"/>
        <v>0</v>
      </c>
      <c r="K189" s="167"/>
    </row>
    <row r="190" spans="1:15" x14ac:dyDescent="0.25">
      <c r="A190" s="170" t="s">
        <v>528</v>
      </c>
      <c r="B190" s="316" t="s">
        <v>524</v>
      </c>
      <c r="C190" s="58">
        <v>16000000</v>
      </c>
      <c r="D190" s="726"/>
      <c r="E190" s="134"/>
      <c r="F190" s="134"/>
      <c r="G190" s="181">
        <f>16000000</f>
        <v>16000000</v>
      </c>
      <c r="H190" s="134"/>
      <c r="I190" s="134"/>
      <c r="J190" s="6">
        <f t="shared" si="76"/>
        <v>0</v>
      </c>
      <c r="K190" s="167"/>
    </row>
    <row r="191" spans="1:15" x14ac:dyDescent="0.25">
      <c r="A191" s="170" t="s">
        <v>529</v>
      </c>
      <c r="B191" s="316" t="s">
        <v>525</v>
      </c>
      <c r="C191" s="58">
        <v>4000000</v>
      </c>
      <c r="D191" s="726"/>
      <c r="E191" s="134"/>
      <c r="F191" s="134"/>
      <c r="G191" s="181">
        <f>4000000</f>
        <v>4000000</v>
      </c>
      <c r="H191" s="134"/>
      <c r="I191" s="134"/>
      <c r="J191" s="6">
        <f t="shared" si="76"/>
        <v>0</v>
      </c>
      <c r="K191" s="167"/>
    </row>
    <row r="192" spans="1:15" ht="25.5" x14ac:dyDescent="0.25">
      <c r="A192" s="170" t="s">
        <v>116</v>
      </c>
      <c r="B192" s="133" t="s">
        <v>371</v>
      </c>
      <c r="C192" s="178">
        <v>1622500</v>
      </c>
      <c r="D192" s="726">
        <f>C192/C179*100</f>
        <v>0.4843283582089552</v>
      </c>
      <c r="E192" s="134">
        <f t="shared" si="72"/>
        <v>100</v>
      </c>
      <c r="F192" s="134">
        <f t="shared" si="73"/>
        <v>0.4843283582089552</v>
      </c>
      <c r="G192" s="181">
        <f>1622500</f>
        <v>1622500</v>
      </c>
      <c r="H192" s="134">
        <f t="shared" si="74"/>
        <v>100</v>
      </c>
      <c r="I192" s="134">
        <f t="shared" si="75"/>
        <v>0.4843283582089552</v>
      </c>
      <c r="J192" s="6">
        <f t="shared" si="76"/>
        <v>0</v>
      </c>
      <c r="K192" s="167"/>
      <c r="M192" s="190"/>
    </row>
    <row r="193" spans="1:14" x14ac:dyDescent="0.25">
      <c r="A193" s="748" t="s">
        <v>65</v>
      </c>
      <c r="B193" s="315" t="s">
        <v>393</v>
      </c>
      <c r="C193" s="178">
        <v>7000000</v>
      </c>
      <c r="D193" s="726"/>
      <c r="E193" s="134"/>
      <c r="F193" s="134"/>
      <c r="G193" s="181">
        <f>6932360</f>
        <v>6932360</v>
      </c>
      <c r="H193" s="134"/>
      <c r="I193" s="134"/>
      <c r="J193" s="6">
        <f t="shared" si="76"/>
        <v>-67640</v>
      </c>
      <c r="K193" s="167"/>
      <c r="M193" s="190"/>
    </row>
    <row r="194" spans="1:14" x14ac:dyDescent="0.25">
      <c r="A194" s="748" t="s">
        <v>287</v>
      </c>
      <c r="B194" s="315" t="s">
        <v>191</v>
      </c>
      <c r="C194" s="178">
        <v>15000000</v>
      </c>
      <c r="D194" s="726"/>
      <c r="E194" s="134"/>
      <c r="F194" s="134"/>
      <c r="G194" s="181">
        <f>15000000</f>
        <v>15000000</v>
      </c>
      <c r="H194" s="134"/>
      <c r="I194" s="134"/>
      <c r="J194" s="6">
        <f t="shared" si="76"/>
        <v>0</v>
      </c>
      <c r="K194" s="167"/>
      <c r="M194" s="190"/>
    </row>
    <row r="195" spans="1:14" x14ac:dyDescent="0.25">
      <c r="A195" s="748" t="s">
        <v>275</v>
      </c>
      <c r="B195" s="133" t="s">
        <v>421</v>
      </c>
      <c r="C195" s="178">
        <v>5000000</v>
      </c>
      <c r="D195" s="726"/>
      <c r="E195" s="134"/>
      <c r="F195" s="134"/>
      <c r="G195" s="181">
        <v>0</v>
      </c>
      <c r="H195" s="134"/>
      <c r="I195" s="134"/>
      <c r="J195" s="6">
        <f t="shared" si="76"/>
        <v>-5000000</v>
      </c>
      <c r="K195" s="167"/>
      <c r="M195" s="190"/>
    </row>
    <row r="196" spans="1:14" x14ac:dyDescent="0.25">
      <c r="A196" s="69"/>
      <c r="B196" s="67" t="s">
        <v>128</v>
      </c>
      <c r="C196" s="60">
        <f>SUM(C180:C195)</f>
        <v>335000000</v>
      </c>
      <c r="D196" s="275">
        <f>SUM(D180:D192)</f>
        <v>70.5597014925373</v>
      </c>
      <c r="E196" s="134"/>
      <c r="F196" s="134"/>
      <c r="G196" s="42">
        <f>SUM(G180:G195)</f>
        <v>253918110</v>
      </c>
      <c r="H196" s="134"/>
      <c r="I196" s="134"/>
      <c r="J196" s="734"/>
      <c r="K196" s="38"/>
    </row>
    <row r="197" spans="1:14" x14ac:dyDescent="0.25">
      <c r="A197" s="186"/>
      <c r="B197" s="2"/>
      <c r="C197" s="187"/>
      <c r="D197" s="188"/>
      <c r="E197" s="183"/>
      <c r="F197" s="183"/>
      <c r="G197" s="184"/>
      <c r="H197" s="183"/>
      <c r="I197" s="183"/>
      <c r="J197" s="189"/>
      <c r="K197" s="53"/>
    </row>
    <row r="198" spans="1:14" ht="31.5" x14ac:dyDescent="0.25">
      <c r="A198" s="55"/>
      <c r="B198" s="46" t="s">
        <v>145</v>
      </c>
      <c r="C198" s="155"/>
      <c r="D198" s="44"/>
      <c r="E198" s="45"/>
      <c r="F198" s="45"/>
      <c r="G198" s="48"/>
      <c r="H198" s="45"/>
      <c r="I198" s="45"/>
      <c r="J198" s="44"/>
      <c r="K198" s="44"/>
      <c r="L198" s="1"/>
      <c r="M198" s="1"/>
      <c r="N198" s="1"/>
    </row>
    <row r="199" spans="1:14" x14ac:dyDescent="0.25">
      <c r="A199" s="1082" t="s">
        <v>2</v>
      </c>
      <c r="B199" s="1081" t="s">
        <v>168</v>
      </c>
      <c r="C199" s="1082" t="s">
        <v>4</v>
      </c>
      <c r="D199" s="1083" t="s">
        <v>5</v>
      </c>
      <c r="E199" s="1084"/>
      <c r="F199" s="1084"/>
      <c r="G199" s="1085" t="s">
        <v>6</v>
      </c>
      <c r="H199" s="1084"/>
      <c r="I199" s="1084"/>
      <c r="J199" s="1082" t="s">
        <v>7</v>
      </c>
      <c r="K199" s="283" t="s">
        <v>8</v>
      </c>
    </row>
    <row r="200" spans="1:14" x14ac:dyDescent="0.25">
      <c r="A200" s="1082"/>
      <c r="B200" s="1081"/>
      <c r="C200" s="1082"/>
      <c r="D200" s="283" t="s">
        <v>9</v>
      </c>
      <c r="E200" s="297" t="s">
        <v>10</v>
      </c>
      <c r="F200" s="297" t="s">
        <v>11</v>
      </c>
      <c r="G200" s="298" t="s">
        <v>12</v>
      </c>
      <c r="H200" s="297" t="s">
        <v>13</v>
      </c>
      <c r="I200" s="297" t="s">
        <v>11</v>
      </c>
      <c r="J200" s="1086"/>
      <c r="K200" s="284"/>
    </row>
    <row r="201" spans="1:14" x14ac:dyDescent="0.25">
      <c r="A201" s="1082"/>
      <c r="B201" s="1081"/>
      <c r="C201" s="1082"/>
      <c r="D201" s="282" t="s">
        <v>14</v>
      </c>
      <c r="E201" s="295" t="s">
        <v>14</v>
      </c>
      <c r="F201" s="295" t="s">
        <v>14</v>
      </c>
      <c r="G201" s="296" t="s">
        <v>15</v>
      </c>
      <c r="H201" s="295" t="s">
        <v>14</v>
      </c>
      <c r="I201" s="295" t="s">
        <v>14</v>
      </c>
      <c r="J201" s="282" t="s">
        <v>15</v>
      </c>
      <c r="K201" s="282"/>
    </row>
    <row r="202" spans="1:14" x14ac:dyDescent="0.25">
      <c r="A202" s="79" t="s">
        <v>185</v>
      </c>
      <c r="B202" s="199" t="s">
        <v>146</v>
      </c>
      <c r="C202" s="145"/>
      <c r="D202" s="146"/>
      <c r="E202" s="147"/>
      <c r="F202" s="147"/>
      <c r="G202" s="148"/>
      <c r="H202" s="147"/>
      <c r="I202" s="147"/>
      <c r="J202" s="146"/>
      <c r="K202" s="146"/>
    </row>
    <row r="203" spans="1:14" x14ac:dyDescent="0.25">
      <c r="A203" s="125" t="s">
        <v>184</v>
      </c>
      <c r="B203" s="280" t="s">
        <v>147</v>
      </c>
      <c r="C203" s="257">
        <f>SUM(C204:C206)</f>
        <v>2555640000</v>
      </c>
      <c r="D203" s="146"/>
      <c r="E203" s="147"/>
      <c r="F203" s="147"/>
      <c r="G203" s="148"/>
      <c r="H203" s="147"/>
      <c r="I203" s="147"/>
      <c r="J203" s="146"/>
      <c r="K203" s="146"/>
    </row>
    <row r="204" spans="1:14" ht="25.5" x14ac:dyDescent="0.25">
      <c r="A204" s="319" t="s">
        <v>59</v>
      </c>
      <c r="B204" s="707" t="s">
        <v>384</v>
      </c>
      <c r="C204" s="258">
        <f>33350000</f>
        <v>33350000</v>
      </c>
      <c r="D204" s="267"/>
      <c r="E204" s="134"/>
      <c r="F204" s="134"/>
      <c r="G204" s="181">
        <f>33350000</f>
        <v>33350000</v>
      </c>
      <c r="H204" s="134"/>
      <c r="I204" s="134"/>
      <c r="J204" s="6">
        <f t="shared" ref="J204:J205" si="77">G204-C204</f>
        <v>0</v>
      </c>
      <c r="K204" s="146"/>
    </row>
    <row r="205" spans="1:14" x14ac:dyDescent="0.25">
      <c r="A205" s="49" t="s">
        <v>148</v>
      </c>
      <c r="B205" s="707" t="s">
        <v>197</v>
      </c>
      <c r="C205" s="259">
        <f>2290000</f>
        <v>2290000</v>
      </c>
      <c r="D205" s="267">
        <f>C205/C203*100</f>
        <v>8.9605734767025089E-2</v>
      </c>
      <c r="E205" s="134">
        <f t="shared" ref="E205" si="78">G205/C205*100</f>
        <v>100</v>
      </c>
      <c r="F205" s="134">
        <f t="shared" ref="F205" si="79">(D205*E205)/100</f>
        <v>8.9605734767025089E-2</v>
      </c>
      <c r="G205" s="181">
        <f>2290000</f>
        <v>2290000</v>
      </c>
      <c r="H205" s="134">
        <f t="shared" ref="H205" si="80">G205/C205*100</f>
        <v>100</v>
      </c>
      <c r="I205" s="134">
        <f t="shared" ref="I205" si="81">(D205*H205)/100</f>
        <v>8.9605734767025089E-2</v>
      </c>
      <c r="J205" s="6">
        <f t="shared" si="77"/>
        <v>0</v>
      </c>
      <c r="K205" s="146"/>
    </row>
    <row r="206" spans="1:14" x14ac:dyDescent="0.25">
      <c r="A206" s="749"/>
      <c r="B206" s="133" t="s">
        <v>531</v>
      </c>
      <c r="C206" s="259">
        <f>2520000000</f>
        <v>2520000000</v>
      </c>
      <c r="D206" s="848"/>
      <c r="E206" s="134"/>
      <c r="F206" s="134"/>
      <c r="G206" s="181">
        <f>208860000+1943900000</f>
        <v>2152760000</v>
      </c>
      <c r="H206" s="134"/>
      <c r="I206" s="134"/>
      <c r="J206" s="6"/>
      <c r="K206" s="849"/>
    </row>
    <row r="207" spans="1:14" x14ac:dyDescent="0.25">
      <c r="A207" s="71"/>
      <c r="B207" s="76" t="s">
        <v>95</v>
      </c>
      <c r="C207" s="806">
        <f>SUM(C204:C206)</f>
        <v>2555640000</v>
      </c>
      <c r="D207" s="141">
        <f>SUM(D204:D205)</f>
        <v>8.9605734767025089E-2</v>
      </c>
      <c r="E207" s="134"/>
      <c r="F207" s="134"/>
      <c r="G207" s="181">
        <f>SUM(G204:G206)</f>
        <v>2188400000</v>
      </c>
      <c r="H207" s="134"/>
      <c r="I207" s="134"/>
      <c r="J207" s="56">
        <v>0</v>
      </c>
      <c r="K207" s="143"/>
    </row>
    <row r="208" spans="1:14" x14ac:dyDescent="0.25">
      <c r="A208" s="186"/>
      <c r="B208" s="2"/>
      <c r="C208" s="187"/>
      <c r="D208" s="188"/>
      <c r="E208" s="183"/>
      <c r="F208" s="183"/>
      <c r="G208" s="184"/>
      <c r="H208" s="183"/>
      <c r="I208" s="183"/>
      <c r="J208" s="189"/>
      <c r="K208" s="53"/>
    </row>
    <row r="209" spans="1:11" x14ac:dyDescent="0.25">
      <c r="A209" s="1080" t="s">
        <v>2</v>
      </c>
      <c r="B209" s="1081" t="s">
        <v>168</v>
      </c>
      <c r="C209" s="1080" t="s">
        <v>4</v>
      </c>
      <c r="D209" s="1075" t="s">
        <v>5</v>
      </c>
      <c r="E209" s="1076"/>
      <c r="F209" s="1076"/>
      <c r="G209" s="1077" t="s">
        <v>6</v>
      </c>
      <c r="H209" s="1076"/>
      <c r="I209" s="1076"/>
      <c r="J209" s="1080" t="s">
        <v>7</v>
      </c>
      <c r="K209" s="95" t="s">
        <v>8</v>
      </c>
    </row>
    <row r="210" spans="1:11" x14ac:dyDescent="0.25">
      <c r="A210" s="1080"/>
      <c r="B210" s="1081"/>
      <c r="C210" s="1080"/>
      <c r="D210" s="95" t="s">
        <v>9</v>
      </c>
      <c r="E210" s="294" t="s">
        <v>10</v>
      </c>
      <c r="F210" s="294" t="s">
        <v>11</v>
      </c>
      <c r="G210" s="299" t="s">
        <v>12</v>
      </c>
      <c r="H210" s="294" t="s">
        <v>13</v>
      </c>
      <c r="I210" s="294" t="s">
        <v>11</v>
      </c>
      <c r="J210" s="1078"/>
      <c r="K210" s="98"/>
    </row>
    <row r="211" spans="1:11" x14ac:dyDescent="0.25">
      <c r="A211" s="1080"/>
      <c r="B211" s="1081"/>
      <c r="C211" s="1080"/>
      <c r="D211" s="101" t="s">
        <v>14</v>
      </c>
      <c r="E211" s="100" t="s">
        <v>14</v>
      </c>
      <c r="F211" s="100" t="s">
        <v>14</v>
      </c>
      <c r="G211" s="99" t="s">
        <v>15</v>
      </c>
      <c r="H211" s="100" t="s">
        <v>14</v>
      </c>
      <c r="I211" s="100" t="s">
        <v>14</v>
      </c>
      <c r="J211" s="101" t="s">
        <v>15</v>
      </c>
      <c r="K211" s="101"/>
    </row>
    <row r="212" spans="1:11" x14ac:dyDescent="0.25">
      <c r="A212" s="79" t="s">
        <v>185</v>
      </c>
      <c r="B212" s="199" t="s">
        <v>146</v>
      </c>
      <c r="C212" s="24"/>
      <c r="D212" s="10"/>
      <c r="E212" s="34"/>
      <c r="F212" s="34"/>
      <c r="G212" s="6"/>
      <c r="H212" s="34"/>
      <c r="I212" s="34"/>
      <c r="J212" s="10"/>
      <c r="K212" s="10"/>
    </row>
    <row r="213" spans="1:11" x14ac:dyDescent="0.25">
      <c r="A213" s="125" t="s">
        <v>187</v>
      </c>
      <c r="B213" s="280" t="s">
        <v>150</v>
      </c>
      <c r="C213" s="252">
        <f>SUM(C214:C218)</f>
        <v>1635097968</v>
      </c>
      <c r="D213" s="10"/>
      <c r="E213" s="34"/>
      <c r="F213" s="34"/>
      <c r="G213" s="6"/>
      <c r="H213" s="34"/>
      <c r="I213" s="34"/>
      <c r="J213" s="10"/>
      <c r="K213" s="10"/>
    </row>
    <row r="214" spans="1:11" ht="25.5" x14ac:dyDescent="0.25">
      <c r="A214" s="313" t="s">
        <v>44</v>
      </c>
      <c r="B214" s="707" t="s">
        <v>384</v>
      </c>
      <c r="C214" s="253">
        <v>29600000</v>
      </c>
      <c r="D214" s="134">
        <f>C214/C213*100</f>
        <v>1.8102890823236593</v>
      </c>
      <c r="E214" s="134">
        <f t="shared" ref="E214:E217" si="82">G214/C214*100</f>
        <v>100</v>
      </c>
      <c r="F214" s="134">
        <f t="shared" ref="F214:F217" si="83">(D214*E214)/100</f>
        <v>1.8102890823236593</v>
      </c>
      <c r="G214" s="181">
        <f>29600000</f>
        <v>29600000</v>
      </c>
      <c r="H214" s="134">
        <f t="shared" ref="H214:H217" si="84">G214/C214*100</f>
        <v>100</v>
      </c>
      <c r="I214" s="134">
        <f t="shared" ref="I214:I217" si="85">(D214*H214)/100</f>
        <v>1.8102890823236593</v>
      </c>
      <c r="J214" s="6">
        <f t="shared" ref="J214:J218" si="86">G214-C214</f>
        <v>0</v>
      </c>
      <c r="K214" s="10"/>
    </row>
    <row r="215" spans="1:11" x14ac:dyDescent="0.25">
      <c r="A215" s="319" t="s">
        <v>59</v>
      </c>
      <c r="B215" s="707" t="s">
        <v>197</v>
      </c>
      <c r="C215" s="253">
        <v>1300000</v>
      </c>
      <c r="D215" s="134"/>
      <c r="E215" s="134"/>
      <c r="F215" s="134"/>
      <c r="G215" s="181">
        <f>1300000</f>
        <v>1300000</v>
      </c>
      <c r="H215" s="134"/>
      <c r="I215" s="134"/>
      <c r="J215" s="6">
        <f t="shared" si="86"/>
        <v>0</v>
      </c>
      <c r="K215" s="10"/>
    </row>
    <row r="216" spans="1:11" x14ac:dyDescent="0.25">
      <c r="A216" s="49" t="s">
        <v>148</v>
      </c>
      <c r="B216" s="133" t="s">
        <v>531</v>
      </c>
      <c r="C216" s="256">
        <f>1140000000</f>
        <v>1140000000</v>
      </c>
      <c r="D216" s="134">
        <f>C216/C213*100</f>
        <v>69.720593035438228</v>
      </c>
      <c r="E216" s="134">
        <f t="shared" si="82"/>
        <v>65.903508771929822</v>
      </c>
      <c r="F216" s="134">
        <f t="shared" si="83"/>
        <v>45.948317146951524</v>
      </c>
      <c r="G216" s="181">
        <f>542973600+208326400</f>
        <v>751300000</v>
      </c>
      <c r="H216" s="134">
        <f t="shared" si="84"/>
        <v>65.903508771929822</v>
      </c>
      <c r="I216" s="134">
        <f t="shared" si="85"/>
        <v>45.948317146951524</v>
      </c>
      <c r="J216" s="6">
        <f t="shared" si="86"/>
        <v>-388700000</v>
      </c>
      <c r="K216" s="10"/>
    </row>
    <row r="217" spans="1:11" s="84" customFormat="1" ht="25.5" x14ac:dyDescent="0.2">
      <c r="A217" s="49" t="s">
        <v>152</v>
      </c>
      <c r="B217" s="133" t="s">
        <v>153</v>
      </c>
      <c r="C217" s="256">
        <v>456000000</v>
      </c>
      <c r="D217" s="134">
        <f>C217/C213*100</f>
        <v>27.888237214175295</v>
      </c>
      <c r="E217" s="134">
        <f t="shared" si="82"/>
        <v>50</v>
      </c>
      <c r="F217" s="134">
        <f t="shared" si="83"/>
        <v>13.944118607087649</v>
      </c>
      <c r="G217" s="181">
        <f>228000000</f>
        <v>228000000</v>
      </c>
      <c r="H217" s="134">
        <f t="shared" si="84"/>
        <v>50</v>
      </c>
      <c r="I217" s="134">
        <f t="shared" si="85"/>
        <v>13.944118607087649</v>
      </c>
      <c r="J217" s="6">
        <f t="shared" si="86"/>
        <v>-228000000</v>
      </c>
      <c r="K217" s="38"/>
    </row>
    <row r="218" spans="1:11" s="84" customFormat="1" x14ac:dyDescent="0.2">
      <c r="A218" s="749" t="s">
        <v>234</v>
      </c>
      <c r="B218" s="133" t="s">
        <v>522</v>
      </c>
      <c r="C218" s="256">
        <v>8197968</v>
      </c>
      <c r="D218" s="804"/>
      <c r="E218" s="134"/>
      <c r="F218" s="134"/>
      <c r="G218" s="181">
        <f>8197968</f>
        <v>8197968</v>
      </c>
      <c r="H218" s="134"/>
      <c r="I218" s="134"/>
      <c r="J218" s="6">
        <f t="shared" si="86"/>
        <v>0</v>
      </c>
      <c r="K218" s="805"/>
    </row>
    <row r="219" spans="1:11" x14ac:dyDescent="0.25">
      <c r="A219" s="70"/>
      <c r="B219" s="129" t="s">
        <v>95</v>
      </c>
      <c r="C219" s="807">
        <f>SUM(C214:C218)</f>
        <v>1635097968</v>
      </c>
      <c r="D219" s="271">
        <f>SUM(D214:D217)</f>
        <v>99.419119331937182</v>
      </c>
      <c r="E219" s="134"/>
      <c r="F219" s="134"/>
      <c r="G219" s="181">
        <f>SUM(G214:G218)</f>
        <v>1018397968</v>
      </c>
      <c r="H219" s="134"/>
      <c r="I219" s="134"/>
      <c r="J219" s="56">
        <v>0</v>
      </c>
      <c r="K219" s="130"/>
    </row>
    <row r="220" spans="1:11" x14ac:dyDescent="0.25">
      <c r="A220" s="186"/>
      <c r="B220" s="2"/>
      <c r="C220" s="187"/>
      <c r="D220" s="188"/>
      <c r="E220" s="183"/>
      <c r="F220" s="183"/>
      <c r="G220" s="184"/>
      <c r="H220" s="183"/>
      <c r="I220" s="183"/>
      <c r="J220" s="189"/>
      <c r="K220" s="53"/>
    </row>
    <row r="221" spans="1:11" x14ac:dyDescent="0.25">
      <c r="A221" s="50"/>
      <c r="B221" s="5"/>
      <c r="C221" s="50"/>
      <c r="D221" s="9"/>
      <c r="E221" s="23"/>
      <c r="F221" s="23"/>
      <c r="G221" s="11"/>
      <c r="H221" s="23"/>
      <c r="I221" s="23"/>
      <c r="J221" s="9"/>
      <c r="K221" s="9"/>
    </row>
    <row r="222" spans="1:11" x14ac:dyDescent="0.25">
      <c r="A222" s="1088" t="s">
        <v>2</v>
      </c>
      <c r="B222" s="1094" t="s">
        <v>133</v>
      </c>
      <c r="C222" s="893"/>
      <c r="D222" s="1097" t="s">
        <v>5</v>
      </c>
      <c r="E222" s="1098"/>
      <c r="F222" s="1099"/>
      <c r="G222" s="1100" t="s">
        <v>6</v>
      </c>
      <c r="H222" s="1101"/>
      <c r="I222" s="1102"/>
      <c r="J222" s="1088" t="s">
        <v>7</v>
      </c>
      <c r="K222" s="108" t="s">
        <v>8</v>
      </c>
    </row>
    <row r="223" spans="1:11" x14ac:dyDescent="0.25">
      <c r="A223" s="1092"/>
      <c r="B223" s="1095"/>
      <c r="C223" s="894" t="s">
        <v>4</v>
      </c>
      <c r="D223" s="109" t="s">
        <v>9</v>
      </c>
      <c r="E223" s="110" t="s">
        <v>10</v>
      </c>
      <c r="F223" s="110" t="s">
        <v>11</v>
      </c>
      <c r="G223" s="111" t="s">
        <v>12</v>
      </c>
      <c r="H223" s="110" t="s">
        <v>13</v>
      </c>
      <c r="I223" s="110" t="s">
        <v>11</v>
      </c>
      <c r="J223" s="1092"/>
      <c r="K223" s="109"/>
    </row>
    <row r="224" spans="1:11" x14ac:dyDescent="0.25">
      <c r="A224" s="1093"/>
      <c r="B224" s="1096"/>
      <c r="C224" s="895"/>
      <c r="D224" s="112" t="s">
        <v>14</v>
      </c>
      <c r="E224" s="113" t="s">
        <v>14</v>
      </c>
      <c r="F224" s="113" t="s">
        <v>14</v>
      </c>
      <c r="G224" s="114" t="s">
        <v>15</v>
      </c>
      <c r="H224" s="113" t="s">
        <v>14</v>
      </c>
      <c r="I224" s="113" t="s">
        <v>14</v>
      </c>
      <c r="J224" s="112" t="s">
        <v>15</v>
      </c>
      <c r="K224" s="112"/>
    </row>
    <row r="225" spans="1:11" ht="25.5" x14ac:dyDescent="0.25">
      <c r="A225" s="79" t="s">
        <v>180</v>
      </c>
      <c r="B225" s="696" t="s">
        <v>379</v>
      </c>
      <c r="C225" s="291"/>
      <c r="D225" s="10"/>
      <c r="E225" s="34"/>
      <c r="F225" s="34"/>
      <c r="G225" s="6"/>
      <c r="H225" s="34"/>
      <c r="I225" s="34"/>
      <c r="J225" s="10"/>
      <c r="K225" s="10"/>
    </row>
    <row r="226" spans="1:11" ht="25.5" x14ac:dyDescent="0.25">
      <c r="A226" s="125" t="s">
        <v>181</v>
      </c>
      <c r="B226" s="697" t="s">
        <v>380</v>
      </c>
      <c r="C226" s="87">
        <f>SUM(C227:C238)</f>
        <v>185000000</v>
      </c>
      <c r="D226" s="10"/>
      <c r="E226" s="34"/>
      <c r="F226" s="34"/>
      <c r="G226" s="6"/>
      <c r="H226" s="34"/>
      <c r="I226" s="34"/>
      <c r="J226" s="10"/>
      <c r="K226" s="10"/>
    </row>
    <row r="227" spans="1:11" ht="25.5" x14ac:dyDescent="0.25">
      <c r="A227" s="49" t="s">
        <v>44</v>
      </c>
      <c r="B227" s="707" t="s">
        <v>384</v>
      </c>
      <c r="C227" s="172">
        <v>8580000</v>
      </c>
      <c r="D227" s="134">
        <f>C227/C226*100</f>
        <v>4.6378378378378375</v>
      </c>
      <c r="E227" s="134">
        <f t="shared" ref="E227:E236" si="87">G227/C227*100</f>
        <v>100</v>
      </c>
      <c r="F227" s="134">
        <f t="shared" ref="F227:F236" si="88">(D227*E227)/100</f>
        <v>4.6378378378378375</v>
      </c>
      <c r="G227" s="181">
        <f>8580000</f>
        <v>8580000</v>
      </c>
      <c r="H227" s="134">
        <f t="shared" ref="H227:H236" si="89">G227/C227*100</f>
        <v>100</v>
      </c>
      <c r="I227" s="134">
        <f t="shared" ref="I227:I236" si="90">(D227*H227)/100</f>
        <v>4.6378378378378375</v>
      </c>
      <c r="J227" s="6">
        <f t="shared" ref="J227:J238" si="91">G227-C227</f>
        <v>0</v>
      </c>
      <c r="K227" s="10"/>
    </row>
    <row r="228" spans="1:11" x14ac:dyDescent="0.25">
      <c r="A228" s="49" t="s">
        <v>59</v>
      </c>
      <c r="B228" s="707" t="s">
        <v>197</v>
      </c>
      <c r="C228" s="256">
        <v>9515700</v>
      </c>
      <c r="D228" s="134">
        <f>C228/C226*100</f>
        <v>5.1436216216216222</v>
      </c>
      <c r="E228" s="134">
        <f t="shared" si="87"/>
        <v>99.762497766848469</v>
      </c>
      <c r="F228" s="134">
        <f t="shared" si="88"/>
        <v>5.1314054054054052</v>
      </c>
      <c r="G228" s="181">
        <f>6993100+2500000</f>
        <v>9493100</v>
      </c>
      <c r="H228" s="134">
        <f t="shared" si="89"/>
        <v>99.762497766848469</v>
      </c>
      <c r="I228" s="134">
        <f t="shared" si="90"/>
        <v>5.1314054054054052</v>
      </c>
      <c r="J228" s="6">
        <f t="shared" si="91"/>
        <v>-22600</v>
      </c>
      <c r="K228" s="10"/>
    </row>
    <row r="229" spans="1:11" x14ac:dyDescent="0.25">
      <c r="A229" s="49" t="s">
        <v>62</v>
      </c>
      <c r="B229" s="707" t="s">
        <v>334</v>
      </c>
      <c r="C229" s="256">
        <v>4450000</v>
      </c>
      <c r="D229" s="134">
        <f>C229/C226*100</f>
        <v>2.4054054054054053</v>
      </c>
      <c r="E229" s="134">
        <f t="shared" si="87"/>
        <v>100</v>
      </c>
      <c r="F229" s="134">
        <f t="shared" si="88"/>
        <v>2.4054054054054053</v>
      </c>
      <c r="G229" s="181">
        <f>4450000</f>
        <v>4450000</v>
      </c>
      <c r="H229" s="134">
        <f t="shared" si="89"/>
        <v>100</v>
      </c>
      <c r="I229" s="134">
        <f t="shared" si="90"/>
        <v>2.4054054054054053</v>
      </c>
      <c r="J229" s="6">
        <f t="shared" si="91"/>
        <v>0</v>
      </c>
      <c r="K229" s="10"/>
    </row>
    <row r="230" spans="1:11" ht="25.5" x14ac:dyDescent="0.25">
      <c r="A230" s="49"/>
      <c r="B230" s="707" t="s">
        <v>532</v>
      </c>
      <c r="C230" s="256">
        <v>3500000</v>
      </c>
      <c r="D230" s="134"/>
      <c r="E230" s="134"/>
      <c r="F230" s="134"/>
      <c r="G230" s="181">
        <f>3500000</f>
        <v>3500000</v>
      </c>
      <c r="H230" s="134"/>
      <c r="I230" s="134"/>
      <c r="J230" s="6">
        <f t="shared" si="91"/>
        <v>0</v>
      </c>
      <c r="K230" s="10"/>
    </row>
    <row r="231" spans="1:11" x14ac:dyDescent="0.25">
      <c r="A231" s="49" t="s">
        <v>77</v>
      </c>
      <c r="B231" s="49" t="s">
        <v>135</v>
      </c>
      <c r="C231" s="174">
        <v>73080000</v>
      </c>
      <c r="D231" s="134">
        <f>C231/C226*100</f>
        <v>39.502702702702699</v>
      </c>
      <c r="E231" s="134">
        <f t="shared" si="87"/>
        <v>45.340722495894909</v>
      </c>
      <c r="F231" s="134">
        <f t="shared" si="88"/>
        <v>17.910810810810808</v>
      </c>
      <c r="G231" s="181">
        <f>17250000+15885000</f>
        <v>33135000</v>
      </c>
      <c r="H231" s="134">
        <f t="shared" si="89"/>
        <v>45.340722495894909</v>
      </c>
      <c r="I231" s="134">
        <f t="shared" si="90"/>
        <v>17.910810810810808</v>
      </c>
      <c r="J231" s="6">
        <f t="shared" si="91"/>
        <v>-39945000</v>
      </c>
      <c r="K231" s="10"/>
    </row>
    <row r="232" spans="1:11" x14ac:dyDescent="0.25">
      <c r="A232" s="49"/>
      <c r="B232" s="170" t="s">
        <v>178</v>
      </c>
      <c r="C232" s="174">
        <v>5125000</v>
      </c>
      <c r="D232" s="134"/>
      <c r="E232" s="134"/>
      <c r="F232" s="134"/>
      <c r="G232" s="181"/>
      <c r="H232" s="134"/>
      <c r="I232" s="134"/>
      <c r="J232" s="6">
        <f t="shared" si="91"/>
        <v>-5125000</v>
      </c>
      <c r="K232" s="10"/>
    </row>
    <row r="233" spans="1:11" x14ac:dyDescent="0.25">
      <c r="A233" s="49" t="s">
        <v>104</v>
      </c>
      <c r="B233" s="170" t="s">
        <v>179</v>
      </c>
      <c r="C233" s="172">
        <v>33400000</v>
      </c>
      <c r="D233" s="134">
        <f>C233/C226*100</f>
        <v>18.054054054054053</v>
      </c>
      <c r="E233" s="134">
        <f t="shared" si="87"/>
        <v>100</v>
      </c>
      <c r="F233" s="134">
        <f t="shared" si="88"/>
        <v>18.054054054054053</v>
      </c>
      <c r="G233" s="181">
        <f>33400000</f>
        <v>33400000</v>
      </c>
      <c r="H233" s="134">
        <f t="shared" si="89"/>
        <v>100</v>
      </c>
      <c r="I233" s="134">
        <f t="shared" si="90"/>
        <v>18.054054054054053</v>
      </c>
      <c r="J233" s="6">
        <f t="shared" si="91"/>
        <v>0</v>
      </c>
      <c r="K233" s="10"/>
    </row>
    <row r="234" spans="1:11" ht="25.5" x14ac:dyDescent="0.25">
      <c r="A234" s="49" t="s">
        <v>106</v>
      </c>
      <c r="B234" s="316" t="s">
        <v>375</v>
      </c>
      <c r="C234" s="178">
        <v>16500000</v>
      </c>
      <c r="D234" s="134">
        <f>C234/C226*100</f>
        <v>8.9189189189189193</v>
      </c>
      <c r="E234" s="134">
        <f t="shared" si="87"/>
        <v>74.545454545454547</v>
      </c>
      <c r="F234" s="134">
        <f t="shared" si="88"/>
        <v>6.6486486486486491</v>
      </c>
      <c r="G234" s="181">
        <f>12300000</f>
        <v>12300000</v>
      </c>
      <c r="H234" s="134">
        <f t="shared" si="89"/>
        <v>74.545454545454547</v>
      </c>
      <c r="I234" s="134">
        <f t="shared" si="90"/>
        <v>6.6486486486486491</v>
      </c>
      <c r="J234" s="6">
        <f t="shared" si="91"/>
        <v>-4200000</v>
      </c>
      <c r="K234" s="10"/>
    </row>
    <row r="235" spans="1:11" x14ac:dyDescent="0.25">
      <c r="A235" s="49"/>
      <c r="B235" s="316" t="s">
        <v>533</v>
      </c>
      <c r="C235" s="178">
        <v>2500000</v>
      </c>
      <c r="D235" s="134"/>
      <c r="E235" s="134"/>
      <c r="F235" s="134"/>
      <c r="G235" s="181">
        <f>2500000</f>
        <v>2500000</v>
      </c>
      <c r="H235" s="134"/>
      <c r="I235" s="134"/>
      <c r="J235" s="6">
        <f t="shared" si="91"/>
        <v>0</v>
      </c>
      <c r="K235" s="10"/>
    </row>
    <row r="236" spans="1:11" ht="25.5" x14ac:dyDescent="0.25">
      <c r="A236" s="49" t="s">
        <v>116</v>
      </c>
      <c r="B236" s="133" t="s">
        <v>371</v>
      </c>
      <c r="C236" s="178">
        <v>4824300</v>
      </c>
      <c r="D236" s="134">
        <f>C236/C226*100</f>
        <v>2.6077297297297299</v>
      </c>
      <c r="E236" s="134">
        <f t="shared" si="87"/>
        <v>100</v>
      </c>
      <c r="F236" s="134">
        <f t="shared" si="88"/>
        <v>2.6077297297297299</v>
      </c>
      <c r="G236" s="181">
        <f>2999800+1824500</f>
        <v>4824300</v>
      </c>
      <c r="H236" s="134">
        <f t="shared" si="89"/>
        <v>100</v>
      </c>
      <c r="I236" s="134">
        <f t="shared" si="90"/>
        <v>2.6077297297297299</v>
      </c>
      <c r="J236" s="6">
        <f t="shared" si="91"/>
        <v>0</v>
      </c>
      <c r="K236" s="10"/>
    </row>
    <row r="237" spans="1:11" x14ac:dyDescent="0.25">
      <c r="A237" s="749" t="s">
        <v>121</v>
      </c>
      <c r="B237" s="315" t="s">
        <v>191</v>
      </c>
      <c r="C237" s="178">
        <v>19400000</v>
      </c>
      <c r="D237" s="134"/>
      <c r="E237" s="134"/>
      <c r="F237" s="134"/>
      <c r="G237" s="181">
        <f>19400000</f>
        <v>19400000</v>
      </c>
      <c r="H237" s="134"/>
      <c r="I237" s="134"/>
      <c r="J237" s="6">
        <f t="shared" si="91"/>
        <v>0</v>
      </c>
      <c r="K237" s="10"/>
    </row>
    <row r="238" spans="1:11" x14ac:dyDescent="0.25">
      <c r="A238" s="749" t="s">
        <v>407</v>
      </c>
      <c r="B238" s="133" t="s">
        <v>424</v>
      </c>
      <c r="C238" s="178">
        <v>4125000</v>
      </c>
      <c r="D238" s="134"/>
      <c r="E238" s="134"/>
      <c r="F238" s="134"/>
      <c r="G238" s="181">
        <v>4125000</v>
      </c>
      <c r="H238" s="134"/>
      <c r="I238" s="134"/>
      <c r="J238" s="6">
        <f t="shared" si="91"/>
        <v>0</v>
      </c>
      <c r="K238" s="10"/>
    </row>
    <row r="239" spans="1:11" x14ac:dyDescent="0.25">
      <c r="A239" s="70"/>
      <c r="B239" s="891" t="s">
        <v>136</v>
      </c>
      <c r="C239" s="43">
        <f>SUM(C227:C238)</f>
        <v>185000000</v>
      </c>
      <c r="D239" s="12">
        <f>SUM(D227:D236)</f>
        <v>81.27027027027026</v>
      </c>
      <c r="E239" s="134"/>
      <c r="F239" s="134"/>
      <c r="G239" s="837">
        <f>SUM(G227:G238)</f>
        <v>135707400</v>
      </c>
      <c r="H239" s="134"/>
      <c r="I239" s="134"/>
      <c r="J239" s="734"/>
      <c r="K239" s="3"/>
    </row>
    <row r="240" spans="1:11" x14ac:dyDescent="0.25">
      <c r="A240" s="53"/>
      <c r="B240" s="5"/>
      <c r="C240" s="189"/>
      <c r="D240" s="29"/>
      <c r="E240" s="30"/>
      <c r="F240" s="23"/>
      <c r="G240" s="11"/>
      <c r="H240" s="32"/>
      <c r="I240" s="23"/>
      <c r="J240" s="15"/>
      <c r="K240" s="37"/>
    </row>
    <row r="241" spans="1:14" ht="31.5" x14ac:dyDescent="0.25">
      <c r="A241" s="55"/>
      <c r="B241" s="46" t="s">
        <v>145</v>
      </c>
      <c r="C241" s="155"/>
      <c r="D241" s="44"/>
      <c r="E241" s="45"/>
      <c r="F241" s="45"/>
      <c r="G241" s="48"/>
      <c r="H241" s="45"/>
      <c r="I241" s="45"/>
      <c r="J241" s="44"/>
      <c r="K241" s="44"/>
      <c r="L241" s="1"/>
      <c r="M241" s="1"/>
      <c r="N241" s="1"/>
    </row>
    <row r="242" spans="1:14" x14ac:dyDescent="0.25">
      <c r="A242" s="1087" t="s">
        <v>2</v>
      </c>
      <c r="B242" s="1089" t="s">
        <v>169</v>
      </c>
      <c r="C242" s="1087" t="s">
        <v>4</v>
      </c>
      <c r="D242" s="1090" t="s">
        <v>5</v>
      </c>
      <c r="E242" s="1090"/>
      <c r="F242" s="1090"/>
      <c r="G242" s="1091" t="s">
        <v>6</v>
      </c>
      <c r="H242" s="1091"/>
      <c r="I242" s="1091"/>
      <c r="J242" s="1087" t="s">
        <v>7</v>
      </c>
      <c r="K242" s="108" t="s">
        <v>8</v>
      </c>
    </row>
    <row r="243" spans="1:14" x14ac:dyDescent="0.25">
      <c r="A243" s="1087"/>
      <c r="B243" s="1089"/>
      <c r="C243" s="1087"/>
      <c r="D243" s="108" t="s">
        <v>9</v>
      </c>
      <c r="E243" s="300" t="s">
        <v>10</v>
      </c>
      <c r="F243" s="300" t="s">
        <v>11</v>
      </c>
      <c r="G243" s="301" t="s">
        <v>12</v>
      </c>
      <c r="H243" s="300" t="s">
        <v>13</v>
      </c>
      <c r="I243" s="300" t="s">
        <v>11</v>
      </c>
      <c r="J243" s="1088"/>
      <c r="K243" s="109"/>
    </row>
    <row r="244" spans="1:14" x14ac:dyDescent="0.25">
      <c r="A244" s="1087"/>
      <c r="B244" s="1089"/>
      <c r="C244" s="1087"/>
      <c r="D244" s="112" t="s">
        <v>14</v>
      </c>
      <c r="E244" s="113" t="s">
        <v>14</v>
      </c>
      <c r="F244" s="113" t="s">
        <v>14</v>
      </c>
      <c r="G244" s="114" t="s">
        <v>15</v>
      </c>
      <c r="H244" s="113" t="s">
        <v>14</v>
      </c>
      <c r="I244" s="113" t="s">
        <v>14</v>
      </c>
      <c r="J244" s="112" t="s">
        <v>15</v>
      </c>
      <c r="K244" s="112"/>
    </row>
    <row r="245" spans="1:14" x14ac:dyDescent="0.25">
      <c r="A245" s="79" t="s">
        <v>185</v>
      </c>
      <c r="B245" s="199" t="s">
        <v>146</v>
      </c>
      <c r="C245" s="24"/>
      <c r="D245" s="10"/>
      <c r="E245" s="34"/>
      <c r="F245" s="34"/>
      <c r="G245" s="6"/>
      <c r="H245" s="34"/>
      <c r="I245" s="34"/>
      <c r="J245" s="10"/>
      <c r="K245" s="10"/>
    </row>
    <row r="246" spans="1:14" x14ac:dyDescent="0.25">
      <c r="A246" s="125" t="s">
        <v>184</v>
      </c>
      <c r="B246" s="280" t="s">
        <v>147</v>
      </c>
      <c r="C246" s="252">
        <f>SUM(C247:C248)</f>
        <v>2905640000</v>
      </c>
      <c r="D246" s="10"/>
      <c r="E246" s="34"/>
      <c r="F246" s="34"/>
      <c r="G246" s="6"/>
      <c r="H246" s="34"/>
      <c r="I246" s="34"/>
      <c r="J246" s="10"/>
      <c r="K246" s="10"/>
    </row>
    <row r="247" spans="1:14" ht="25.5" x14ac:dyDescent="0.25">
      <c r="A247" s="313" t="s">
        <v>44</v>
      </c>
      <c r="B247" s="707" t="s">
        <v>384</v>
      </c>
      <c r="C247" s="253">
        <v>35640000</v>
      </c>
      <c r="D247" s="134">
        <f>C247/C246*100</f>
        <v>1.2265800305612533</v>
      </c>
      <c r="E247" s="134">
        <f t="shared" ref="E247:E248" si="92">G247/C247*100</f>
        <v>50</v>
      </c>
      <c r="F247" s="134">
        <f t="shared" ref="F247:F248" si="93">(D247*E247)/100</f>
        <v>0.61329001528062665</v>
      </c>
      <c r="G247" s="181">
        <f>17820000</f>
        <v>17820000</v>
      </c>
      <c r="H247" s="134">
        <f t="shared" ref="H247:H248" si="94">G247/C247*100</f>
        <v>50</v>
      </c>
      <c r="I247" s="134">
        <f t="shared" ref="I247:I248" si="95">(D247*H247)/100</f>
        <v>0.61329001528062665</v>
      </c>
      <c r="J247" s="6">
        <f t="shared" ref="J247:J248" si="96">G247-C247</f>
        <v>-17820000</v>
      </c>
      <c r="K247" s="10"/>
    </row>
    <row r="248" spans="1:14" x14ac:dyDescent="0.25">
      <c r="A248" s="49" t="s">
        <v>148</v>
      </c>
      <c r="B248" s="133" t="s">
        <v>534</v>
      </c>
      <c r="C248" s="256">
        <v>2870000000</v>
      </c>
      <c r="D248" s="268">
        <f>C248/C246*100</f>
        <v>98.773419969438748</v>
      </c>
      <c r="E248" s="134">
        <f t="shared" si="92"/>
        <v>37.161222996515683</v>
      </c>
      <c r="F248" s="134">
        <f t="shared" si="93"/>
        <v>36.70541085612809</v>
      </c>
      <c r="G248" s="181">
        <f>1066527100</f>
        <v>1066527100</v>
      </c>
      <c r="H248" s="134">
        <f t="shared" si="94"/>
        <v>37.161222996515683</v>
      </c>
      <c r="I248" s="134">
        <f t="shared" si="95"/>
        <v>36.70541085612809</v>
      </c>
      <c r="J248" s="6">
        <f t="shared" si="96"/>
        <v>-1803472900</v>
      </c>
      <c r="K248" s="3"/>
    </row>
    <row r="249" spans="1:14" x14ac:dyDescent="0.25">
      <c r="A249" s="71"/>
      <c r="B249" s="76" t="s">
        <v>95</v>
      </c>
      <c r="C249" s="808">
        <f>SUM(C247:C248)</f>
        <v>2905640000</v>
      </c>
      <c r="D249" s="274">
        <f>SUM(D247:D248)</f>
        <v>100</v>
      </c>
      <c r="E249" s="134"/>
      <c r="F249" s="134"/>
      <c r="G249" s="181">
        <f>SUM(G247:G248)</f>
        <v>1084347100</v>
      </c>
      <c r="H249" s="134"/>
      <c r="I249" s="134"/>
      <c r="J249" s="734"/>
      <c r="K249" s="40"/>
    </row>
    <row r="250" spans="1:14" x14ac:dyDescent="0.25">
      <c r="A250" s="53"/>
      <c r="B250" s="5"/>
      <c r="C250" s="189"/>
      <c r="D250" s="29"/>
      <c r="E250" s="30"/>
      <c r="F250" s="23"/>
      <c r="G250" s="11"/>
      <c r="H250" s="32"/>
      <c r="I250" s="23"/>
      <c r="J250" s="15"/>
      <c r="K250" s="37"/>
    </row>
    <row r="251" spans="1:14" x14ac:dyDescent="0.25">
      <c r="A251" s="1087" t="s">
        <v>2</v>
      </c>
      <c r="B251" s="1089" t="s">
        <v>169</v>
      </c>
      <c r="C251" s="1087" t="s">
        <v>4</v>
      </c>
      <c r="D251" s="1090" t="s">
        <v>5</v>
      </c>
      <c r="E251" s="1090"/>
      <c r="F251" s="1090"/>
      <c r="G251" s="1091" t="s">
        <v>6</v>
      </c>
      <c r="H251" s="1091"/>
      <c r="I251" s="1091"/>
      <c r="J251" s="1087" t="s">
        <v>7</v>
      </c>
      <c r="K251" s="108" t="s">
        <v>8</v>
      </c>
    </row>
    <row r="252" spans="1:14" x14ac:dyDescent="0.25">
      <c r="A252" s="1087"/>
      <c r="B252" s="1089"/>
      <c r="C252" s="1087"/>
      <c r="D252" s="108" t="s">
        <v>9</v>
      </c>
      <c r="E252" s="300" t="s">
        <v>10</v>
      </c>
      <c r="F252" s="300" t="s">
        <v>11</v>
      </c>
      <c r="G252" s="301" t="s">
        <v>12</v>
      </c>
      <c r="H252" s="300" t="s">
        <v>13</v>
      </c>
      <c r="I252" s="300" t="s">
        <v>11</v>
      </c>
      <c r="J252" s="1088"/>
      <c r="K252" s="109"/>
    </row>
    <row r="253" spans="1:14" x14ac:dyDescent="0.25">
      <c r="A253" s="1087"/>
      <c r="B253" s="1089"/>
      <c r="C253" s="1087"/>
      <c r="D253" s="112" t="s">
        <v>14</v>
      </c>
      <c r="E253" s="113" t="s">
        <v>14</v>
      </c>
      <c r="F253" s="113" t="s">
        <v>14</v>
      </c>
      <c r="G253" s="114" t="s">
        <v>15</v>
      </c>
      <c r="H253" s="113" t="s">
        <v>14</v>
      </c>
      <c r="I253" s="113" t="s">
        <v>14</v>
      </c>
      <c r="J253" s="112" t="s">
        <v>15</v>
      </c>
      <c r="K253" s="112"/>
    </row>
    <row r="254" spans="1:14" x14ac:dyDescent="0.25">
      <c r="A254" s="79" t="s">
        <v>185</v>
      </c>
      <c r="B254" s="199" t="s">
        <v>146</v>
      </c>
      <c r="C254" s="24"/>
      <c r="D254" s="10"/>
      <c r="E254" s="34"/>
      <c r="F254" s="34"/>
      <c r="G254" s="6"/>
      <c r="H254" s="34"/>
      <c r="I254" s="34"/>
      <c r="J254" s="10"/>
      <c r="K254" s="10"/>
    </row>
    <row r="255" spans="1:14" x14ac:dyDescent="0.25">
      <c r="A255" s="125" t="s">
        <v>187</v>
      </c>
      <c r="B255" s="280" t="s">
        <v>150</v>
      </c>
      <c r="C255" s="252">
        <f>SUM(C256:C260)</f>
        <v>1761745176</v>
      </c>
      <c r="D255" s="10"/>
      <c r="E255" s="34"/>
      <c r="F255" s="34"/>
      <c r="G255" s="6"/>
      <c r="H255" s="34"/>
      <c r="I255" s="34"/>
      <c r="J255" s="10"/>
      <c r="K255" s="10"/>
    </row>
    <row r="256" spans="1:14" ht="25.5" x14ac:dyDescent="0.25">
      <c r="A256" s="313" t="s">
        <v>44</v>
      </c>
      <c r="B256" s="707" t="s">
        <v>384</v>
      </c>
      <c r="C256" s="253">
        <v>30210000</v>
      </c>
      <c r="D256" s="134">
        <f>C256/C255*100</f>
        <v>1.7147769388868757</v>
      </c>
      <c r="E256" s="134">
        <f t="shared" ref="E256:E259" si="97">G256/C256*100</f>
        <v>66.666666666666657</v>
      </c>
      <c r="F256" s="134">
        <f t="shared" ref="F256:F259" si="98">(D256*E256)/100</f>
        <v>1.1431846259245837</v>
      </c>
      <c r="G256" s="181">
        <f>20140000</f>
        <v>20140000</v>
      </c>
      <c r="H256" s="134">
        <f t="shared" ref="H256:H259" si="99">G256/C256*100</f>
        <v>66.666666666666657</v>
      </c>
      <c r="I256" s="134">
        <f t="shared" ref="I256:I259" si="100">(D256*H256)/100</f>
        <v>1.1431846259245837</v>
      </c>
      <c r="J256" s="6">
        <f t="shared" ref="J256:J260" si="101">G256-C256</f>
        <v>-10070000</v>
      </c>
      <c r="K256" s="10"/>
    </row>
    <row r="257" spans="1:11" x14ac:dyDescent="0.25">
      <c r="A257" s="313" t="s">
        <v>59</v>
      </c>
      <c r="B257" s="707" t="s">
        <v>197</v>
      </c>
      <c r="C257" s="253">
        <v>690000</v>
      </c>
      <c r="D257" s="134">
        <f>C257/C255*100</f>
        <v>3.9165709627009077E-2</v>
      </c>
      <c r="E257" s="134">
        <f t="shared" si="97"/>
        <v>100</v>
      </c>
      <c r="F257" s="134">
        <f t="shared" si="98"/>
        <v>3.9165709627009077E-2</v>
      </c>
      <c r="G257" s="181">
        <f>690000</f>
        <v>690000</v>
      </c>
      <c r="H257" s="134">
        <f t="shared" si="99"/>
        <v>100</v>
      </c>
      <c r="I257" s="134">
        <f t="shared" si="100"/>
        <v>3.9165709627009077E-2</v>
      </c>
      <c r="J257" s="6">
        <f t="shared" si="101"/>
        <v>0</v>
      </c>
      <c r="K257" s="10"/>
    </row>
    <row r="258" spans="1:11" x14ac:dyDescent="0.25">
      <c r="A258" s="312" t="s">
        <v>157</v>
      </c>
      <c r="B258" s="133" t="s">
        <v>534</v>
      </c>
      <c r="C258" s="256">
        <v>1230000000</v>
      </c>
      <c r="D258" s="134">
        <f>C258/C255*100</f>
        <v>69.817134552494437</v>
      </c>
      <c r="E258" s="134">
        <f t="shared" si="97"/>
        <v>33.014016260162606</v>
      </c>
      <c r="F258" s="134">
        <f t="shared" si="98"/>
        <v>23.049440153540118</v>
      </c>
      <c r="G258" s="181">
        <f>402072400+4000000</f>
        <v>406072400</v>
      </c>
      <c r="H258" s="134">
        <f t="shared" si="99"/>
        <v>33.014016260162606</v>
      </c>
      <c r="I258" s="134">
        <f t="shared" si="100"/>
        <v>23.049440153540118</v>
      </c>
      <c r="J258" s="6">
        <f t="shared" si="101"/>
        <v>-823927600</v>
      </c>
      <c r="K258" s="10"/>
    </row>
    <row r="259" spans="1:11" s="84" customFormat="1" ht="25.5" x14ac:dyDescent="0.2">
      <c r="A259" s="312" t="s">
        <v>152</v>
      </c>
      <c r="B259" s="133" t="s">
        <v>159</v>
      </c>
      <c r="C259" s="256">
        <v>492000000</v>
      </c>
      <c r="D259" s="134">
        <f>C259/C255*100</f>
        <v>27.926853820997778</v>
      </c>
      <c r="E259" s="134">
        <f t="shared" si="97"/>
        <v>66.666666666666657</v>
      </c>
      <c r="F259" s="134">
        <f t="shared" si="98"/>
        <v>18.617902547331848</v>
      </c>
      <c r="G259" s="181">
        <f>328000000</f>
        <v>328000000</v>
      </c>
      <c r="H259" s="134">
        <f t="shared" si="99"/>
        <v>66.666666666666657</v>
      </c>
      <c r="I259" s="134">
        <f t="shared" si="100"/>
        <v>18.617902547331848</v>
      </c>
      <c r="J259" s="6">
        <f t="shared" si="101"/>
        <v>-164000000</v>
      </c>
      <c r="K259" s="38"/>
    </row>
    <row r="260" spans="1:11" s="84" customFormat="1" x14ac:dyDescent="0.2">
      <c r="A260" s="749" t="s">
        <v>234</v>
      </c>
      <c r="B260" s="133" t="s">
        <v>522</v>
      </c>
      <c r="C260" s="256">
        <v>8845176</v>
      </c>
      <c r="D260" s="804"/>
      <c r="E260" s="134"/>
      <c r="F260" s="134"/>
      <c r="G260" s="181">
        <f>8197968</f>
        <v>8197968</v>
      </c>
      <c r="H260" s="134"/>
      <c r="I260" s="134"/>
      <c r="J260" s="6">
        <f t="shared" si="101"/>
        <v>-647208</v>
      </c>
      <c r="K260" s="805"/>
    </row>
    <row r="261" spans="1:11" x14ac:dyDescent="0.25">
      <c r="A261" s="70"/>
      <c r="B261" s="129" t="s">
        <v>95</v>
      </c>
      <c r="C261" s="807">
        <f>SUM(C256:C260)</f>
        <v>1761745176</v>
      </c>
      <c r="D261" s="271">
        <f>SUM(D256:D259)</f>
        <v>99.4979310220061</v>
      </c>
      <c r="E261" s="134"/>
      <c r="F261" s="134"/>
      <c r="G261" s="181">
        <f>SUM(G256:G260)</f>
        <v>763100368</v>
      </c>
      <c r="H261" s="134"/>
      <c r="I261" s="134"/>
      <c r="J261" s="56">
        <v>0</v>
      </c>
      <c r="K261" s="130"/>
    </row>
    <row r="262" spans="1:11" x14ac:dyDescent="0.25">
      <c r="A262" s="53"/>
      <c r="B262" s="5"/>
      <c r="C262" s="189"/>
      <c r="D262" s="29"/>
      <c r="E262" s="30"/>
      <c r="F262" s="23"/>
      <c r="G262" s="11"/>
      <c r="H262" s="32"/>
      <c r="I262" s="23"/>
      <c r="J262" s="15"/>
      <c r="K262" s="37"/>
    </row>
    <row r="263" spans="1:11" x14ac:dyDescent="0.25">
      <c r="A263" s="50"/>
      <c r="B263" s="5"/>
      <c r="C263" s="50"/>
      <c r="D263" s="9"/>
      <c r="E263" s="23"/>
      <c r="F263" s="23"/>
      <c r="G263" s="11"/>
      <c r="H263" s="23"/>
      <c r="I263" s="23"/>
      <c r="J263" s="9"/>
      <c r="K263" s="9"/>
    </row>
    <row r="264" spans="1:11" x14ac:dyDescent="0.25">
      <c r="A264" s="50"/>
      <c r="B264" s="5"/>
      <c r="C264" s="50"/>
      <c r="D264" s="9"/>
      <c r="E264" s="23"/>
      <c r="F264" s="23"/>
      <c r="G264" s="11"/>
      <c r="H264" s="23"/>
      <c r="I264" s="23"/>
      <c r="J264" s="9"/>
      <c r="K264" s="9"/>
    </row>
    <row r="265" spans="1:11" x14ac:dyDescent="0.25">
      <c r="A265" s="1103" t="s">
        <v>2</v>
      </c>
      <c r="B265" s="1116" t="s">
        <v>137</v>
      </c>
      <c r="C265" s="1103" t="s">
        <v>4</v>
      </c>
      <c r="D265" s="1105" t="s">
        <v>5</v>
      </c>
      <c r="E265" s="1106"/>
      <c r="F265" s="1106"/>
      <c r="G265" s="1107" t="s">
        <v>6</v>
      </c>
      <c r="H265" s="1106"/>
      <c r="I265" s="1106"/>
      <c r="J265" s="1108" t="s">
        <v>7</v>
      </c>
      <c r="K265" s="1108" t="s">
        <v>8</v>
      </c>
    </row>
    <row r="266" spans="1:11" x14ac:dyDescent="0.25">
      <c r="A266" s="1103"/>
      <c r="B266" s="1117"/>
      <c r="C266" s="1103"/>
      <c r="D266" s="102" t="s">
        <v>9</v>
      </c>
      <c r="E266" s="103" t="s">
        <v>10</v>
      </c>
      <c r="F266" s="103" t="s">
        <v>11</v>
      </c>
      <c r="G266" s="104" t="s">
        <v>12</v>
      </c>
      <c r="H266" s="103" t="s">
        <v>13</v>
      </c>
      <c r="I266" s="103" t="s">
        <v>11</v>
      </c>
      <c r="J266" s="1109"/>
      <c r="K266" s="1109"/>
    </row>
    <row r="267" spans="1:11" x14ac:dyDescent="0.25">
      <c r="A267" s="1103"/>
      <c r="B267" s="1118"/>
      <c r="C267" s="1103"/>
      <c r="D267" s="105" t="s">
        <v>14</v>
      </c>
      <c r="E267" s="106" t="s">
        <v>14</v>
      </c>
      <c r="F267" s="106" t="s">
        <v>14</v>
      </c>
      <c r="G267" s="107" t="s">
        <v>15</v>
      </c>
      <c r="H267" s="106" t="s">
        <v>14</v>
      </c>
      <c r="I267" s="106" t="s">
        <v>14</v>
      </c>
      <c r="J267" s="105" t="s">
        <v>15</v>
      </c>
      <c r="K267" s="1110"/>
    </row>
    <row r="268" spans="1:11" ht="25.5" x14ac:dyDescent="0.25">
      <c r="A268" s="79" t="s">
        <v>180</v>
      </c>
      <c r="B268" s="696" t="s">
        <v>379</v>
      </c>
      <c r="C268" s="64"/>
      <c r="D268" s="10"/>
      <c r="E268" s="34"/>
      <c r="F268" s="34"/>
      <c r="G268" s="6"/>
      <c r="H268" s="34"/>
      <c r="I268" s="34"/>
      <c r="J268" s="10"/>
      <c r="K268" s="10"/>
    </row>
    <row r="269" spans="1:11" ht="25.5" x14ac:dyDescent="0.25">
      <c r="A269" s="140" t="s">
        <v>181</v>
      </c>
      <c r="B269" s="697" t="s">
        <v>380</v>
      </c>
      <c r="C269" s="86">
        <f>SUM(C270:C282)</f>
        <v>185000000</v>
      </c>
      <c r="D269" s="179"/>
      <c r="E269" s="168"/>
      <c r="F269" s="168"/>
      <c r="G269" s="169"/>
      <c r="H269" s="168"/>
      <c r="I269" s="168"/>
      <c r="J269" s="167"/>
      <c r="K269" s="167"/>
    </row>
    <row r="270" spans="1:11" ht="25.5" x14ac:dyDescent="0.25">
      <c r="A270" s="170" t="s">
        <v>44</v>
      </c>
      <c r="B270" s="707" t="s">
        <v>384</v>
      </c>
      <c r="C270" s="58">
        <v>8580000</v>
      </c>
      <c r="D270" s="180">
        <f>C270/C269*100</f>
        <v>4.6378378378378375</v>
      </c>
      <c r="E270" s="134">
        <f t="shared" ref="E270:E281" si="102">G270/C270*100</f>
        <v>100</v>
      </c>
      <c r="F270" s="134">
        <f t="shared" ref="F270:F281" si="103">(D270*E270)/100</f>
        <v>4.6378378378378375</v>
      </c>
      <c r="G270" s="181">
        <f>8580000</f>
        <v>8580000</v>
      </c>
      <c r="H270" s="134">
        <f t="shared" ref="H270:H281" si="104">G270/C270*100</f>
        <v>100</v>
      </c>
      <c r="I270" s="134">
        <f t="shared" ref="I270:I281" si="105">(D270*H270)/100</f>
        <v>4.6378378378378375</v>
      </c>
      <c r="J270" s="6">
        <f t="shared" ref="J270:J282" si="106">G270-C270</f>
        <v>0</v>
      </c>
      <c r="K270" s="167"/>
    </row>
    <row r="271" spans="1:11" x14ac:dyDescent="0.25">
      <c r="A271" s="170" t="s">
        <v>221</v>
      </c>
      <c r="B271" s="707" t="s">
        <v>530</v>
      </c>
      <c r="C271" s="58">
        <v>1350000</v>
      </c>
      <c r="D271" s="180"/>
      <c r="E271" s="134"/>
      <c r="F271" s="134"/>
      <c r="G271" s="181">
        <f>1350000</f>
        <v>1350000</v>
      </c>
      <c r="H271" s="134"/>
      <c r="I271" s="134"/>
      <c r="J271" s="6">
        <f t="shared" si="106"/>
        <v>0</v>
      </c>
      <c r="K271" s="167"/>
    </row>
    <row r="272" spans="1:11" x14ac:dyDescent="0.25">
      <c r="A272" s="170" t="s">
        <v>59</v>
      </c>
      <c r="B272" s="707" t="s">
        <v>197</v>
      </c>
      <c r="C272" s="58">
        <v>14728000</v>
      </c>
      <c r="D272" s="729">
        <f>C272/C269*100</f>
        <v>7.9610810810810815</v>
      </c>
      <c r="E272" s="134">
        <f t="shared" si="102"/>
        <v>88.267246061922862</v>
      </c>
      <c r="F272" s="134">
        <f t="shared" si="103"/>
        <v>7.0270270270270272</v>
      </c>
      <c r="G272" s="181">
        <f>8000000+5000000</f>
        <v>13000000</v>
      </c>
      <c r="H272" s="134">
        <f t="shared" si="104"/>
        <v>88.267246061922862</v>
      </c>
      <c r="I272" s="134">
        <f t="shared" si="105"/>
        <v>7.0270270270270272</v>
      </c>
      <c r="J272" s="6">
        <f t="shared" si="106"/>
        <v>-1728000</v>
      </c>
      <c r="K272" s="167"/>
    </row>
    <row r="273" spans="1:14" x14ac:dyDescent="0.25">
      <c r="A273" s="170" t="s">
        <v>62</v>
      </c>
      <c r="B273" s="707" t="s">
        <v>334</v>
      </c>
      <c r="C273" s="58">
        <v>8500000</v>
      </c>
      <c r="D273" s="729">
        <f>C273/C269*100</f>
        <v>4.5945945945945947</v>
      </c>
      <c r="E273" s="134">
        <f t="shared" si="102"/>
        <v>94.117647058823522</v>
      </c>
      <c r="F273" s="134">
        <f t="shared" si="103"/>
        <v>4.3243243243243237</v>
      </c>
      <c r="G273" s="181">
        <f>5000000+3000000</f>
        <v>8000000</v>
      </c>
      <c r="H273" s="134">
        <f t="shared" si="104"/>
        <v>94.117647058823522</v>
      </c>
      <c r="I273" s="134">
        <f t="shared" si="105"/>
        <v>4.3243243243243237</v>
      </c>
      <c r="J273" s="6">
        <f t="shared" si="106"/>
        <v>-500000</v>
      </c>
      <c r="K273" s="167"/>
    </row>
    <row r="274" spans="1:14" x14ac:dyDescent="0.25">
      <c r="A274" s="49" t="s">
        <v>148</v>
      </c>
      <c r="B274" s="133" t="s">
        <v>534</v>
      </c>
      <c r="C274" s="58">
        <v>10500000</v>
      </c>
      <c r="D274" s="729"/>
      <c r="E274" s="134"/>
      <c r="F274" s="134"/>
      <c r="G274" s="181">
        <f>10500000</f>
        <v>10500000</v>
      </c>
      <c r="H274" s="134"/>
      <c r="I274" s="134"/>
      <c r="J274" s="6">
        <f t="shared" si="106"/>
        <v>0</v>
      </c>
      <c r="K274" s="167"/>
    </row>
    <row r="275" spans="1:14" x14ac:dyDescent="0.25">
      <c r="A275" s="170" t="s">
        <v>77</v>
      </c>
      <c r="B275" s="49" t="s">
        <v>135</v>
      </c>
      <c r="C275" s="58">
        <v>72860000</v>
      </c>
      <c r="D275" s="729">
        <f>C275/C269*100</f>
        <v>39.383783783783784</v>
      </c>
      <c r="E275" s="134">
        <f t="shared" si="102"/>
        <v>57.318144386494652</v>
      </c>
      <c r="F275" s="134">
        <f t="shared" si="103"/>
        <v>22.574054054054056</v>
      </c>
      <c r="G275" s="181">
        <f>41762000</f>
        <v>41762000</v>
      </c>
      <c r="H275" s="134">
        <f t="shared" si="104"/>
        <v>57.318144386494652</v>
      </c>
      <c r="I275" s="134">
        <f t="shared" si="105"/>
        <v>22.574054054054056</v>
      </c>
      <c r="J275" s="6">
        <f t="shared" si="106"/>
        <v>-31098000</v>
      </c>
      <c r="K275" s="167"/>
    </row>
    <row r="276" spans="1:14" x14ac:dyDescent="0.25">
      <c r="A276" s="170" t="s">
        <v>104</v>
      </c>
      <c r="B276" s="170" t="s">
        <v>179</v>
      </c>
      <c r="C276" s="58">
        <v>34200000</v>
      </c>
      <c r="D276" s="729">
        <f>C276/C269*100</f>
        <v>18.486486486486488</v>
      </c>
      <c r="E276" s="134">
        <f t="shared" si="102"/>
        <v>100</v>
      </c>
      <c r="F276" s="134">
        <f t="shared" si="103"/>
        <v>18.486486486486488</v>
      </c>
      <c r="G276" s="181">
        <f>34200000</f>
        <v>34200000</v>
      </c>
      <c r="H276" s="134">
        <f t="shared" si="104"/>
        <v>100</v>
      </c>
      <c r="I276" s="134">
        <f t="shared" si="105"/>
        <v>18.486486486486488</v>
      </c>
      <c r="J276" s="6">
        <f t="shared" si="106"/>
        <v>0</v>
      </c>
      <c r="K276" s="167"/>
    </row>
    <row r="277" spans="1:14" x14ac:dyDescent="0.25">
      <c r="A277" s="170" t="s">
        <v>130</v>
      </c>
      <c r="B277" s="170" t="s">
        <v>131</v>
      </c>
      <c r="C277" s="58">
        <v>3000000</v>
      </c>
      <c r="D277" s="729">
        <f>C277/C269*100</f>
        <v>1.6216216216216217</v>
      </c>
      <c r="E277" s="134">
        <f t="shared" si="102"/>
        <v>0</v>
      </c>
      <c r="F277" s="134">
        <f t="shared" si="103"/>
        <v>0</v>
      </c>
      <c r="G277" s="181">
        <v>0</v>
      </c>
      <c r="H277" s="134">
        <f t="shared" si="104"/>
        <v>0</v>
      </c>
      <c r="I277" s="134">
        <f t="shared" si="105"/>
        <v>0</v>
      </c>
      <c r="J277" s="6">
        <f t="shared" si="106"/>
        <v>-3000000</v>
      </c>
      <c r="K277" s="167"/>
    </row>
    <row r="278" spans="1:14" ht="25.5" x14ac:dyDescent="0.25">
      <c r="A278" s="170" t="s">
        <v>106</v>
      </c>
      <c r="B278" s="316" t="s">
        <v>375</v>
      </c>
      <c r="C278" s="58">
        <v>13950000</v>
      </c>
      <c r="D278" s="180">
        <f>C278/C269*100</f>
        <v>7.5405405405405395</v>
      </c>
      <c r="E278" s="134">
        <f t="shared" si="102"/>
        <v>82.795698924731184</v>
      </c>
      <c r="F278" s="134">
        <f t="shared" si="103"/>
        <v>6.243243243243243</v>
      </c>
      <c r="G278" s="181">
        <f>11550000</f>
        <v>11550000</v>
      </c>
      <c r="H278" s="134">
        <f t="shared" si="104"/>
        <v>82.795698924731184</v>
      </c>
      <c r="I278" s="134">
        <f t="shared" si="105"/>
        <v>6.243243243243243</v>
      </c>
      <c r="J278" s="6">
        <f t="shared" si="106"/>
        <v>-2400000</v>
      </c>
      <c r="K278" s="167"/>
    </row>
    <row r="279" spans="1:14" x14ac:dyDescent="0.25">
      <c r="A279" s="170" t="s">
        <v>162</v>
      </c>
      <c r="B279" s="170" t="s">
        <v>535</v>
      </c>
      <c r="C279" s="178">
        <v>2800000</v>
      </c>
      <c r="D279" s="729">
        <f>C279/C269*100</f>
        <v>1.5135135135135136</v>
      </c>
      <c r="E279" s="134">
        <f t="shared" si="102"/>
        <v>100</v>
      </c>
      <c r="F279" s="134">
        <f t="shared" si="103"/>
        <v>1.5135135135135136</v>
      </c>
      <c r="G279" s="181">
        <f>2800000</f>
        <v>2800000</v>
      </c>
      <c r="H279" s="134">
        <f t="shared" si="104"/>
        <v>100</v>
      </c>
      <c r="I279" s="134">
        <f t="shared" si="105"/>
        <v>1.5135135135135136</v>
      </c>
      <c r="J279" s="6">
        <f t="shared" si="106"/>
        <v>0</v>
      </c>
      <c r="K279" s="167"/>
    </row>
    <row r="280" spans="1:14" ht="25.5" x14ac:dyDescent="0.25">
      <c r="A280" s="170" t="s">
        <v>116</v>
      </c>
      <c r="B280" s="750" t="s">
        <v>420</v>
      </c>
      <c r="C280" s="178">
        <v>1057000</v>
      </c>
      <c r="D280" s="729">
        <f>C280/C270*100</f>
        <v>12.319347319347319</v>
      </c>
      <c r="E280" s="134"/>
      <c r="F280" s="134"/>
      <c r="G280" s="181">
        <f>1057000</f>
        <v>1057000</v>
      </c>
      <c r="H280" s="134"/>
      <c r="I280" s="134"/>
      <c r="J280" s="6">
        <f t="shared" si="106"/>
        <v>0</v>
      </c>
      <c r="K280" s="167"/>
    </row>
    <row r="281" spans="1:14" x14ac:dyDescent="0.25">
      <c r="A281" s="170" t="s">
        <v>65</v>
      </c>
      <c r="B281" s="170" t="s">
        <v>190</v>
      </c>
      <c r="C281" s="178">
        <v>7000000</v>
      </c>
      <c r="D281" s="729">
        <f>C281/C269*100</f>
        <v>3.7837837837837842</v>
      </c>
      <c r="E281" s="134">
        <f t="shared" si="102"/>
        <v>99.033714285714282</v>
      </c>
      <c r="F281" s="134">
        <f t="shared" si="103"/>
        <v>3.7472216216216219</v>
      </c>
      <c r="G281" s="181">
        <f>6932360</f>
        <v>6932360</v>
      </c>
      <c r="H281" s="134">
        <f t="shared" si="104"/>
        <v>99.033714285714282</v>
      </c>
      <c r="I281" s="134">
        <f t="shared" si="105"/>
        <v>3.7472216216216219</v>
      </c>
      <c r="J281" s="6">
        <f t="shared" si="106"/>
        <v>-67640</v>
      </c>
      <c r="K281" s="167"/>
    </row>
    <row r="282" spans="1:14" x14ac:dyDescent="0.25">
      <c r="A282" s="68" t="s">
        <v>301</v>
      </c>
      <c r="B282" s="170" t="s">
        <v>409</v>
      </c>
      <c r="C282" s="58">
        <v>6475000</v>
      </c>
      <c r="D282" s="269"/>
      <c r="E282" s="134"/>
      <c r="F282" s="134"/>
      <c r="G282" s="181">
        <f>6475000</f>
        <v>6475000</v>
      </c>
      <c r="H282" s="134"/>
      <c r="I282" s="134"/>
      <c r="J282" s="6">
        <f t="shared" si="106"/>
        <v>0</v>
      </c>
      <c r="K282" s="167"/>
    </row>
    <row r="283" spans="1:14" x14ac:dyDescent="0.25">
      <c r="A283" s="68"/>
      <c r="B283" s="67" t="s">
        <v>128</v>
      </c>
      <c r="C283" s="60">
        <f>SUM(C270:C282)</f>
        <v>185000000</v>
      </c>
      <c r="D283" s="270">
        <f>SUM(D270:D281)</f>
        <v>101.84259056259057</v>
      </c>
      <c r="E283" s="134"/>
      <c r="F283" s="134"/>
      <c r="G283" s="837">
        <f>SUM(G270:G282)</f>
        <v>146206360</v>
      </c>
      <c r="H283" s="134"/>
      <c r="I283" s="134"/>
      <c r="J283" s="56">
        <v>0</v>
      </c>
      <c r="K283" s="3"/>
    </row>
    <row r="284" spans="1:14" x14ac:dyDescent="0.25">
      <c r="A284" s="190"/>
      <c r="B284" s="2"/>
      <c r="C284" s="59"/>
      <c r="D284" s="41"/>
      <c r="E284" s="31"/>
      <c r="F284" s="31"/>
      <c r="G284" s="36"/>
      <c r="H284" s="31"/>
      <c r="I284" s="31"/>
      <c r="J284" s="33"/>
      <c r="K284" s="37"/>
    </row>
    <row r="285" spans="1:14" ht="31.5" x14ac:dyDescent="0.25">
      <c r="A285" s="55"/>
      <c r="B285" s="46" t="s">
        <v>145</v>
      </c>
      <c r="C285" s="155"/>
      <c r="D285" s="44"/>
      <c r="E285" s="45"/>
      <c r="F285" s="45"/>
      <c r="G285" s="48"/>
      <c r="H285" s="45"/>
      <c r="I285" s="45"/>
      <c r="J285" s="44"/>
      <c r="K285" s="44"/>
      <c r="L285" s="1"/>
      <c r="M285" s="1"/>
      <c r="N285" s="1"/>
    </row>
    <row r="286" spans="1:14" x14ac:dyDescent="0.25">
      <c r="A286" s="1111" t="s">
        <v>2</v>
      </c>
      <c r="B286" s="1104" t="s">
        <v>170</v>
      </c>
      <c r="C286" s="1111" t="s">
        <v>4</v>
      </c>
      <c r="D286" s="1112" t="s">
        <v>5</v>
      </c>
      <c r="E286" s="1113"/>
      <c r="F286" s="1113"/>
      <c r="G286" s="1114" t="s">
        <v>6</v>
      </c>
      <c r="H286" s="1113"/>
      <c r="I286" s="1113"/>
      <c r="J286" s="1111" t="s">
        <v>7</v>
      </c>
      <c r="K286" s="285" t="s">
        <v>8</v>
      </c>
    </row>
    <row r="287" spans="1:14" x14ac:dyDescent="0.25">
      <c r="A287" s="1111"/>
      <c r="B287" s="1104"/>
      <c r="C287" s="1111"/>
      <c r="D287" s="285" t="s">
        <v>9</v>
      </c>
      <c r="E287" s="304" t="s">
        <v>10</v>
      </c>
      <c r="F287" s="304" t="s">
        <v>11</v>
      </c>
      <c r="G287" s="305" t="s">
        <v>12</v>
      </c>
      <c r="H287" s="304" t="s">
        <v>13</v>
      </c>
      <c r="I287" s="304" t="s">
        <v>11</v>
      </c>
      <c r="J287" s="1115"/>
      <c r="K287" s="287"/>
    </row>
    <row r="288" spans="1:14" x14ac:dyDescent="0.25">
      <c r="A288" s="1111"/>
      <c r="B288" s="1104"/>
      <c r="C288" s="1111"/>
      <c r="D288" s="286" t="s">
        <v>14</v>
      </c>
      <c r="E288" s="302" t="s">
        <v>14</v>
      </c>
      <c r="F288" s="302" t="s">
        <v>14</v>
      </c>
      <c r="G288" s="303" t="s">
        <v>15</v>
      </c>
      <c r="H288" s="302" t="s">
        <v>14</v>
      </c>
      <c r="I288" s="302" t="s">
        <v>14</v>
      </c>
      <c r="J288" s="286" t="s">
        <v>15</v>
      </c>
      <c r="K288" s="286"/>
    </row>
    <row r="289" spans="1:11" x14ac:dyDescent="0.25">
      <c r="A289" s="144" t="s">
        <v>185</v>
      </c>
      <c r="B289" s="199" t="s">
        <v>146</v>
      </c>
      <c r="C289" s="145"/>
      <c r="D289" s="146"/>
      <c r="E289" s="147"/>
      <c r="F289" s="147"/>
      <c r="G289" s="148"/>
      <c r="H289" s="147"/>
      <c r="I289" s="147"/>
      <c r="J289" s="146"/>
      <c r="K289" s="146"/>
    </row>
    <row r="290" spans="1:11" x14ac:dyDescent="0.25">
      <c r="A290" s="318" t="s">
        <v>184</v>
      </c>
      <c r="B290" s="280" t="s">
        <v>147</v>
      </c>
      <c r="C290" s="257">
        <f>SUM(C291:C292)</f>
        <v>2480900000</v>
      </c>
      <c r="D290" s="146"/>
      <c r="E290" s="147"/>
      <c r="F290" s="147"/>
      <c r="G290" s="148"/>
      <c r="H290" s="147"/>
      <c r="I290" s="147"/>
      <c r="J290" s="146"/>
      <c r="K290" s="146"/>
    </row>
    <row r="291" spans="1:11" ht="25.5" x14ac:dyDescent="0.25">
      <c r="A291" s="319" t="s">
        <v>44</v>
      </c>
      <c r="B291" s="707" t="s">
        <v>384</v>
      </c>
      <c r="C291" s="149">
        <v>30900000</v>
      </c>
      <c r="D291" s="267">
        <f>C291/C290*100</f>
        <v>1.2455157402555526</v>
      </c>
      <c r="E291" s="134">
        <f t="shared" ref="E291:E292" si="107">G291/C291*100</f>
        <v>41.666666666666671</v>
      </c>
      <c r="F291" s="134">
        <f t="shared" ref="F291:F292" si="108">(D291*E291)/100</f>
        <v>0.51896489177314697</v>
      </c>
      <c r="G291" s="181">
        <f>12875000</f>
        <v>12875000</v>
      </c>
      <c r="H291" s="134">
        <f t="shared" ref="H291:H292" si="109">G291/C291*100</f>
        <v>41.666666666666671</v>
      </c>
      <c r="I291" s="134">
        <f t="shared" ref="I291:I292" si="110">(D291*H291)/100</f>
        <v>0.51896489177314697</v>
      </c>
      <c r="J291" s="6">
        <f t="shared" ref="J291:J292" si="111">G291-C291</f>
        <v>-18025000</v>
      </c>
      <c r="K291" s="146"/>
    </row>
    <row r="292" spans="1:11" x14ac:dyDescent="0.25">
      <c r="A292" s="49" t="s">
        <v>148</v>
      </c>
      <c r="B292" s="133" t="s">
        <v>534</v>
      </c>
      <c r="C292" s="149">
        <v>2450000000</v>
      </c>
      <c r="D292" s="267">
        <f>C292/C290*100</f>
        <v>98.754484259744444</v>
      </c>
      <c r="E292" s="134">
        <f t="shared" si="107"/>
        <v>94.693877551020407</v>
      </c>
      <c r="F292" s="134">
        <f t="shared" si="108"/>
        <v>93.514450401064138</v>
      </c>
      <c r="G292" s="181">
        <f>695250000+1624750000</f>
        <v>2320000000</v>
      </c>
      <c r="H292" s="134">
        <f t="shared" si="109"/>
        <v>94.693877551020407</v>
      </c>
      <c r="I292" s="134">
        <f t="shared" si="110"/>
        <v>93.514450401064138</v>
      </c>
      <c r="J292" s="6">
        <f t="shared" si="111"/>
        <v>-130000000</v>
      </c>
      <c r="K292" s="146"/>
    </row>
    <row r="293" spans="1:11" x14ac:dyDescent="0.25">
      <c r="A293" s="71"/>
      <c r="B293" s="76" t="s">
        <v>95</v>
      </c>
      <c r="C293" s="809">
        <f>SUM(C291:C292)</f>
        <v>2480900000</v>
      </c>
      <c r="D293" s="141">
        <f>SUM(D291:D292)</f>
        <v>100</v>
      </c>
      <c r="E293" s="134"/>
      <c r="F293" s="134"/>
      <c r="G293" s="181">
        <f>SUM(G291:G292)</f>
        <v>2332875000</v>
      </c>
      <c r="H293" s="134"/>
      <c r="I293" s="134"/>
      <c r="J293" s="56">
        <v>0</v>
      </c>
      <c r="K293" s="143"/>
    </row>
    <row r="294" spans="1:11" x14ac:dyDescent="0.25">
      <c r="A294" s="190"/>
      <c r="B294" s="2"/>
      <c r="C294" s="59"/>
      <c r="D294" s="41"/>
      <c r="E294" s="31"/>
      <c r="F294" s="31"/>
      <c r="G294" s="36"/>
      <c r="H294" s="31"/>
      <c r="I294" s="31"/>
      <c r="J294" s="33"/>
      <c r="K294" s="37"/>
    </row>
    <row r="295" spans="1:11" x14ac:dyDescent="0.25">
      <c r="A295" s="1103" t="s">
        <v>2</v>
      </c>
      <c r="B295" s="1104" t="s">
        <v>170</v>
      </c>
      <c r="C295" s="1103" t="s">
        <v>4</v>
      </c>
      <c r="D295" s="1105" t="s">
        <v>5</v>
      </c>
      <c r="E295" s="1106"/>
      <c r="F295" s="1106"/>
      <c r="G295" s="1107" t="s">
        <v>6</v>
      </c>
      <c r="H295" s="1106"/>
      <c r="I295" s="1106"/>
      <c r="J295" s="1103" t="s">
        <v>7</v>
      </c>
      <c r="K295" s="288" t="s">
        <v>8</v>
      </c>
    </row>
    <row r="296" spans="1:11" x14ac:dyDescent="0.25">
      <c r="A296" s="1103"/>
      <c r="B296" s="1104"/>
      <c r="C296" s="1103"/>
      <c r="D296" s="288" t="s">
        <v>9</v>
      </c>
      <c r="E296" s="306" t="s">
        <v>10</v>
      </c>
      <c r="F296" s="306" t="s">
        <v>11</v>
      </c>
      <c r="G296" s="307" t="s">
        <v>12</v>
      </c>
      <c r="H296" s="306" t="s">
        <v>13</v>
      </c>
      <c r="I296" s="306" t="s">
        <v>11</v>
      </c>
      <c r="J296" s="1108"/>
      <c r="K296" s="102"/>
    </row>
    <row r="297" spans="1:11" x14ac:dyDescent="0.25">
      <c r="A297" s="1103"/>
      <c r="B297" s="1104"/>
      <c r="C297" s="1103"/>
      <c r="D297" s="105" t="s">
        <v>14</v>
      </c>
      <c r="E297" s="106" t="s">
        <v>14</v>
      </c>
      <c r="F297" s="106" t="s">
        <v>14</v>
      </c>
      <c r="G297" s="107" t="s">
        <v>15</v>
      </c>
      <c r="H297" s="106" t="s">
        <v>14</v>
      </c>
      <c r="I297" s="106" t="s">
        <v>14</v>
      </c>
      <c r="J297" s="105" t="s">
        <v>15</v>
      </c>
      <c r="K297" s="105"/>
    </row>
    <row r="298" spans="1:11" x14ac:dyDescent="0.25">
      <c r="A298" s="79" t="s">
        <v>185</v>
      </c>
      <c r="B298" s="199" t="s">
        <v>146</v>
      </c>
      <c r="C298" s="24"/>
      <c r="D298" s="10"/>
      <c r="E298" s="34"/>
      <c r="F298" s="34"/>
      <c r="G298" s="6"/>
      <c r="H298" s="34"/>
      <c r="I298" s="34"/>
      <c r="J298" s="10"/>
      <c r="K298" s="10"/>
    </row>
    <row r="299" spans="1:11" x14ac:dyDescent="0.25">
      <c r="A299" s="125" t="s">
        <v>187</v>
      </c>
      <c r="B299" s="280" t="s">
        <v>150</v>
      </c>
      <c r="C299" s="131">
        <f>SUM(C300:C303)</f>
        <v>1508450760</v>
      </c>
      <c r="D299" s="10"/>
      <c r="E299" s="34"/>
      <c r="F299" s="34"/>
      <c r="G299" s="6"/>
      <c r="H299" s="34"/>
      <c r="I299" s="34"/>
      <c r="J299" s="10"/>
      <c r="K299" s="10"/>
    </row>
    <row r="300" spans="1:11" ht="25.5" x14ac:dyDescent="0.25">
      <c r="A300" s="124" t="s">
        <v>44</v>
      </c>
      <c r="B300" s="707" t="s">
        <v>384</v>
      </c>
      <c r="C300" s="253">
        <v>30900000</v>
      </c>
      <c r="D300" s="134">
        <f>C300/C299*100</f>
        <v>2.0484593080121489</v>
      </c>
      <c r="E300" s="134">
        <f t="shared" ref="E300:E302" si="112">G300/C300*100</f>
        <v>41.666666666666671</v>
      </c>
      <c r="F300" s="134">
        <f t="shared" ref="F300:F302" si="113">(D300*E300)/100</f>
        <v>0.85352471167172883</v>
      </c>
      <c r="G300" s="181">
        <f>12875000</f>
        <v>12875000</v>
      </c>
      <c r="H300" s="134">
        <f t="shared" ref="H300:H302" si="114">G300/C300*100</f>
        <v>41.666666666666671</v>
      </c>
      <c r="I300" s="134">
        <f t="shared" ref="I300:I302" si="115">(D300*H300)/100</f>
        <v>0.85352471167172883</v>
      </c>
      <c r="J300" s="6">
        <f t="shared" ref="J300:J303" si="116">G300-C300</f>
        <v>-18025000</v>
      </c>
      <c r="K300" s="10"/>
    </row>
    <row r="301" spans="1:11" x14ac:dyDescent="0.25">
      <c r="A301" s="49" t="s">
        <v>148</v>
      </c>
      <c r="B301" s="133" t="s">
        <v>534</v>
      </c>
      <c r="C301" s="256">
        <v>1050000000</v>
      </c>
      <c r="D301" s="134">
        <f>C301/C299*100</f>
        <v>69.607840563519616</v>
      </c>
      <c r="E301" s="134">
        <f t="shared" si="112"/>
        <v>96.481504761904759</v>
      </c>
      <c r="F301" s="134">
        <f t="shared" si="113"/>
        <v>67.158692007951245</v>
      </c>
      <c r="G301" s="181">
        <f>975805800+37250000</f>
        <v>1013055800</v>
      </c>
      <c r="H301" s="134">
        <f t="shared" si="114"/>
        <v>96.481504761904759</v>
      </c>
      <c r="I301" s="134">
        <f t="shared" si="115"/>
        <v>67.158692007951245</v>
      </c>
      <c r="J301" s="6">
        <f t="shared" si="116"/>
        <v>-36944200</v>
      </c>
      <c r="K301" s="10"/>
    </row>
    <row r="302" spans="1:11" s="84" customFormat="1" ht="25.5" x14ac:dyDescent="0.2">
      <c r="A302" s="49" t="s">
        <v>152</v>
      </c>
      <c r="B302" s="133" t="s">
        <v>153</v>
      </c>
      <c r="C302" s="256">
        <v>420000000</v>
      </c>
      <c r="D302" s="134">
        <f>C302/C299*100</f>
        <v>27.84313622540785</v>
      </c>
      <c r="E302" s="134">
        <f t="shared" si="112"/>
        <v>58.333333333333336</v>
      </c>
      <c r="F302" s="134">
        <f t="shared" si="113"/>
        <v>16.241829464821247</v>
      </c>
      <c r="G302" s="181">
        <f>245000000</f>
        <v>245000000</v>
      </c>
      <c r="H302" s="134">
        <f t="shared" si="114"/>
        <v>58.333333333333336</v>
      </c>
      <c r="I302" s="134">
        <f t="shared" si="115"/>
        <v>16.241829464821247</v>
      </c>
      <c r="J302" s="6">
        <f t="shared" si="116"/>
        <v>-175000000</v>
      </c>
      <c r="K302" s="38"/>
    </row>
    <row r="303" spans="1:11" s="84" customFormat="1" x14ac:dyDescent="0.2">
      <c r="A303" s="749" t="s">
        <v>234</v>
      </c>
      <c r="B303" s="133" t="s">
        <v>522</v>
      </c>
      <c r="C303" s="256">
        <v>7550760</v>
      </c>
      <c r="D303" s="804"/>
      <c r="E303" s="134"/>
      <c r="F303" s="134"/>
      <c r="G303" s="181">
        <f>7550760</f>
        <v>7550760</v>
      </c>
      <c r="H303" s="134"/>
      <c r="I303" s="134"/>
      <c r="J303" s="6">
        <f t="shared" si="116"/>
        <v>0</v>
      </c>
      <c r="K303" s="805"/>
    </row>
    <row r="304" spans="1:11" x14ac:dyDescent="0.25">
      <c r="A304" s="70"/>
      <c r="B304" s="129" t="s">
        <v>95</v>
      </c>
      <c r="C304" s="807">
        <f>SUM(C300:C303)</f>
        <v>1508450760</v>
      </c>
      <c r="D304" s="271">
        <f>SUM(D300:D302)</f>
        <v>99.499436096939618</v>
      </c>
      <c r="E304" s="134"/>
      <c r="F304" s="134"/>
      <c r="G304" s="181">
        <f>SUM(G300:G303)</f>
        <v>1278481560</v>
      </c>
      <c r="H304" s="134"/>
      <c r="I304" s="134"/>
      <c r="J304" s="56">
        <v>0</v>
      </c>
      <c r="K304" s="130"/>
    </row>
    <row r="305" spans="1:15" x14ac:dyDescent="0.25">
      <c r="A305" s="190"/>
      <c r="B305" s="2"/>
      <c r="C305" s="59"/>
      <c r="D305" s="41"/>
      <c r="E305" s="31"/>
      <c r="F305" s="31"/>
      <c r="G305" s="36"/>
      <c r="H305" s="31"/>
      <c r="I305" s="31"/>
      <c r="J305" s="33"/>
      <c r="K305" s="37"/>
    </row>
    <row r="306" spans="1:15" x14ac:dyDescent="0.25">
      <c r="A306" s="50"/>
      <c r="B306" s="5"/>
      <c r="C306" s="50"/>
      <c r="D306" s="9"/>
      <c r="E306" s="23"/>
      <c r="F306" s="23"/>
      <c r="G306" s="11"/>
      <c r="H306" s="23"/>
      <c r="I306" s="23"/>
      <c r="J306" s="9"/>
      <c r="K306" s="9"/>
    </row>
    <row r="307" spans="1:15" x14ac:dyDescent="0.25">
      <c r="A307" s="1123" t="s">
        <v>2</v>
      </c>
      <c r="B307" s="1126" t="s">
        <v>138</v>
      </c>
      <c r="C307" s="1129" t="s">
        <v>4</v>
      </c>
      <c r="D307" s="1121" t="s">
        <v>5</v>
      </c>
      <c r="E307" s="1132"/>
      <c r="F307" s="1132"/>
      <c r="G307" s="1122" t="s">
        <v>6</v>
      </c>
      <c r="H307" s="1132"/>
      <c r="I307" s="1132"/>
      <c r="J307" s="1123" t="s">
        <v>7</v>
      </c>
      <c r="K307" s="1123" t="s">
        <v>8</v>
      </c>
    </row>
    <row r="308" spans="1:15" x14ac:dyDescent="0.25">
      <c r="A308" s="1124"/>
      <c r="B308" s="1127"/>
      <c r="C308" s="1130"/>
      <c r="D308" s="289" t="s">
        <v>9</v>
      </c>
      <c r="E308" s="308" t="s">
        <v>10</v>
      </c>
      <c r="F308" s="308" t="s">
        <v>11</v>
      </c>
      <c r="G308" s="117" t="s">
        <v>12</v>
      </c>
      <c r="H308" s="116" t="s">
        <v>13</v>
      </c>
      <c r="I308" s="116" t="s">
        <v>11</v>
      </c>
      <c r="J308" s="1124"/>
      <c r="K308" s="1124"/>
    </row>
    <row r="309" spans="1:15" x14ac:dyDescent="0.25">
      <c r="A309" s="1125"/>
      <c r="B309" s="1128"/>
      <c r="C309" s="1131"/>
      <c r="D309" s="115" t="s">
        <v>14</v>
      </c>
      <c r="E309" s="119" t="s">
        <v>14</v>
      </c>
      <c r="F309" s="119" t="s">
        <v>14</v>
      </c>
      <c r="G309" s="120" t="s">
        <v>15</v>
      </c>
      <c r="H309" s="119" t="s">
        <v>14</v>
      </c>
      <c r="I309" s="119" t="s">
        <v>14</v>
      </c>
      <c r="J309" s="118" t="s">
        <v>15</v>
      </c>
      <c r="K309" s="1125"/>
    </row>
    <row r="310" spans="1:15" ht="25.5" x14ac:dyDescent="0.25">
      <c r="A310" s="79" t="s">
        <v>180</v>
      </c>
      <c r="B310" s="696" t="s">
        <v>379</v>
      </c>
      <c r="C310" s="127"/>
      <c r="D310" s="121"/>
      <c r="E310" s="34"/>
      <c r="F310" s="34"/>
      <c r="G310" s="6"/>
      <c r="H310" s="34"/>
      <c r="I310" s="34"/>
      <c r="J310" s="10"/>
      <c r="K310" s="85"/>
    </row>
    <row r="311" spans="1:15" ht="25.5" x14ac:dyDescent="0.25">
      <c r="A311" s="125" t="s">
        <v>181</v>
      </c>
      <c r="B311" s="697" t="s">
        <v>380</v>
      </c>
      <c r="C311" s="88">
        <f>SUM(C312:C329)</f>
        <v>185000000</v>
      </c>
      <c r="D311" s="121"/>
      <c r="E311" s="34"/>
      <c r="F311" s="34"/>
      <c r="G311" s="6"/>
      <c r="H311" s="34"/>
      <c r="I311" s="34"/>
      <c r="J311" s="10"/>
      <c r="K311" s="156"/>
    </row>
    <row r="312" spans="1:15" ht="25.5" x14ac:dyDescent="0.25">
      <c r="A312" s="49" t="s">
        <v>44</v>
      </c>
      <c r="B312" s="707" t="s">
        <v>384</v>
      </c>
      <c r="C312" s="39">
        <v>8730000</v>
      </c>
      <c r="D312" s="727">
        <f>C312/C311*100</f>
        <v>4.7189189189189191</v>
      </c>
      <c r="E312" s="134">
        <f t="shared" ref="E312:E320" si="117">G312/C312*100</f>
        <v>100</v>
      </c>
      <c r="F312" s="134">
        <f t="shared" ref="F312:F320" si="118">(D312*E312)/100</f>
        <v>4.7189189189189191</v>
      </c>
      <c r="G312" s="181">
        <f>8730000</f>
        <v>8730000</v>
      </c>
      <c r="H312" s="134">
        <f t="shared" ref="H312:H320" si="119">G312/C312*100</f>
        <v>100</v>
      </c>
      <c r="I312" s="134">
        <f t="shared" ref="I312:I320" si="120">(D312*H312)/100</f>
        <v>4.7189189189189191</v>
      </c>
      <c r="J312" s="6">
        <f t="shared" ref="J312:J329" si="121">G312-C312</f>
        <v>0</v>
      </c>
      <c r="K312" s="10"/>
      <c r="O312" s="717"/>
    </row>
    <row r="313" spans="1:15" x14ac:dyDescent="0.25">
      <c r="A313" s="49" t="s">
        <v>59</v>
      </c>
      <c r="B313" s="707" t="s">
        <v>197</v>
      </c>
      <c r="C313" s="39">
        <v>13887500</v>
      </c>
      <c r="D313" s="727">
        <f>C313/C311*100</f>
        <v>7.5067567567567561</v>
      </c>
      <c r="E313" s="134">
        <f t="shared" si="117"/>
        <v>86.408640864086408</v>
      </c>
      <c r="F313" s="134">
        <f t="shared" si="118"/>
        <v>6.4864864864864868</v>
      </c>
      <c r="G313" s="181">
        <f>12000000</f>
        <v>12000000</v>
      </c>
      <c r="H313" s="134">
        <f t="shared" si="119"/>
        <v>86.408640864086408</v>
      </c>
      <c r="I313" s="134">
        <f t="shared" si="120"/>
        <v>6.4864864864864868</v>
      </c>
      <c r="J313" s="6">
        <f t="shared" si="121"/>
        <v>-1887500</v>
      </c>
      <c r="K313" s="10"/>
    </row>
    <row r="314" spans="1:15" x14ac:dyDescent="0.25">
      <c r="A314" s="49" t="s">
        <v>62</v>
      </c>
      <c r="B314" s="707" t="s">
        <v>414</v>
      </c>
      <c r="C314" s="39">
        <v>7970500</v>
      </c>
      <c r="D314" s="727"/>
      <c r="E314" s="134"/>
      <c r="F314" s="134"/>
      <c r="G314" s="181">
        <f>1485000</f>
        <v>1485000</v>
      </c>
      <c r="H314" s="134"/>
      <c r="I314" s="134"/>
      <c r="J314" s="6">
        <f t="shared" si="121"/>
        <v>-6485500</v>
      </c>
      <c r="K314" s="10"/>
    </row>
    <row r="315" spans="1:15" x14ac:dyDescent="0.25">
      <c r="A315" s="49" t="s">
        <v>54</v>
      </c>
      <c r="B315" s="707" t="s">
        <v>536</v>
      </c>
      <c r="C315" s="39">
        <v>800000</v>
      </c>
      <c r="D315" s="727"/>
      <c r="E315" s="134"/>
      <c r="F315" s="134"/>
      <c r="G315" s="181">
        <f>800000</f>
        <v>800000</v>
      </c>
      <c r="H315" s="134"/>
      <c r="I315" s="134"/>
      <c r="J315" s="6">
        <f t="shared" si="121"/>
        <v>0</v>
      </c>
      <c r="K315" s="10"/>
    </row>
    <row r="316" spans="1:15" ht="25.5" x14ac:dyDescent="0.25">
      <c r="A316" s="49" t="s">
        <v>193</v>
      </c>
      <c r="B316" s="707" t="s">
        <v>537</v>
      </c>
      <c r="C316" s="39">
        <v>8750000</v>
      </c>
      <c r="D316" s="727"/>
      <c r="E316" s="134"/>
      <c r="F316" s="134"/>
      <c r="G316" s="181">
        <f>8750000</f>
        <v>8750000</v>
      </c>
      <c r="H316" s="134"/>
      <c r="I316" s="134"/>
      <c r="J316" s="6">
        <f t="shared" si="121"/>
        <v>0</v>
      </c>
      <c r="K316" s="10"/>
    </row>
    <row r="317" spans="1:15" x14ac:dyDescent="0.25">
      <c r="A317" s="49" t="s">
        <v>148</v>
      </c>
      <c r="B317" s="133" t="s">
        <v>534</v>
      </c>
      <c r="C317" s="39">
        <v>10000000</v>
      </c>
      <c r="D317" s="727"/>
      <c r="E317" s="134"/>
      <c r="F317" s="134"/>
      <c r="G317" s="181">
        <f>10000000</f>
        <v>10000000</v>
      </c>
      <c r="H317" s="134"/>
      <c r="I317" s="134"/>
      <c r="J317" s="6">
        <f t="shared" si="121"/>
        <v>0</v>
      </c>
      <c r="K317" s="10"/>
    </row>
    <row r="318" spans="1:15" x14ac:dyDescent="0.25">
      <c r="A318" s="49" t="s">
        <v>77</v>
      </c>
      <c r="B318" s="49" t="s">
        <v>139</v>
      </c>
      <c r="C318" s="39">
        <v>82680000</v>
      </c>
      <c r="D318" s="727">
        <f>C318/C311*100</f>
        <v>44.691891891891892</v>
      </c>
      <c r="E318" s="134">
        <f t="shared" si="117"/>
        <v>72.895500725689402</v>
      </c>
      <c r="F318" s="134">
        <f t="shared" si="118"/>
        <v>32.578378378378382</v>
      </c>
      <c r="G318" s="181">
        <f>60270000</f>
        <v>60270000</v>
      </c>
      <c r="H318" s="134">
        <f t="shared" si="119"/>
        <v>72.895500725689402</v>
      </c>
      <c r="I318" s="134">
        <f t="shared" si="120"/>
        <v>32.578378378378382</v>
      </c>
      <c r="J318" s="6">
        <f t="shared" si="121"/>
        <v>-22410000</v>
      </c>
      <c r="K318" s="10"/>
    </row>
    <row r="319" spans="1:15" x14ac:dyDescent="0.25">
      <c r="A319" s="49" t="s">
        <v>104</v>
      </c>
      <c r="B319" s="170" t="s">
        <v>418</v>
      </c>
      <c r="C319" s="39">
        <v>7300000</v>
      </c>
      <c r="D319" s="727">
        <f>C319/C311*100</f>
        <v>3.9459459459459461</v>
      </c>
      <c r="E319" s="134">
        <f t="shared" si="117"/>
        <v>100</v>
      </c>
      <c r="F319" s="134">
        <f t="shared" si="118"/>
        <v>3.9459459459459456</v>
      </c>
      <c r="G319" s="181">
        <f>7300000</f>
        <v>7300000</v>
      </c>
      <c r="H319" s="134">
        <f t="shared" si="119"/>
        <v>100</v>
      </c>
      <c r="I319" s="134">
        <f t="shared" si="120"/>
        <v>3.9459459459459456</v>
      </c>
      <c r="J319" s="6">
        <f t="shared" si="121"/>
        <v>0</v>
      </c>
      <c r="K319" s="10"/>
    </row>
    <row r="320" spans="1:15" ht="25.5" x14ac:dyDescent="0.25">
      <c r="A320" s="49" t="s">
        <v>192</v>
      </c>
      <c r="B320" s="316" t="s">
        <v>375</v>
      </c>
      <c r="C320" s="39">
        <v>13050000</v>
      </c>
      <c r="D320" s="727">
        <f>C320/C311*100</f>
        <v>7.0540540540540544</v>
      </c>
      <c r="E320" s="134">
        <f t="shared" si="117"/>
        <v>55.172413793103445</v>
      </c>
      <c r="F320" s="134">
        <f t="shared" si="118"/>
        <v>3.8918918918918917</v>
      </c>
      <c r="G320" s="181">
        <f>7200000</f>
        <v>7200000</v>
      </c>
      <c r="H320" s="134">
        <f t="shared" si="119"/>
        <v>55.172413793103445</v>
      </c>
      <c r="I320" s="134">
        <f t="shared" si="120"/>
        <v>3.8918918918918917</v>
      </c>
      <c r="J320" s="6">
        <f t="shared" si="121"/>
        <v>-5850000</v>
      </c>
      <c r="K320" s="10"/>
    </row>
    <row r="321" spans="1:14" x14ac:dyDescent="0.25">
      <c r="A321" s="749" t="s">
        <v>162</v>
      </c>
      <c r="B321" s="316" t="s">
        <v>538</v>
      </c>
      <c r="C321" s="751">
        <v>2000000</v>
      </c>
      <c r="D321" s="727"/>
      <c r="E321" s="134"/>
      <c r="F321" s="134"/>
      <c r="G321" s="181">
        <f>2000000</f>
        <v>2000000</v>
      </c>
      <c r="H321" s="134"/>
      <c r="I321" s="134"/>
      <c r="J321" s="6">
        <f t="shared" si="121"/>
        <v>0</v>
      </c>
      <c r="K321" s="130"/>
    </row>
    <row r="322" spans="1:14" x14ac:dyDescent="0.25">
      <c r="A322" s="749" t="s">
        <v>527</v>
      </c>
      <c r="B322" s="316" t="s">
        <v>523</v>
      </c>
      <c r="C322" s="751">
        <v>1150000</v>
      </c>
      <c r="D322" s="727"/>
      <c r="E322" s="134"/>
      <c r="F322" s="134"/>
      <c r="G322" s="181">
        <f>1150000</f>
        <v>1150000</v>
      </c>
      <c r="H322" s="134"/>
      <c r="I322" s="134"/>
      <c r="J322" s="6">
        <f t="shared" si="121"/>
        <v>0</v>
      </c>
      <c r="K322" s="130"/>
    </row>
    <row r="323" spans="1:14" x14ac:dyDescent="0.25">
      <c r="A323" s="749" t="s">
        <v>112</v>
      </c>
      <c r="B323" s="316" t="s">
        <v>525</v>
      </c>
      <c r="C323" s="751">
        <v>800000</v>
      </c>
      <c r="D323" s="727"/>
      <c r="E323" s="134"/>
      <c r="F323" s="134"/>
      <c r="G323" s="181">
        <f>800000</f>
        <v>800000</v>
      </c>
      <c r="H323" s="134"/>
      <c r="I323" s="134"/>
      <c r="J323" s="6">
        <f t="shared" si="121"/>
        <v>0</v>
      </c>
      <c r="K323" s="130"/>
    </row>
    <row r="324" spans="1:14" x14ac:dyDescent="0.25">
      <c r="A324" s="749" t="s">
        <v>521</v>
      </c>
      <c r="B324" s="316" t="s">
        <v>539</v>
      </c>
      <c r="C324" s="751">
        <v>1000000</v>
      </c>
      <c r="D324" s="727"/>
      <c r="E324" s="134"/>
      <c r="F324" s="134"/>
      <c r="G324" s="181">
        <f>1000000</f>
        <v>1000000</v>
      </c>
      <c r="H324" s="134"/>
      <c r="I324" s="134"/>
      <c r="J324" s="6">
        <f t="shared" si="121"/>
        <v>0</v>
      </c>
      <c r="K324" s="130"/>
    </row>
    <row r="325" spans="1:14" ht="25.5" x14ac:dyDescent="0.25">
      <c r="A325" s="749" t="s">
        <v>116</v>
      </c>
      <c r="B325" s="316" t="s">
        <v>420</v>
      </c>
      <c r="C325" s="751">
        <v>1382000</v>
      </c>
      <c r="D325" s="727">
        <f>C325/C312*100</f>
        <v>15.830469644902633</v>
      </c>
      <c r="E325" s="134"/>
      <c r="F325" s="134"/>
      <c r="G325" s="181">
        <f>1382000</f>
        <v>1382000</v>
      </c>
      <c r="H325" s="134"/>
      <c r="I325" s="134"/>
      <c r="J325" s="6">
        <f t="shared" si="121"/>
        <v>0</v>
      </c>
      <c r="K325" s="130"/>
    </row>
    <row r="326" spans="1:14" x14ac:dyDescent="0.25">
      <c r="A326" s="749" t="s">
        <v>65</v>
      </c>
      <c r="B326" s="754" t="s">
        <v>190</v>
      </c>
      <c r="C326" s="751">
        <v>7000000</v>
      </c>
      <c r="D326" s="727" t="e">
        <f>C326/#REF!*100</f>
        <v>#REF!</v>
      </c>
      <c r="E326" s="134"/>
      <c r="F326" s="134"/>
      <c r="G326" s="181">
        <f>6932360</f>
        <v>6932360</v>
      </c>
      <c r="H326" s="134"/>
      <c r="I326" s="134"/>
      <c r="J326" s="6">
        <f t="shared" si="121"/>
        <v>-67640</v>
      </c>
      <c r="K326" s="130"/>
    </row>
    <row r="327" spans="1:14" x14ac:dyDescent="0.25">
      <c r="A327" s="749" t="s">
        <v>541</v>
      </c>
      <c r="B327" s="754" t="s">
        <v>401</v>
      </c>
      <c r="C327" s="751">
        <v>3900000</v>
      </c>
      <c r="D327" s="727" t="e">
        <f>C327/#REF!*100</f>
        <v>#REF!</v>
      </c>
      <c r="E327" s="134"/>
      <c r="F327" s="134"/>
      <c r="G327" s="181">
        <f>3900000</f>
        <v>3900000</v>
      </c>
      <c r="H327" s="134"/>
      <c r="I327" s="134"/>
      <c r="J327" s="6">
        <f t="shared" si="121"/>
        <v>0</v>
      </c>
      <c r="K327" s="130"/>
    </row>
    <row r="328" spans="1:14" x14ac:dyDescent="0.25">
      <c r="A328" s="749" t="s">
        <v>275</v>
      </c>
      <c r="B328" s="754" t="s">
        <v>421</v>
      </c>
      <c r="C328" s="751">
        <v>5000000</v>
      </c>
      <c r="D328" s="727" t="e">
        <f>C328/#REF!*100</f>
        <v>#REF!</v>
      </c>
      <c r="E328" s="134"/>
      <c r="F328" s="134"/>
      <c r="G328" s="181">
        <f>5000000</f>
        <v>5000000</v>
      </c>
      <c r="H328" s="134"/>
      <c r="I328" s="134"/>
      <c r="J328" s="6">
        <f t="shared" si="121"/>
        <v>0</v>
      </c>
      <c r="K328" s="130"/>
    </row>
    <row r="329" spans="1:14" x14ac:dyDescent="0.25">
      <c r="A329" s="749" t="s">
        <v>542</v>
      </c>
      <c r="B329" s="316" t="s">
        <v>540</v>
      </c>
      <c r="C329" s="751">
        <v>9600000</v>
      </c>
      <c r="D329" s="752"/>
      <c r="E329" s="134"/>
      <c r="F329" s="134"/>
      <c r="G329" s="181"/>
      <c r="H329" s="134"/>
      <c r="I329" s="134"/>
      <c r="J329" s="6">
        <f t="shared" si="121"/>
        <v>-9600000</v>
      </c>
      <c r="K329" s="130"/>
    </row>
    <row r="330" spans="1:14" x14ac:dyDescent="0.25">
      <c r="A330" s="70"/>
      <c r="B330" s="164" t="s">
        <v>140</v>
      </c>
      <c r="C330" s="165">
        <f>SUM(C312:C329)</f>
        <v>185000000</v>
      </c>
      <c r="D330" s="166">
        <f>SUM(D312:D320)</f>
        <v>67.917567567567559</v>
      </c>
      <c r="E330" s="134"/>
      <c r="F330" s="134"/>
      <c r="G330" s="837">
        <f>SUM(G312:G329)</f>
        <v>138699360</v>
      </c>
      <c r="H330" s="134"/>
      <c r="I330" s="134"/>
      <c r="J330" s="734"/>
      <c r="K330" s="40"/>
    </row>
    <row r="331" spans="1:14" x14ac:dyDescent="0.25">
      <c r="A331" s="53"/>
      <c r="B331" s="5"/>
      <c r="C331" s="191"/>
      <c r="D331" s="41"/>
      <c r="E331" s="30"/>
      <c r="F331" s="31"/>
      <c r="G331" s="36"/>
      <c r="H331" s="23"/>
      <c r="I331" s="23"/>
      <c r="J331" s="33"/>
      <c r="K331" s="37"/>
    </row>
    <row r="332" spans="1:14" ht="31.5" x14ac:dyDescent="0.25">
      <c r="A332" s="55"/>
      <c r="B332" s="46" t="s">
        <v>145</v>
      </c>
      <c r="C332" s="155"/>
      <c r="D332" s="44"/>
      <c r="E332" s="45"/>
      <c r="F332" s="45"/>
      <c r="G332" s="48"/>
      <c r="H332" s="45"/>
      <c r="I332" s="45"/>
      <c r="J332" s="44"/>
      <c r="K332" s="44"/>
      <c r="L332" s="1"/>
      <c r="M332" s="1"/>
      <c r="N332" s="1"/>
    </row>
    <row r="333" spans="1:14" x14ac:dyDescent="0.25">
      <c r="A333" s="1119" t="s">
        <v>2</v>
      </c>
      <c r="B333" s="1120" t="s">
        <v>177</v>
      </c>
      <c r="C333" s="1119" t="s">
        <v>4</v>
      </c>
      <c r="D333" s="1121" t="s">
        <v>5</v>
      </c>
      <c r="E333" s="1121"/>
      <c r="F333" s="1121"/>
      <c r="G333" s="1122" t="s">
        <v>6</v>
      </c>
      <c r="H333" s="1122"/>
      <c r="I333" s="1122"/>
      <c r="J333" s="1119" t="s">
        <v>7</v>
      </c>
      <c r="K333" s="289" t="s">
        <v>8</v>
      </c>
    </row>
    <row r="334" spans="1:14" x14ac:dyDescent="0.25">
      <c r="A334" s="1119"/>
      <c r="B334" s="1120"/>
      <c r="C334" s="1119"/>
      <c r="D334" s="289" t="s">
        <v>9</v>
      </c>
      <c r="E334" s="308" t="s">
        <v>10</v>
      </c>
      <c r="F334" s="308" t="s">
        <v>11</v>
      </c>
      <c r="G334" s="309" t="s">
        <v>12</v>
      </c>
      <c r="H334" s="308" t="s">
        <v>13</v>
      </c>
      <c r="I334" s="308" t="s">
        <v>11</v>
      </c>
      <c r="J334" s="1123"/>
      <c r="K334" s="115"/>
    </row>
    <row r="335" spans="1:14" x14ac:dyDescent="0.25">
      <c r="A335" s="1119"/>
      <c r="B335" s="1120"/>
      <c r="C335" s="1119"/>
      <c r="D335" s="118" t="s">
        <v>14</v>
      </c>
      <c r="E335" s="119" t="s">
        <v>14</v>
      </c>
      <c r="F335" s="119" t="s">
        <v>14</v>
      </c>
      <c r="G335" s="120" t="s">
        <v>15</v>
      </c>
      <c r="H335" s="119" t="s">
        <v>14</v>
      </c>
      <c r="I335" s="119" t="s">
        <v>14</v>
      </c>
      <c r="J335" s="118" t="s">
        <v>15</v>
      </c>
      <c r="K335" s="118"/>
    </row>
    <row r="336" spans="1:14" x14ac:dyDescent="0.25">
      <c r="A336" s="79" t="s">
        <v>185</v>
      </c>
      <c r="B336" s="199" t="s">
        <v>146</v>
      </c>
      <c r="C336" s="260"/>
      <c r="D336" s="10"/>
      <c r="E336" s="34"/>
      <c r="F336" s="34"/>
      <c r="G336" s="6"/>
      <c r="H336" s="34"/>
      <c r="I336" s="34"/>
      <c r="J336" s="10"/>
      <c r="K336" s="10"/>
    </row>
    <row r="337" spans="1:11" x14ac:dyDescent="0.25">
      <c r="A337" s="125" t="s">
        <v>184</v>
      </c>
      <c r="B337" s="280" t="s">
        <v>147</v>
      </c>
      <c r="C337" s="131">
        <f>SUM(C338:C339)</f>
        <v>3395640000</v>
      </c>
      <c r="D337" s="10"/>
      <c r="E337" s="34"/>
      <c r="F337" s="34"/>
      <c r="G337" s="6"/>
      <c r="H337" s="34"/>
      <c r="I337" s="34"/>
      <c r="J337" s="10"/>
      <c r="K337" s="10"/>
    </row>
    <row r="338" spans="1:11" ht="25.5" x14ac:dyDescent="0.25">
      <c r="A338" s="313" t="s">
        <v>44</v>
      </c>
      <c r="B338" s="707" t="s">
        <v>384</v>
      </c>
      <c r="C338" s="253">
        <v>35640000</v>
      </c>
      <c r="D338" s="134">
        <f>C338/C337*100</f>
        <v>1.0495812276919816</v>
      </c>
      <c r="E338" s="134">
        <f t="shared" ref="E338:E339" si="122">G338/C338*100</f>
        <v>66.666666666666657</v>
      </c>
      <c r="F338" s="134">
        <f t="shared" ref="F338:F339" si="123">(D338*E338)/100</f>
        <v>0.69972081846132095</v>
      </c>
      <c r="G338" s="181">
        <f>23760000</f>
        <v>23760000</v>
      </c>
      <c r="H338" s="134">
        <f t="shared" ref="H338:H339" si="124">G338/C338*100</f>
        <v>66.666666666666657</v>
      </c>
      <c r="I338" s="134">
        <f t="shared" ref="I338:I339" si="125">(D338*H338)/100</f>
        <v>0.69972081846132095</v>
      </c>
      <c r="J338" s="6">
        <f t="shared" ref="J338:J339" si="126">G338-C338</f>
        <v>-11880000</v>
      </c>
      <c r="K338" s="10"/>
    </row>
    <row r="339" spans="1:11" x14ac:dyDescent="0.25">
      <c r="A339" s="49" t="s">
        <v>148</v>
      </c>
      <c r="B339" s="133" t="s">
        <v>534</v>
      </c>
      <c r="C339" s="256">
        <v>3360000000</v>
      </c>
      <c r="D339" s="134">
        <f>C339/C337*100</f>
        <v>98.950418772308012</v>
      </c>
      <c r="E339" s="134">
        <f t="shared" si="122"/>
        <v>100</v>
      </c>
      <c r="F339" s="134">
        <f t="shared" si="123"/>
        <v>98.950418772307998</v>
      </c>
      <c r="G339" s="181">
        <f>2220557000+1139443000</f>
        <v>3360000000</v>
      </c>
      <c r="H339" s="134">
        <f t="shared" si="124"/>
        <v>100</v>
      </c>
      <c r="I339" s="134">
        <f t="shared" si="125"/>
        <v>98.950418772307998</v>
      </c>
      <c r="J339" s="6">
        <f t="shared" si="126"/>
        <v>0</v>
      </c>
      <c r="K339" s="10"/>
    </row>
    <row r="340" spans="1:11" x14ac:dyDescent="0.25">
      <c r="A340" s="70"/>
      <c r="B340" s="129" t="s">
        <v>95</v>
      </c>
      <c r="C340" s="807">
        <f>SUM(C338:C339)</f>
        <v>3395640000</v>
      </c>
      <c r="D340" s="271">
        <f>SUM(D338:D339)</f>
        <v>100</v>
      </c>
      <c r="E340" s="134"/>
      <c r="F340" s="134"/>
      <c r="G340" s="181">
        <f>SUM(G338:G339)</f>
        <v>3383760000</v>
      </c>
      <c r="H340" s="134"/>
      <c r="I340" s="134"/>
      <c r="J340" s="734"/>
      <c r="K340" s="130"/>
    </row>
    <row r="341" spans="1:11" x14ac:dyDescent="0.25">
      <c r="A341" s="230"/>
      <c r="B341" s="231"/>
      <c r="C341" s="232"/>
      <c r="D341" s="23"/>
      <c r="E341" s="23"/>
      <c r="F341" s="23"/>
      <c r="G341" s="11"/>
      <c r="H341" s="23"/>
      <c r="I341" s="23"/>
      <c r="J341" s="9"/>
      <c r="K341" s="9"/>
    </row>
    <row r="342" spans="1:11" x14ac:dyDescent="0.25">
      <c r="A342" s="1119" t="s">
        <v>2</v>
      </c>
      <c r="B342" s="1120" t="s">
        <v>177</v>
      </c>
      <c r="C342" s="1119" t="s">
        <v>4</v>
      </c>
      <c r="D342" s="1121" t="s">
        <v>5</v>
      </c>
      <c r="E342" s="1121"/>
      <c r="F342" s="1121"/>
      <c r="G342" s="1122" t="s">
        <v>6</v>
      </c>
      <c r="H342" s="1122"/>
      <c r="I342" s="1122"/>
      <c r="J342" s="1119" t="s">
        <v>7</v>
      </c>
      <c r="K342" s="289" t="s">
        <v>8</v>
      </c>
    </row>
    <row r="343" spans="1:11" x14ac:dyDescent="0.25">
      <c r="A343" s="1119"/>
      <c r="B343" s="1120"/>
      <c r="C343" s="1119"/>
      <c r="D343" s="289" t="s">
        <v>9</v>
      </c>
      <c r="E343" s="308" t="s">
        <v>10</v>
      </c>
      <c r="F343" s="308" t="s">
        <v>11</v>
      </c>
      <c r="G343" s="309" t="s">
        <v>12</v>
      </c>
      <c r="H343" s="308" t="s">
        <v>13</v>
      </c>
      <c r="I343" s="308" t="s">
        <v>11</v>
      </c>
      <c r="J343" s="1123"/>
      <c r="K343" s="115"/>
    </row>
    <row r="344" spans="1:11" x14ac:dyDescent="0.25">
      <c r="A344" s="1119"/>
      <c r="B344" s="1120"/>
      <c r="C344" s="1119"/>
      <c r="D344" s="118" t="s">
        <v>14</v>
      </c>
      <c r="E344" s="119" t="s">
        <v>14</v>
      </c>
      <c r="F344" s="119" t="s">
        <v>14</v>
      </c>
      <c r="G344" s="120" t="s">
        <v>15</v>
      </c>
      <c r="H344" s="119" t="s">
        <v>14</v>
      </c>
      <c r="I344" s="119" t="s">
        <v>14</v>
      </c>
      <c r="J344" s="118" t="s">
        <v>15</v>
      </c>
      <c r="K344" s="118"/>
    </row>
    <row r="345" spans="1:11" x14ac:dyDescent="0.25">
      <c r="A345" s="139" t="s">
        <v>185</v>
      </c>
      <c r="B345" s="199" t="s">
        <v>146</v>
      </c>
      <c r="C345" s="24"/>
      <c r="D345" s="10"/>
      <c r="E345" s="34"/>
      <c r="F345" s="34"/>
      <c r="G345" s="6"/>
      <c r="H345" s="34"/>
      <c r="I345" s="34"/>
      <c r="J345" s="10"/>
      <c r="K345" s="10"/>
    </row>
    <row r="346" spans="1:11" x14ac:dyDescent="0.25">
      <c r="A346" s="140" t="s">
        <v>187</v>
      </c>
      <c r="B346" s="280" t="s">
        <v>150</v>
      </c>
      <c r="C346" s="252">
        <f>SUM(C347:C351)</f>
        <v>2057255328</v>
      </c>
      <c r="D346" s="10"/>
      <c r="E346" s="34"/>
      <c r="F346" s="34"/>
      <c r="G346" s="6"/>
      <c r="H346" s="34"/>
      <c r="I346" s="34"/>
      <c r="J346" s="10"/>
      <c r="K346" s="10"/>
    </row>
    <row r="347" spans="1:11" ht="25.5" x14ac:dyDescent="0.25">
      <c r="A347" s="159" t="s">
        <v>44</v>
      </c>
      <c r="B347" s="707" t="s">
        <v>384</v>
      </c>
      <c r="C347" s="253">
        <v>30210000</v>
      </c>
      <c r="D347" s="134">
        <f>C347/C346*100</f>
        <v>1.4684613809880966</v>
      </c>
      <c r="E347" s="134">
        <f t="shared" ref="E347:E350" si="127">G347/C347*100</f>
        <v>64.200595829195635</v>
      </c>
      <c r="F347" s="134">
        <f t="shared" ref="F347:F350" si="128">(D347*E347)/100</f>
        <v>0.94276095611599264</v>
      </c>
      <c r="G347" s="181">
        <f>19395000</f>
        <v>19395000</v>
      </c>
      <c r="H347" s="134">
        <f t="shared" ref="H347:H350" si="129">G347/C347*100</f>
        <v>64.200595829195635</v>
      </c>
      <c r="I347" s="134">
        <f t="shared" ref="I347:I350" si="130">(D347*H347)/100</f>
        <v>0.94276095611599264</v>
      </c>
      <c r="J347" s="6">
        <f t="shared" ref="J347:J351" si="131">G347-C347</f>
        <v>-10815000</v>
      </c>
      <c r="K347" s="10"/>
    </row>
    <row r="348" spans="1:11" x14ac:dyDescent="0.25">
      <c r="A348" s="313" t="s">
        <v>59</v>
      </c>
      <c r="B348" s="707" t="s">
        <v>197</v>
      </c>
      <c r="C348" s="253">
        <v>690000</v>
      </c>
      <c r="D348" s="134">
        <f>C348/C346*100</f>
        <v>3.3539832932200815E-2</v>
      </c>
      <c r="E348" s="134">
        <f t="shared" si="127"/>
        <v>100</v>
      </c>
      <c r="F348" s="134">
        <f t="shared" si="128"/>
        <v>3.3539832932200815E-2</v>
      </c>
      <c r="G348" s="181">
        <f>690000</f>
        <v>690000</v>
      </c>
      <c r="H348" s="134">
        <f t="shared" si="129"/>
        <v>100</v>
      </c>
      <c r="I348" s="134">
        <f t="shared" si="130"/>
        <v>3.3539832932200815E-2</v>
      </c>
      <c r="J348" s="6">
        <f t="shared" si="131"/>
        <v>0</v>
      </c>
      <c r="K348" s="10"/>
    </row>
    <row r="349" spans="1:11" x14ac:dyDescent="0.25">
      <c r="A349" s="313" t="s">
        <v>62</v>
      </c>
      <c r="B349" s="133" t="s">
        <v>534</v>
      </c>
      <c r="C349" s="253">
        <v>1440000000</v>
      </c>
      <c r="D349" s="134">
        <f>C349/C346*100</f>
        <v>69.99617307589736</v>
      </c>
      <c r="E349" s="134">
        <f t="shared" si="127"/>
        <v>33.149305555555557</v>
      </c>
      <c r="F349" s="134">
        <f t="shared" si="128"/>
        <v>23.203245290124727</v>
      </c>
      <c r="G349" s="181">
        <f>365350000+112000000</f>
        <v>477350000</v>
      </c>
      <c r="H349" s="134">
        <f t="shared" si="129"/>
        <v>33.149305555555557</v>
      </c>
      <c r="I349" s="134">
        <f t="shared" si="130"/>
        <v>23.203245290124727</v>
      </c>
      <c r="J349" s="6">
        <f t="shared" si="131"/>
        <v>-962650000</v>
      </c>
      <c r="K349" s="10"/>
    </row>
    <row r="350" spans="1:11" s="725" customFormat="1" ht="25.5" x14ac:dyDescent="0.2">
      <c r="A350" s="723" t="s">
        <v>152</v>
      </c>
      <c r="B350" s="133" t="s">
        <v>153</v>
      </c>
      <c r="C350" s="724">
        <v>576000000</v>
      </c>
      <c r="D350" s="728">
        <f>C350/C346*100</f>
        <v>27.998469230358946</v>
      </c>
      <c r="E350" s="728">
        <f t="shared" si="127"/>
        <v>50</v>
      </c>
      <c r="F350" s="728">
        <f t="shared" si="128"/>
        <v>13.999234615179473</v>
      </c>
      <c r="G350" s="181">
        <f>288000000</f>
        <v>288000000</v>
      </c>
      <c r="H350" s="728">
        <f t="shared" si="129"/>
        <v>50</v>
      </c>
      <c r="I350" s="728">
        <f t="shared" si="130"/>
        <v>13.999234615179473</v>
      </c>
      <c r="J350" s="6">
        <f t="shared" si="131"/>
        <v>-288000000</v>
      </c>
      <c r="K350" s="313"/>
    </row>
    <row r="351" spans="1:11" s="725" customFormat="1" x14ac:dyDescent="0.2">
      <c r="A351" s="749" t="s">
        <v>234</v>
      </c>
      <c r="B351" s="133" t="s">
        <v>522</v>
      </c>
      <c r="C351" s="724">
        <v>10355328</v>
      </c>
      <c r="D351" s="820"/>
      <c r="E351" s="728"/>
      <c r="F351" s="728"/>
      <c r="G351" s="181">
        <f>10085658</f>
        <v>10085658</v>
      </c>
      <c r="H351" s="728"/>
      <c r="I351" s="728"/>
      <c r="J351" s="6">
        <f t="shared" si="131"/>
        <v>-269670</v>
      </c>
      <c r="K351" s="821"/>
    </row>
    <row r="352" spans="1:11" x14ac:dyDescent="0.25">
      <c r="A352" s="70"/>
      <c r="B352" s="129" t="s">
        <v>95</v>
      </c>
      <c r="C352" s="807">
        <f>SUM(C347:C351)</f>
        <v>2057255328</v>
      </c>
      <c r="D352" s="271">
        <f>SUM(D347:D350)</f>
        <v>99.496643520176605</v>
      </c>
      <c r="E352" s="134"/>
      <c r="F352" s="134"/>
      <c r="G352" s="181">
        <f>SUM(G347:G351)</f>
        <v>795520658</v>
      </c>
      <c r="H352" s="134"/>
      <c r="I352" s="134"/>
      <c r="J352" s="734"/>
      <c r="K352" s="130"/>
    </row>
    <row r="353" spans="1:11" x14ac:dyDescent="0.25">
      <c r="A353" s="50"/>
      <c r="B353" s="5"/>
      <c r="C353" s="50"/>
      <c r="D353" s="9"/>
      <c r="E353" s="23"/>
      <c r="F353" s="23"/>
      <c r="G353" s="11"/>
      <c r="H353" s="23"/>
      <c r="I353" s="23"/>
      <c r="J353" s="9"/>
      <c r="K353" s="9"/>
    </row>
    <row r="354" spans="1:11" x14ac:dyDescent="0.25">
      <c r="A354" s="50"/>
      <c r="B354" s="5"/>
      <c r="C354" s="50"/>
      <c r="D354" s="9"/>
      <c r="E354" s="23"/>
      <c r="F354" s="23"/>
      <c r="G354" s="11"/>
      <c r="H354" s="23"/>
      <c r="I354" s="23"/>
      <c r="J354" s="9"/>
      <c r="K354" s="9"/>
    </row>
    <row r="355" spans="1:11" x14ac:dyDescent="0.25">
      <c r="A355" s="1139" t="s">
        <v>2</v>
      </c>
      <c r="B355" s="1142" t="s">
        <v>175</v>
      </c>
      <c r="C355" s="290"/>
      <c r="D355" s="1145" t="s">
        <v>5</v>
      </c>
      <c r="E355" s="1146"/>
      <c r="F355" s="1147"/>
      <c r="G355" s="1148" t="s">
        <v>6</v>
      </c>
      <c r="H355" s="1149"/>
      <c r="I355" s="1150"/>
      <c r="J355" s="1138" t="s">
        <v>7</v>
      </c>
      <c r="K355" s="198" t="s">
        <v>8</v>
      </c>
    </row>
    <row r="356" spans="1:11" x14ac:dyDescent="0.25">
      <c r="A356" s="1140"/>
      <c r="B356" s="1143"/>
      <c r="C356" s="892" t="s">
        <v>4</v>
      </c>
      <c r="D356" s="198" t="s">
        <v>9</v>
      </c>
      <c r="E356" s="310" t="s">
        <v>10</v>
      </c>
      <c r="F356" s="310" t="s">
        <v>11</v>
      </c>
      <c r="G356" s="194" t="s">
        <v>12</v>
      </c>
      <c r="H356" s="193" t="s">
        <v>13</v>
      </c>
      <c r="I356" s="193" t="s">
        <v>11</v>
      </c>
      <c r="J356" s="1151"/>
      <c r="K356" s="192"/>
    </row>
    <row r="357" spans="1:11" x14ac:dyDescent="0.25">
      <c r="A357" s="1141"/>
      <c r="B357" s="1144"/>
      <c r="C357" s="229"/>
      <c r="D357" s="197" t="s">
        <v>14</v>
      </c>
      <c r="E357" s="195" t="s">
        <v>14</v>
      </c>
      <c r="F357" s="195" t="s">
        <v>14</v>
      </c>
      <c r="G357" s="196" t="s">
        <v>15</v>
      </c>
      <c r="H357" s="195" t="s">
        <v>14</v>
      </c>
      <c r="I357" s="195" t="s">
        <v>14</v>
      </c>
      <c r="J357" s="197" t="s">
        <v>15</v>
      </c>
      <c r="K357" s="197"/>
    </row>
    <row r="358" spans="1:11" ht="25.5" x14ac:dyDescent="0.25">
      <c r="A358" s="321" t="s">
        <v>180</v>
      </c>
      <c r="B358" s="696" t="s">
        <v>379</v>
      </c>
      <c r="C358" s="291"/>
      <c r="D358" s="121"/>
      <c r="E358" s="122"/>
      <c r="F358" s="122"/>
      <c r="G358" s="123"/>
      <c r="H358" s="122"/>
      <c r="I358" s="122"/>
      <c r="J358" s="121"/>
      <c r="K358" s="121"/>
    </row>
    <row r="359" spans="1:11" ht="25.5" x14ac:dyDescent="0.25">
      <c r="A359" s="160" t="s">
        <v>181</v>
      </c>
      <c r="B359" s="697" t="s">
        <v>380</v>
      </c>
      <c r="C359" s="261">
        <f>SUM(C360:C375)</f>
        <v>185000000</v>
      </c>
      <c r="D359" s="161"/>
      <c r="E359" s="161"/>
      <c r="F359" s="161"/>
      <c r="G359" s="82"/>
      <c r="H359" s="161"/>
      <c r="I359" s="161"/>
      <c r="J359" s="162"/>
      <c r="K359" s="162"/>
    </row>
    <row r="360" spans="1:11" ht="25.5" x14ac:dyDescent="0.25">
      <c r="A360" s="314" t="s">
        <v>44</v>
      </c>
      <c r="B360" s="707" t="s">
        <v>384</v>
      </c>
      <c r="C360" s="262">
        <v>8580000</v>
      </c>
      <c r="D360" s="134">
        <f>C360/C359*100</f>
        <v>4.6378378378378375</v>
      </c>
      <c r="E360" s="134">
        <f t="shared" ref="E360:E368" si="132">G360/C360*100</f>
        <v>89.16083916083916</v>
      </c>
      <c r="F360" s="134">
        <f t="shared" ref="F360:F368" si="133">(D360*E360)/100</f>
        <v>4.1351351351351351</v>
      </c>
      <c r="G360" s="181">
        <f>7650000</f>
        <v>7650000</v>
      </c>
      <c r="H360" s="134">
        <f t="shared" ref="H360:H368" si="134">G360/C360*100</f>
        <v>89.16083916083916</v>
      </c>
      <c r="I360" s="134">
        <f t="shared" ref="I360:I368" si="135">(D360*H360)/100</f>
        <v>4.1351351351351351</v>
      </c>
      <c r="J360" s="6">
        <f t="shared" ref="J360:J375" si="136">G360-C360</f>
        <v>-930000</v>
      </c>
      <c r="K360" s="10"/>
    </row>
    <row r="361" spans="1:11" x14ac:dyDescent="0.25">
      <c r="A361" s="314" t="s">
        <v>59</v>
      </c>
      <c r="B361" s="707" t="s">
        <v>197</v>
      </c>
      <c r="C361" s="262">
        <v>12218350</v>
      </c>
      <c r="D361" s="134">
        <f>C361/C359*100</f>
        <v>6.6045135135135133</v>
      </c>
      <c r="E361" s="134">
        <f t="shared" si="132"/>
        <v>49.106466912471816</v>
      </c>
      <c r="F361" s="134">
        <f t="shared" si="133"/>
        <v>3.2432432432432434</v>
      </c>
      <c r="G361" s="181">
        <f>6000000</f>
        <v>6000000</v>
      </c>
      <c r="H361" s="134">
        <f t="shared" si="134"/>
        <v>49.106466912471816</v>
      </c>
      <c r="I361" s="134">
        <f t="shared" si="135"/>
        <v>3.2432432432432434</v>
      </c>
      <c r="J361" s="6">
        <f t="shared" si="136"/>
        <v>-6218350</v>
      </c>
      <c r="K361" s="10"/>
    </row>
    <row r="362" spans="1:11" x14ac:dyDescent="0.25">
      <c r="A362" s="314" t="s">
        <v>62</v>
      </c>
      <c r="B362" s="707" t="s">
        <v>334</v>
      </c>
      <c r="C362" s="262">
        <v>9787450</v>
      </c>
      <c r="D362" s="134">
        <f>C362/C359*100</f>
        <v>5.2905135135135142</v>
      </c>
      <c r="E362" s="134">
        <f t="shared" si="132"/>
        <v>0</v>
      </c>
      <c r="F362" s="134">
        <f t="shared" si="133"/>
        <v>0</v>
      </c>
      <c r="G362" s="181">
        <v>0</v>
      </c>
      <c r="H362" s="134">
        <f t="shared" si="134"/>
        <v>0</v>
      </c>
      <c r="I362" s="134">
        <f t="shared" si="135"/>
        <v>0</v>
      </c>
      <c r="J362" s="6">
        <f t="shared" si="136"/>
        <v>-9787450</v>
      </c>
      <c r="K362" s="10"/>
    </row>
    <row r="363" spans="1:11" x14ac:dyDescent="0.25">
      <c r="A363" s="314" t="s">
        <v>148</v>
      </c>
      <c r="B363" s="133" t="s">
        <v>534</v>
      </c>
      <c r="C363" s="262">
        <v>8000000</v>
      </c>
      <c r="D363" s="134"/>
      <c r="E363" s="134"/>
      <c r="F363" s="134"/>
      <c r="G363" s="181">
        <f>8000000</f>
        <v>8000000</v>
      </c>
      <c r="H363" s="134"/>
      <c r="I363" s="134"/>
      <c r="J363" s="6">
        <f t="shared" si="136"/>
        <v>0</v>
      </c>
      <c r="K363" s="10"/>
    </row>
    <row r="364" spans="1:11" x14ac:dyDescent="0.25">
      <c r="A364" s="314" t="s">
        <v>194</v>
      </c>
      <c r="B364" s="49" t="s">
        <v>139</v>
      </c>
      <c r="C364" s="263">
        <v>42400000</v>
      </c>
      <c r="D364" s="134">
        <f>C364/C359*100</f>
        <v>22.918918918918919</v>
      </c>
      <c r="E364" s="134">
        <f t="shared" si="132"/>
        <v>82.523584905660371</v>
      </c>
      <c r="F364" s="134">
        <f t="shared" si="133"/>
        <v>18.913513513513511</v>
      </c>
      <c r="G364" s="181">
        <f>34990000</f>
        <v>34990000</v>
      </c>
      <c r="H364" s="134">
        <f t="shared" si="134"/>
        <v>82.523584905660371</v>
      </c>
      <c r="I364" s="134">
        <f t="shared" si="135"/>
        <v>18.913513513513511</v>
      </c>
      <c r="J364" s="6">
        <f t="shared" si="136"/>
        <v>-7410000</v>
      </c>
      <c r="K364" s="10"/>
    </row>
    <row r="365" spans="1:11" x14ac:dyDescent="0.25">
      <c r="A365" s="314" t="s">
        <v>183</v>
      </c>
      <c r="B365" s="49" t="s">
        <v>417</v>
      </c>
      <c r="C365" s="263">
        <v>4500000</v>
      </c>
      <c r="D365" s="134"/>
      <c r="E365" s="134">
        <f t="shared" si="132"/>
        <v>100</v>
      </c>
      <c r="F365" s="134"/>
      <c r="G365" s="181">
        <f>4500000</f>
        <v>4500000</v>
      </c>
      <c r="H365" s="134">
        <f t="shared" si="134"/>
        <v>100</v>
      </c>
      <c r="I365" s="134"/>
      <c r="J365" s="6">
        <f t="shared" si="136"/>
        <v>0</v>
      </c>
      <c r="K365" s="10"/>
    </row>
    <row r="366" spans="1:11" x14ac:dyDescent="0.25">
      <c r="A366" s="322" t="s">
        <v>195</v>
      </c>
      <c r="B366" s="170" t="s">
        <v>179</v>
      </c>
      <c r="C366" s="178">
        <v>24500000</v>
      </c>
      <c r="D366" s="134">
        <f>C366/C359*100</f>
        <v>13.243243243243244</v>
      </c>
      <c r="E366" s="134">
        <f t="shared" si="132"/>
        <v>100</v>
      </c>
      <c r="F366" s="134">
        <f t="shared" si="133"/>
        <v>13.243243243243244</v>
      </c>
      <c r="G366" s="181">
        <f>24500000</f>
        <v>24500000</v>
      </c>
      <c r="H366" s="134">
        <f t="shared" si="134"/>
        <v>100</v>
      </c>
      <c r="I366" s="134">
        <f t="shared" si="135"/>
        <v>13.243243243243244</v>
      </c>
      <c r="J366" s="6">
        <f t="shared" si="136"/>
        <v>0</v>
      </c>
      <c r="K366" s="10"/>
    </row>
    <row r="367" spans="1:11" x14ac:dyDescent="0.25">
      <c r="A367" s="322" t="s">
        <v>62</v>
      </c>
      <c r="B367" s="170" t="s">
        <v>418</v>
      </c>
      <c r="C367" s="178">
        <v>7500000</v>
      </c>
      <c r="D367" s="134"/>
      <c r="E367" s="134"/>
      <c r="F367" s="134"/>
      <c r="G367" s="181">
        <v>0</v>
      </c>
      <c r="H367" s="134"/>
      <c r="I367" s="134"/>
      <c r="J367" s="6">
        <f t="shared" si="136"/>
        <v>-7500000</v>
      </c>
      <c r="K367" s="10"/>
    </row>
    <row r="368" spans="1:11" ht="25.5" x14ac:dyDescent="0.25">
      <c r="A368" s="314" t="s">
        <v>106</v>
      </c>
      <c r="B368" s="316" t="s">
        <v>375</v>
      </c>
      <c r="C368" s="263">
        <v>16650000</v>
      </c>
      <c r="D368" s="134">
        <f>C368/C359*100</f>
        <v>9</v>
      </c>
      <c r="E368" s="134">
        <f t="shared" si="132"/>
        <v>92.792792792792795</v>
      </c>
      <c r="F368" s="134">
        <f t="shared" si="133"/>
        <v>8.3513513513513526</v>
      </c>
      <c r="G368" s="181">
        <f>15450000</f>
        <v>15450000</v>
      </c>
      <c r="H368" s="134">
        <f t="shared" si="134"/>
        <v>92.792792792792795</v>
      </c>
      <c r="I368" s="134">
        <f t="shared" si="135"/>
        <v>8.3513513513513526</v>
      </c>
      <c r="J368" s="6">
        <f t="shared" si="136"/>
        <v>-1200000</v>
      </c>
      <c r="K368" s="10"/>
    </row>
    <row r="369" spans="1:14" x14ac:dyDescent="0.25">
      <c r="A369" s="745" t="s">
        <v>162</v>
      </c>
      <c r="B369" s="746" t="s">
        <v>538</v>
      </c>
      <c r="C369" s="263">
        <v>3000000</v>
      </c>
      <c r="D369" s="134"/>
      <c r="E369" s="134"/>
      <c r="F369" s="134"/>
      <c r="G369" s="181">
        <f>3000000</f>
        <v>3000000</v>
      </c>
      <c r="H369" s="134"/>
      <c r="I369" s="134"/>
      <c r="J369" s="6">
        <f t="shared" si="136"/>
        <v>0</v>
      </c>
      <c r="K369" s="10"/>
    </row>
    <row r="370" spans="1:14" x14ac:dyDescent="0.25">
      <c r="A370" s="745" t="s">
        <v>521</v>
      </c>
      <c r="B370" s="746" t="s">
        <v>539</v>
      </c>
      <c r="C370" s="263">
        <v>3000000</v>
      </c>
      <c r="D370" s="134"/>
      <c r="E370" s="134"/>
      <c r="F370" s="134"/>
      <c r="G370" s="181">
        <f>3000000</f>
        <v>3000000</v>
      </c>
      <c r="H370" s="134"/>
      <c r="I370" s="134"/>
      <c r="J370" s="6">
        <f t="shared" si="136"/>
        <v>0</v>
      </c>
      <c r="K370" s="10"/>
    </row>
    <row r="371" spans="1:14" ht="25.5" x14ac:dyDescent="0.25">
      <c r="A371" s="745" t="s">
        <v>116</v>
      </c>
      <c r="B371" s="316" t="s">
        <v>420</v>
      </c>
      <c r="C371" s="263">
        <v>5464200</v>
      </c>
      <c r="D371" s="134"/>
      <c r="E371" s="134"/>
      <c r="F371" s="134"/>
      <c r="G371" s="181">
        <f>3000000</f>
        <v>3000000</v>
      </c>
      <c r="H371" s="134"/>
      <c r="I371" s="134"/>
      <c r="J371" s="6">
        <f t="shared" si="136"/>
        <v>-2464200</v>
      </c>
      <c r="K371" s="10"/>
    </row>
    <row r="372" spans="1:14" x14ac:dyDescent="0.25">
      <c r="A372" s="745" t="s">
        <v>65</v>
      </c>
      <c r="B372" s="754" t="s">
        <v>190</v>
      </c>
      <c r="C372" s="263">
        <v>7000000</v>
      </c>
      <c r="D372" s="134"/>
      <c r="E372" s="134"/>
      <c r="F372" s="134"/>
      <c r="G372" s="181">
        <f>6932360</f>
        <v>6932360</v>
      </c>
      <c r="H372" s="134"/>
      <c r="I372" s="134"/>
      <c r="J372" s="6">
        <f t="shared" si="136"/>
        <v>-67640</v>
      </c>
      <c r="K372" s="10"/>
    </row>
    <row r="373" spans="1:14" x14ac:dyDescent="0.25">
      <c r="A373" s="745" t="s">
        <v>400</v>
      </c>
      <c r="B373" s="754" t="s">
        <v>401</v>
      </c>
      <c r="C373" s="263">
        <v>7000000</v>
      </c>
      <c r="D373" s="134"/>
      <c r="E373" s="134"/>
      <c r="F373" s="134"/>
      <c r="G373" s="181">
        <f>7000000</f>
        <v>7000000</v>
      </c>
      <c r="H373" s="134"/>
      <c r="I373" s="134"/>
      <c r="J373" s="6">
        <f t="shared" si="136"/>
        <v>0</v>
      </c>
      <c r="K373" s="10"/>
    </row>
    <row r="374" spans="1:14" x14ac:dyDescent="0.25">
      <c r="A374" s="745" t="s">
        <v>301</v>
      </c>
      <c r="B374" s="746" t="s">
        <v>409</v>
      </c>
      <c r="C374" s="263">
        <v>20400000</v>
      </c>
      <c r="D374" s="134">
        <f>C374/C360*100</f>
        <v>237.76223776223776</v>
      </c>
      <c r="E374" s="134"/>
      <c r="F374" s="134"/>
      <c r="G374" s="181">
        <f>20400000</f>
        <v>20400000</v>
      </c>
      <c r="H374" s="134"/>
      <c r="I374" s="134"/>
      <c r="J374" s="6">
        <f t="shared" si="136"/>
        <v>0</v>
      </c>
      <c r="K374" s="10"/>
    </row>
    <row r="375" spans="1:14" x14ac:dyDescent="0.25">
      <c r="A375" s="745" t="s">
        <v>275</v>
      </c>
      <c r="B375" s="316" t="s">
        <v>543</v>
      </c>
      <c r="C375" s="263">
        <v>5000000</v>
      </c>
      <c r="D375" s="134"/>
      <c r="E375" s="134"/>
      <c r="F375" s="134"/>
      <c r="G375" s="181">
        <f>5000000</f>
        <v>5000000</v>
      </c>
      <c r="H375" s="134"/>
      <c r="I375" s="134"/>
      <c r="J375" s="6">
        <f t="shared" si="136"/>
        <v>0</v>
      </c>
      <c r="K375" s="10"/>
    </row>
    <row r="376" spans="1:14" x14ac:dyDescent="0.25">
      <c r="A376" s="1152" t="s">
        <v>95</v>
      </c>
      <c r="B376" s="1154"/>
      <c r="C376" s="822">
        <f>SUM(C360:C375)</f>
        <v>185000000</v>
      </c>
      <c r="D376" s="12">
        <f>SUM(D360:D368)</f>
        <v>61.695027027027024</v>
      </c>
      <c r="E376" s="134"/>
      <c r="F376" s="134"/>
      <c r="G376" s="837">
        <f>SUM(G360:G375)</f>
        <v>149422360</v>
      </c>
      <c r="H376" s="134"/>
      <c r="I376" s="134"/>
      <c r="J376" s="56">
        <v>0</v>
      </c>
      <c r="K376" s="3">
        <v>0</v>
      </c>
    </row>
    <row r="377" spans="1:14" x14ac:dyDescent="0.25">
      <c r="A377" s="5"/>
      <c r="B377" s="5"/>
      <c r="C377" s="5"/>
      <c r="D377" s="29"/>
      <c r="E377" s="30"/>
      <c r="F377" s="31"/>
      <c r="G377" s="36"/>
      <c r="H377" s="32"/>
      <c r="I377" s="31"/>
      <c r="J377" s="36"/>
      <c r="K377" s="37"/>
    </row>
    <row r="378" spans="1:14" ht="31.5" x14ac:dyDescent="0.25">
      <c r="A378" s="55"/>
      <c r="B378" s="46" t="s">
        <v>145</v>
      </c>
      <c r="C378" s="155"/>
      <c r="D378" s="44"/>
      <c r="E378" s="45"/>
      <c r="F378" s="45"/>
      <c r="G378" s="48"/>
      <c r="H378" s="45"/>
      <c r="I378" s="45"/>
      <c r="J378" s="44"/>
      <c r="K378" s="44"/>
      <c r="L378" s="1"/>
      <c r="M378" s="1"/>
      <c r="N378" s="1"/>
    </row>
    <row r="379" spans="1:14" x14ac:dyDescent="0.25">
      <c r="A379" s="1133" t="s">
        <v>2</v>
      </c>
      <c r="B379" s="1134" t="s">
        <v>175</v>
      </c>
      <c r="C379" s="1133" t="s">
        <v>4</v>
      </c>
      <c r="D379" s="1135" t="s">
        <v>5</v>
      </c>
      <c r="E379" s="1136"/>
      <c r="F379" s="1136"/>
      <c r="G379" s="1137" t="s">
        <v>6</v>
      </c>
      <c r="H379" s="1136"/>
      <c r="I379" s="1136"/>
      <c r="J379" s="1133" t="s">
        <v>7</v>
      </c>
      <c r="K379" s="198" t="s">
        <v>8</v>
      </c>
    </row>
    <row r="380" spans="1:14" x14ac:dyDescent="0.25">
      <c r="A380" s="1133"/>
      <c r="B380" s="1134"/>
      <c r="C380" s="1133"/>
      <c r="D380" s="198" t="s">
        <v>9</v>
      </c>
      <c r="E380" s="310" t="s">
        <v>10</v>
      </c>
      <c r="F380" s="310" t="s">
        <v>11</v>
      </c>
      <c r="G380" s="311" t="s">
        <v>12</v>
      </c>
      <c r="H380" s="310" t="s">
        <v>13</v>
      </c>
      <c r="I380" s="310" t="s">
        <v>11</v>
      </c>
      <c r="J380" s="1138"/>
      <c r="K380" s="192"/>
    </row>
    <row r="381" spans="1:14" x14ac:dyDescent="0.25">
      <c r="A381" s="1133"/>
      <c r="B381" s="1134"/>
      <c r="C381" s="1133"/>
      <c r="D381" s="197" t="s">
        <v>14</v>
      </c>
      <c r="E381" s="195" t="s">
        <v>14</v>
      </c>
      <c r="F381" s="195" t="s">
        <v>14</v>
      </c>
      <c r="G381" s="196" t="s">
        <v>15</v>
      </c>
      <c r="H381" s="195" t="s">
        <v>14</v>
      </c>
      <c r="I381" s="195" t="s">
        <v>14</v>
      </c>
      <c r="J381" s="197" t="s">
        <v>15</v>
      </c>
      <c r="K381" s="197"/>
    </row>
    <row r="382" spans="1:14" x14ac:dyDescent="0.25">
      <c r="A382" s="79" t="s">
        <v>185</v>
      </c>
      <c r="B382" s="199" t="s">
        <v>146</v>
      </c>
      <c r="C382" s="24"/>
      <c r="D382" s="10"/>
      <c r="E382" s="34"/>
      <c r="F382" s="34"/>
      <c r="G382" s="6"/>
      <c r="H382" s="34"/>
      <c r="I382" s="34"/>
      <c r="J382" s="10"/>
      <c r="K382" s="10"/>
    </row>
    <row r="383" spans="1:14" x14ac:dyDescent="0.25">
      <c r="A383" s="125" t="s">
        <v>184</v>
      </c>
      <c r="B383" s="280" t="s">
        <v>147</v>
      </c>
      <c r="C383" s="252">
        <f>SUM(C384:C385)</f>
        <v>1430900000</v>
      </c>
      <c r="D383" s="10"/>
      <c r="E383" s="34"/>
      <c r="F383" s="34"/>
      <c r="G383" s="6"/>
      <c r="H383" s="34"/>
      <c r="I383" s="34"/>
      <c r="J383" s="10"/>
      <c r="K383" s="10"/>
    </row>
    <row r="384" spans="1:14" ht="25.5" x14ac:dyDescent="0.25">
      <c r="A384" s="154" t="s">
        <v>44</v>
      </c>
      <c r="B384" s="707" t="s">
        <v>384</v>
      </c>
      <c r="C384" s="253">
        <v>30900000</v>
      </c>
      <c r="D384" s="134">
        <f>C384/C383*100</f>
        <v>2.1594800475225382</v>
      </c>
      <c r="E384" s="134">
        <f t="shared" ref="E384:E385" si="137">G384/C384*100</f>
        <v>50</v>
      </c>
      <c r="F384" s="134">
        <f t="shared" ref="F384:F385" si="138">(D384*E384)/100</f>
        <v>1.0797400237612691</v>
      </c>
      <c r="G384" s="181">
        <f>15450000</f>
        <v>15450000</v>
      </c>
      <c r="H384" s="134">
        <f t="shared" ref="H384:H385" si="139">G384/C384*100</f>
        <v>50</v>
      </c>
      <c r="I384" s="134">
        <f t="shared" ref="I384:I385" si="140">(D384*H384)/100</f>
        <v>1.0797400237612691</v>
      </c>
      <c r="J384" s="6">
        <f t="shared" ref="J384:J385" si="141">G384-C384</f>
        <v>-15450000</v>
      </c>
      <c r="K384" s="10"/>
    </row>
    <row r="385" spans="1:11" x14ac:dyDescent="0.25">
      <c r="A385" s="124" t="s">
        <v>148</v>
      </c>
      <c r="B385" s="133" t="s">
        <v>534</v>
      </c>
      <c r="C385" s="256">
        <v>1400000000</v>
      </c>
      <c r="D385" s="134">
        <f>C385/C383*100</f>
        <v>97.840519952477464</v>
      </c>
      <c r="E385" s="134">
        <f t="shared" si="137"/>
        <v>99.555000000000007</v>
      </c>
      <c r="F385" s="134">
        <f t="shared" si="138"/>
        <v>97.405129638688948</v>
      </c>
      <c r="G385" s="181">
        <f>425559463+968210537</f>
        <v>1393770000</v>
      </c>
      <c r="H385" s="134">
        <f t="shared" si="139"/>
        <v>99.555000000000007</v>
      </c>
      <c r="I385" s="134">
        <f t="shared" si="140"/>
        <v>97.405129638688948</v>
      </c>
      <c r="J385" s="6">
        <f t="shared" si="141"/>
        <v>-6230000</v>
      </c>
      <c r="K385" s="10"/>
    </row>
    <row r="386" spans="1:11" x14ac:dyDescent="0.25">
      <c r="A386" s="70"/>
      <c r="B386" s="129" t="s">
        <v>95</v>
      </c>
      <c r="C386" s="807">
        <f>SUM(C384:C385)</f>
        <v>1430900000</v>
      </c>
      <c r="D386" s="271">
        <f>SUM(D384:D385)</f>
        <v>100</v>
      </c>
      <c r="E386" s="134"/>
      <c r="F386" s="134"/>
      <c r="G386" s="181">
        <f>SUM(G384:G385)</f>
        <v>1409220000</v>
      </c>
      <c r="H386" s="134"/>
      <c r="I386" s="134"/>
      <c r="J386" s="56">
        <v>0</v>
      </c>
      <c r="K386" s="130"/>
    </row>
    <row r="387" spans="1:11" x14ac:dyDescent="0.25">
      <c r="A387" s="5"/>
      <c r="B387" s="5"/>
      <c r="C387" s="5"/>
      <c r="D387" s="29"/>
      <c r="E387" s="30"/>
      <c r="F387" s="31"/>
      <c r="G387" s="36"/>
      <c r="H387" s="32"/>
      <c r="I387" s="31"/>
      <c r="J387" s="36"/>
      <c r="K387" s="37"/>
    </row>
    <row r="388" spans="1:11" x14ac:dyDescent="0.25">
      <c r="A388" s="1133" t="s">
        <v>2</v>
      </c>
      <c r="B388" s="1134" t="s">
        <v>175</v>
      </c>
      <c r="C388" s="1133" t="s">
        <v>4</v>
      </c>
      <c r="D388" s="1135" t="s">
        <v>5</v>
      </c>
      <c r="E388" s="1136"/>
      <c r="F388" s="1136"/>
      <c r="G388" s="1137" t="s">
        <v>6</v>
      </c>
      <c r="H388" s="1136"/>
      <c r="I388" s="1136"/>
      <c r="J388" s="1133" t="s">
        <v>7</v>
      </c>
      <c r="K388" s="198" t="s">
        <v>8</v>
      </c>
    </row>
    <row r="389" spans="1:11" x14ac:dyDescent="0.25">
      <c r="A389" s="1133"/>
      <c r="B389" s="1134"/>
      <c r="C389" s="1133"/>
      <c r="D389" s="198" t="s">
        <v>9</v>
      </c>
      <c r="E389" s="310" t="s">
        <v>10</v>
      </c>
      <c r="F389" s="310" t="s">
        <v>11</v>
      </c>
      <c r="G389" s="311" t="s">
        <v>12</v>
      </c>
      <c r="H389" s="310" t="s">
        <v>13</v>
      </c>
      <c r="I389" s="310" t="s">
        <v>11</v>
      </c>
      <c r="J389" s="1138"/>
      <c r="K389" s="192"/>
    </row>
    <row r="390" spans="1:11" x14ac:dyDescent="0.25">
      <c r="A390" s="1133"/>
      <c r="B390" s="1134"/>
      <c r="C390" s="1133"/>
      <c r="D390" s="197" t="s">
        <v>14</v>
      </c>
      <c r="E390" s="195" t="s">
        <v>14</v>
      </c>
      <c r="F390" s="195" t="s">
        <v>14</v>
      </c>
      <c r="G390" s="196" t="s">
        <v>15</v>
      </c>
      <c r="H390" s="195" t="s">
        <v>14</v>
      </c>
      <c r="I390" s="195" t="s">
        <v>14</v>
      </c>
      <c r="J390" s="197" t="s">
        <v>15</v>
      </c>
      <c r="K390" s="197"/>
    </row>
    <row r="391" spans="1:11" x14ac:dyDescent="0.25">
      <c r="A391" s="79" t="s">
        <v>185</v>
      </c>
      <c r="B391" s="199" t="s">
        <v>146</v>
      </c>
      <c r="C391" s="24"/>
      <c r="D391" s="10"/>
      <c r="E391" s="34"/>
      <c r="F391" s="34"/>
      <c r="G391" s="6"/>
      <c r="H391" s="34"/>
      <c r="I391" s="34"/>
      <c r="J391" s="10"/>
      <c r="K391" s="10"/>
    </row>
    <row r="392" spans="1:11" x14ac:dyDescent="0.25">
      <c r="A392" s="125" t="s">
        <v>187</v>
      </c>
      <c r="B392" s="280" t="s">
        <v>156</v>
      </c>
      <c r="C392" s="252">
        <f>SUM(C393:C396)</f>
        <v>870474720</v>
      </c>
      <c r="D392" s="10"/>
      <c r="E392" s="14"/>
      <c r="F392" s="34"/>
      <c r="G392" s="6"/>
      <c r="H392" s="34"/>
      <c r="I392" s="34"/>
      <c r="J392" s="35"/>
      <c r="K392" s="10"/>
    </row>
    <row r="393" spans="1:11" ht="25.5" x14ac:dyDescent="0.25">
      <c r="A393" s="49" t="s">
        <v>59</v>
      </c>
      <c r="B393" s="707" t="s">
        <v>384</v>
      </c>
      <c r="C393" s="256">
        <v>26160000</v>
      </c>
      <c r="D393" s="34">
        <f>C393/C392*100</f>
        <v>3.0052567178516112</v>
      </c>
      <c r="E393" s="134">
        <f t="shared" ref="E393:E395" si="142">G393/C393*100</f>
        <v>50</v>
      </c>
      <c r="F393" s="134">
        <f t="shared" ref="F393:F395" si="143">(D393*E393)/100</f>
        <v>1.5026283589258056</v>
      </c>
      <c r="G393" s="181">
        <f>13080000</f>
        <v>13080000</v>
      </c>
      <c r="H393" s="134">
        <f t="shared" ref="H393:H395" si="144">G393/C393*100</f>
        <v>50</v>
      </c>
      <c r="I393" s="134">
        <f t="shared" ref="I393:I395" si="145">(D393*H393)/100</f>
        <v>1.5026283589258056</v>
      </c>
      <c r="J393" s="6">
        <f t="shared" ref="J393:J396" si="146">G393-C393</f>
        <v>-13080000</v>
      </c>
      <c r="K393" s="10"/>
    </row>
    <row r="394" spans="1:11" x14ac:dyDescent="0.25">
      <c r="A394" s="49" t="s">
        <v>148</v>
      </c>
      <c r="B394" s="133" t="s">
        <v>534</v>
      </c>
      <c r="C394" s="264">
        <v>600000000</v>
      </c>
      <c r="D394" s="134">
        <f>C394/C392*100</f>
        <v>68.927906372743365</v>
      </c>
      <c r="E394" s="134">
        <f t="shared" si="142"/>
        <v>77.332033333333342</v>
      </c>
      <c r="F394" s="134">
        <f t="shared" si="143"/>
        <v>53.303351532138691</v>
      </c>
      <c r="G394" s="181">
        <f>451742200+12250000</f>
        <v>463992200</v>
      </c>
      <c r="H394" s="134">
        <f t="shared" si="144"/>
        <v>77.332033333333342</v>
      </c>
      <c r="I394" s="134">
        <f t="shared" si="145"/>
        <v>53.303351532138691</v>
      </c>
      <c r="J394" s="6">
        <f t="shared" si="146"/>
        <v>-136007800</v>
      </c>
      <c r="K394" s="3"/>
    </row>
    <row r="395" spans="1:11" s="84" customFormat="1" ht="25.5" x14ac:dyDescent="0.2">
      <c r="A395" s="723" t="s">
        <v>152</v>
      </c>
      <c r="B395" s="133" t="s">
        <v>153</v>
      </c>
      <c r="C395" s="264">
        <v>240000000</v>
      </c>
      <c r="D395" s="134">
        <f>C395/C392*100</f>
        <v>27.571162549097352</v>
      </c>
      <c r="E395" s="134">
        <f t="shared" si="142"/>
        <v>66.666666666666657</v>
      </c>
      <c r="F395" s="134">
        <f t="shared" si="143"/>
        <v>18.380775032731563</v>
      </c>
      <c r="G395" s="181">
        <f>160000000</f>
        <v>160000000</v>
      </c>
      <c r="H395" s="134">
        <f t="shared" si="144"/>
        <v>66.666666666666657</v>
      </c>
      <c r="I395" s="134">
        <f t="shared" si="145"/>
        <v>18.380775032731563</v>
      </c>
      <c r="J395" s="6">
        <f t="shared" si="146"/>
        <v>-80000000</v>
      </c>
      <c r="K395" s="85"/>
    </row>
    <row r="396" spans="1:11" s="84" customFormat="1" x14ac:dyDescent="0.2">
      <c r="A396" s="749" t="s">
        <v>234</v>
      </c>
      <c r="B396" s="133" t="s">
        <v>522</v>
      </c>
      <c r="C396" s="264">
        <v>4314720</v>
      </c>
      <c r="D396" s="804"/>
      <c r="E396" s="134"/>
      <c r="F396" s="134"/>
      <c r="G396" s="181">
        <f>4314720</f>
        <v>4314720</v>
      </c>
      <c r="H396" s="134"/>
      <c r="I396" s="134"/>
      <c r="J396" s="6">
        <f t="shared" si="146"/>
        <v>0</v>
      </c>
      <c r="K396" s="823"/>
    </row>
    <row r="397" spans="1:11" x14ac:dyDescent="0.25">
      <c r="A397" s="73"/>
      <c r="B397" s="136" t="s">
        <v>154</v>
      </c>
      <c r="C397" s="824">
        <f>SUM(C393:C396)</f>
        <v>870474720</v>
      </c>
      <c r="D397" s="272">
        <f>SUM(D393:D395)</f>
        <v>99.504325639692325</v>
      </c>
      <c r="E397" s="134"/>
      <c r="F397" s="134"/>
      <c r="G397" s="181">
        <f>SUM(G393:G396)</f>
        <v>641386920</v>
      </c>
      <c r="H397" s="134"/>
      <c r="I397" s="134"/>
      <c r="J397" s="56">
        <v>0</v>
      </c>
      <c r="K397" s="40"/>
    </row>
    <row r="398" spans="1:11" x14ac:dyDescent="0.25">
      <c r="A398" s="50"/>
      <c r="B398" s="5"/>
      <c r="C398" s="50" t="s">
        <v>141</v>
      </c>
      <c r="D398" s="9"/>
      <c r="E398" s="23"/>
      <c r="F398" s="23"/>
      <c r="G398" s="11"/>
      <c r="H398" s="23"/>
      <c r="I398" s="23"/>
      <c r="J398" s="9"/>
      <c r="K398" s="9"/>
    </row>
    <row r="399" spans="1:11" x14ac:dyDescent="0.25">
      <c r="A399" s="50"/>
      <c r="B399" s="5"/>
      <c r="C399" s="50"/>
      <c r="D399" s="9"/>
      <c r="E399" s="23"/>
      <c r="F399" s="23"/>
      <c r="G399" s="11"/>
      <c r="H399" s="23"/>
      <c r="I399" s="23"/>
      <c r="J399" s="9"/>
      <c r="K399" s="9"/>
    </row>
    <row r="400" spans="1:11" x14ac:dyDescent="0.25">
      <c r="A400" s="1123" t="s">
        <v>2</v>
      </c>
      <c r="B400" s="1126" t="s">
        <v>171</v>
      </c>
      <c r="C400" s="1123" t="s">
        <v>4</v>
      </c>
      <c r="D400" s="1155" t="s">
        <v>5</v>
      </c>
      <c r="E400" s="1156"/>
      <c r="F400" s="1157"/>
      <c r="G400" s="1158" t="s">
        <v>6</v>
      </c>
      <c r="H400" s="1159"/>
      <c r="I400" s="1160"/>
      <c r="J400" s="1123" t="s">
        <v>7</v>
      </c>
      <c r="K400" s="289" t="s">
        <v>8</v>
      </c>
    </row>
    <row r="401" spans="1:14" x14ac:dyDescent="0.25">
      <c r="A401" s="1124"/>
      <c r="B401" s="1127"/>
      <c r="C401" s="1124"/>
      <c r="D401" s="289" t="s">
        <v>9</v>
      </c>
      <c r="E401" s="308" t="s">
        <v>10</v>
      </c>
      <c r="F401" s="308" t="s">
        <v>11</v>
      </c>
      <c r="G401" s="309" t="s">
        <v>12</v>
      </c>
      <c r="H401" s="308" t="s">
        <v>13</v>
      </c>
      <c r="I401" s="308" t="s">
        <v>11</v>
      </c>
      <c r="J401" s="1124"/>
      <c r="K401" s="115"/>
    </row>
    <row r="402" spans="1:14" x14ac:dyDescent="0.25">
      <c r="A402" s="1125"/>
      <c r="B402" s="1128"/>
      <c r="C402" s="1125"/>
      <c r="D402" s="118" t="s">
        <v>14</v>
      </c>
      <c r="E402" s="119" t="s">
        <v>14</v>
      </c>
      <c r="F402" s="119" t="s">
        <v>14</v>
      </c>
      <c r="G402" s="120" t="s">
        <v>15</v>
      </c>
      <c r="H402" s="119" t="s">
        <v>14</v>
      </c>
      <c r="I402" s="119" t="s">
        <v>14</v>
      </c>
      <c r="J402" s="118" t="s">
        <v>15</v>
      </c>
      <c r="K402" s="118"/>
    </row>
    <row r="403" spans="1:14" ht="25.5" x14ac:dyDescent="0.25">
      <c r="A403" s="79" t="s">
        <v>180</v>
      </c>
      <c r="B403" s="696" t="s">
        <v>379</v>
      </c>
      <c r="C403" s="128"/>
      <c r="D403" s="10"/>
      <c r="E403" s="34"/>
      <c r="F403" s="34"/>
      <c r="G403" s="6"/>
      <c r="H403" s="34"/>
      <c r="I403" s="34"/>
      <c r="J403" s="10"/>
      <c r="K403" s="10"/>
    </row>
    <row r="404" spans="1:14" ht="25.5" x14ac:dyDescent="0.25">
      <c r="A404" s="158" t="s">
        <v>181</v>
      </c>
      <c r="B404" s="697" t="s">
        <v>380</v>
      </c>
      <c r="C404" s="265">
        <f>SUM(C405:C416)</f>
        <v>185000000</v>
      </c>
      <c r="D404" s="10"/>
      <c r="E404" s="34"/>
      <c r="F404" s="34"/>
      <c r="G404" s="6"/>
      <c r="H404" s="34"/>
      <c r="I404" s="34"/>
      <c r="J404" s="10"/>
      <c r="K404" s="10"/>
    </row>
    <row r="405" spans="1:14" ht="25.5" x14ac:dyDescent="0.25">
      <c r="A405" s="74" t="s">
        <v>44</v>
      </c>
      <c r="B405" s="707" t="s">
        <v>384</v>
      </c>
      <c r="C405" s="266">
        <v>8580000</v>
      </c>
      <c r="D405" s="134">
        <f>C405/C404*100</f>
        <v>4.6378378378378375</v>
      </c>
      <c r="E405" s="134">
        <f t="shared" ref="E405:E413" si="147">G405/C405*100</f>
        <v>100</v>
      </c>
      <c r="F405" s="134">
        <f t="shared" ref="F405:F413" si="148">(D405*E405)/100</f>
        <v>4.6378378378378375</v>
      </c>
      <c r="G405" s="181">
        <f>8580000</f>
        <v>8580000</v>
      </c>
      <c r="H405" s="134">
        <f t="shared" ref="H405:H413" si="149">G405/C405*100</f>
        <v>100</v>
      </c>
      <c r="I405" s="134">
        <f t="shared" ref="I405:I413" si="150">(D405*H405)/100</f>
        <v>4.6378378378378375</v>
      </c>
      <c r="J405" s="6">
        <f t="shared" ref="J405:J416" si="151">G405-C405</f>
        <v>0</v>
      </c>
      <c r="K405" s="10"/>
      <c r="L405" s="1"/>
      <c r="M405" s="1"/>
      <c r="N405" s="25"/>
    </row>
    <row r="406" spans="1:14" x14ac:dyDescent="0.25">
      <c r="A406" s="74" t="s">
        <v>59</v>
      </c>
      <c r="B406" s="707" t="s">
        <v>197</v>
      </c>
      <c r="C406" s="266">
        <v>12180000</v>
      </c>
      <c r="D406" s="134">
        <f>C406/C404*100</f>
        <v>6.583783783783784</v>
      </c>
      <c r="E406" s="134">
        <f t="shared" si="147"/>
        <v>53.362479474548444</v>
      </c>
      <c r="F406" s="134">
        <f t="shared" si="148"/>
        <v>3.5132702702702705</v>
      </c>
      <c r="G406" s="181">
        <f>6499550</f>
        <v>6499550</v>
      </c>
      <c r="H406" s="134">
        <f t="shared" si="149"/>
        <v>53.362479474548444</v>
      </c>
      <c r="I406" s="134">
        <f t="shared" si="150"/>
        <v>3.5132702702702705</v>
      </c>
      <c r="J406" s="6">
        <f t="shared" si="151"/>
        <v>-5680450</v>
      </c>
      <c r="K406" s="10"/>
      <c r="L406" s="1"/>
      <c r="M406" s="1"/>
      <c r="N406" s="1"/>
    </row>
    <row r="407" spans="1:14" x14ac:dyDescent="0.25">
      <c r="A407" s="74" t="s">
        <v>62</v>
      </c>
      <c r="B407" s="707" t="s">
        <v>334</v>
      </c>
      <c r="C407" s="266">
        <v>9590000</v>
      </c>
      <c r="D407" s="134">
        <f>C407/C404*100</f>
        <v>5.1837837837837837</v>
      </c>
      <c r="E407" s="134">
        <f t="shared" si="147"/>
        <v>40.667361835245046</v>
      </c>
      <c r="F407" s="134">
        <f t="shared" si="148"/>
        <v>2.1081081081081079</v>
      </c>
      <c r="G407" s="181">
        <f>3900000</f>
        <v>3900000</v>
      </c>
      <c r="H407" s="134">
        <f t="shared" si="149"/>
        <v>40.667361835245046</v>
      </c>
      <c r="I407" s="134">
        <f t="shared" si="150"/>
        <v>2.1081081081081079</v>
      </c>
      <c r="J407" s="6">
        <f t="shared" si="151"/>
        <v>-5690000</v>
      </c>
      <c r="K407" s="10"/>
      <c r="L407" s="1"/>
      <c r="M407" s="1"/>
      <c r="N407" s="1"/>
    </row>
    <row r="408" spans="1:14" ht="25.5" x14ac:dyDescent="0.25">
      <c r="A408" s="49" t="s">
        <v>193</v>
      </c>
      <c r="B408" s="707" t="s">
        <v>537</v>
      </c>
      <c r="C408" s="266">
        <v>5250000</v>
      </c>
      <c r="D408" s="134"/>
      <c r="E408" s="134"/>
      <c r="F408" s="134"/>
      <c r="G408" s="181">
        <f>5250000</f>
        <v>5250000</v>
      </c>
      <c r="H408" s="134"/>
      <c r="I408" s="134"/>
      <c r="J408" s="6">
        <f t="shared" si="151"/>
        <v>0</v>
      </c>
      <c r="K408" s="10"/>
      <c r="L408" s="1"/>
      <c r="M408" s="1"/>
      <c r="N408" s="1"/>
    </row>
    <row r="409" spans="1:14" x14ac:dyDescent="0.25">
      <c r="A409" s="49" t="s">
        <v>148</v>
      </c>
      <c r="B409" s="133" t="s">
        <v>534</v>
      </c>
      <c r="C409" s="266">
        <v>8000000</v>
      </c>
      <c r="D409" s="134"/>
      <c r="E409" s="134"/>
      <c r="F409" s="134"/>
      <c r="G409" s="181">
        <f>8000000</f>
        <v>8000000</v>
      </c>
      <c r="H409" s="134"/>
      <c r="I409" s="134"/>
      <c r="J409" s="6">
        <f t="shared" si="151"/>
        <v>0</v>
      </c>
      <c r="K409" s="10"/>
      <c r="L409" s="1"/>
      <c r="M409" s="1"/>
      <c r="N409" s="1"/>
    </row>
    <row r="410" spans="1:14" x14ac:dyDescent="0.25">
      <c r="A410" s="74" t="s">
        <v>77</v>
      </c>
      <c r="B410" s="49" t="s">
        <v>143</v>
      </c>
      <c r="C410" s="266">
        <v>69700000</v>
      </c>
      <c r="D410" s="134">
        <f>C410/C404*100</f>
        <v>37.675675675675677</v>
      </c>
      <c r="E410" s="134">
        <f t="shared" si="147"/>
        <v>67.137733142037305</v>
      </c>
      <c r="F410" s="134">
        <f t="shared" si="148"/>
        <v>25.294594594594596</v>
      </c>
      <c r="G410" s="181">
        <f>46795000</f>
        <v>46795000</v>
      </c>
      <c r="H410" s="134">
        <f t="shared" si="149"/>
        <v>67.137733142037305</v>
      </c>
      <c r="I410" s="134">
        <f t="shared" si="150"/>
        <v>25.294594594594596</v>
      </c>
      <c r="J410" s="6">
        <f t="shared" si="151"/>
        <v>-22905000</v>
      </c>
      <c r="K410" s="10"/>
      <c r="L410" s="1"/>
      <c r="M410" s="1"/>
      <c r="N410" s="1"/>
    </row>
    <row r="411" spans="1:14" x14ac:dyDescent="0.25">
      <c r="A411" s="314" t="s">
        <v>183</v>
      </c>
      <c r="B411" s="49" t="s">
        <v>417</v>
      </c>
      <c r="C411" s="266">
        <v>14400000</v>
      </c>
      <c r="D411" s="134"/>
      <c r="E411" s="134"/>
      <c r="F411" s="134"/>
      <c r="G411" s="181">
        <f>4600000</f>
        <v>4600000</v>
      </c>
      <c r="H411" s="134"/>
      <c r="I411" s="134"/>
      <c r="J411" s="6">
        <f t="shared" si="151"/>
        <v>-9800000</v>
      </c>
      <c r="K411" s="10"/>
      <c r="L411" s="1"/>
      <c r="M411" s="1"/>
      <c r="N411" s="1"/>
    </row>
    <row r="412" spans="1:14" x14ac:dyDescent="0.25">
      <c r="A412" s="74" t="s">
        <v>186</v>
      </c>
      <c r="B412" s="170" t="s">
        <v>182</v>
      </c>
      <c r="C412" s="266">
        <v>31000000</v>
      </c>
      <c r="D412" s="134">
        <f>C412/C404*100</f>
        <v>16.756756756756758</v>
      </c>
      <c r="E412" s="134">
        <f t="shared" si="147"/>
        <v>100</v>
      </c>
      <c r="F412" s="134">
        <f t="shared" si="148"/>
        <v>16.756756756756758</v>
      </c>
      <c r="G412" s="181">
        <f>31000000</f>
        <v>31000000</v>
      </c>
      <c r="H412" s="134">
        <f t="shared" si="149"/>
        <v>100</v>
      </c>
      <c r="I412" s="134">
        <f t="shared" si="150"/>
        <v>16.756756756756758</v>
      </c>
      <c r="J412" s="6">
        <f t="shared" si="151"/>
        <v>0</v>
      </c>
      <c r="K412" s="10"/>
      <c r="L412" s="1"/>
      <c r="M412" s="1"/>
      <c r="N412" s="1"/>
    </row>
    <row r="413" spans="1:14" ht="25.5" x14ac:dyDescent="0.25">
      <c r="A413" s="74" t="s">
        <v>106</v>
      </c>
      <c r="B413" s="316" t="s">
        <v>375</v>
      </c>
      <c r="C413" s="266">
        <v>15300000</v>
      </c>
      <c r="D413" s="134">
        <f>C413/C404*100</f>
        <v>8.2702702702702702</v>
      </c>
      <c r="E413" s="134">
        <f t="shared" si="147"/>
        <v>86.928104575163403</v>
      </c>
      <c r="F413" s="134">
        <f t="shared" si="148"/>
        <v>7.1891891891891895</v>
      </c>
      <c r="G413" s="181">
        <f>13300000</f>
        <v>13300000</v>
      </c>
      <c r="H413" s="134">
        <f t="shared" si="149"/>
        <v>86.928104575163403</v>
      </c>
      <c r="I413" s="134">
        <f t="shared" si="150"/>
        <v>7.1891891891891895</v>
      </c>
      <c r="J413" s="6">
        <f t="shared" si="151"/>
        <v>-2000000</v>
      </c>
      <c r="K413" s="10"/>
      <c r="L413" s="1"/>
      <c r="M413" s="1"/>
      <c r="N413" s="1"/>
    </row>
    <row r="414" spans="1:14" x14ac:dyDescent="0.25">
      <c r="A414" s="755" t="s">
        <v>116</v>
      </c>
      <c r="B414" s="316" t="s">
        <v>538</v>
      </c>
      <c r="C414" s="266">
        <v>2000000</v>
      </c>
      <c r="D414" s="134">
        <f>C414/C405*100</f>
        <v>23.310023310023308</v>
      </c>
      <c r="E414" s="134"/>
      <c r="F414" s="134"/>
      <c r="G414" s="181">
        <f>2000000</f>
        <v>2000000</v>
      </c>
      <c r="H414" s="134"/>
      <c r="I414" s="134"/>
      <c r="J414" s="6">
        <f t="shared" si="151"/>
        <v>0</v>
      </c>
      <c r="K414" s="10"/>
      <c r="L414" s="1"/>
      <c r="M414" s="1"/>
      <c r="N414" s="1"/>
    </row>
    <row r="415" spans="1:14" x14ac:dyDescent="0.25">
      <c r="A415" s="755" t="s">
        <v>521</v>
      </c>
      <c r="B415" s="316" t="s">
        <v>539</v>
      </c>
      <c r="C415" s="266">
        <v>2000000</v>
      </c>
      <c r="D415" s="134"/>
      <c r="E415" s="134"/>
      <c r="F415" s="134"/>
      <c r="G415" s="181">
        <f>2000000</f>
        <v>2000000</v>
      </c>
      <c r="H415" s="134"/>
      <c r="I415" s="134"/>
      <c r="J415" s="6">
        <f t="shared" si="151"/>
        <v>0</v>
      </c>
      <c r="K415" s="10"/>
      <c r="L415" s="1"/>
      <c r="M415" s="1"/>
      <c r="N415" s="1"/>
    </row>
    <row r="416" spans="1:14" x14ac:dyDescent="0.25">
      <c r="A416" s="755" t="s">
        <v>65</v>
      </c>
      <c r="B416" s="316" t="s">
        <v>190</v>
      </c>
      <c r="C416" s="266">
        <v>7000000</v>
      </c>
      <c r="D416" s="134"/>
      <c r="E416" s="134"/>
      <c r="F416" s="134"/>
      <c r="G416" s="181">
        <f>6932360</f>
        <v>6932360</v>
      </c>
      <c r="H416" s="134"/>
      <c r="I416" s="134"/>
      <c r="J416" s="6">
        <f t="shared" si="151"/>
        <v>-67640</v>
      </c>
      <c r="K416" s="10"/>
      <c r="L416" s="1"/>
      <c r="M416" s="1"/>
      <c r="N416" s="1"/>
    </row>
    <row r="417" spans="1:14" x14ac:dyDescent="0.25">
      <c r="A417" s="1152" t="s">
        <v>128</v>
      </c>
      <c r="B417" s="1154"/>
      <c r="C417" s="57">
        <f>SUM(C405:C416)</f>
        <v>185000000</v>
      </c>
      <c r="D417" s="273">
        <f>SUM(D405:D413)</f>
        <v>79.108108108108112</v>
      </c>
      <c r="E417" s="134"/>
      <c r="F417" s="134"/>
      <c r="G417" s="13">
        <f>SUM(G405:G416)</f>
        <v>138856910</v>
      </c>
      <c r="H417" s="134"/>
      <c r="I417" s="134"/>
      <c r="J417" s="56">
        <v>0</v>
      </c>
      <c r="K417" s="12"/>
      <c r="L417" s="9"/>
      <c r="M417" s="9"/>
      <c r="N417" s="9"/>
    </row>
    <row r="418" spans="1:14" x14ac:dyDescent="0.25">
      <c r="A418" s="5"/>
      <c r="B418" s="5"/>
      <c r="C418" s="65"/>
      <c r="D418" s="66"/>
      <c r="E418" s="30"/>
      <c r="F418" s="31"/>
      <c r="G418" s="36"/>
      <c r="H418" s="30"/>
      <c r="I418" s="31"/>
      <c r="J418" s="33"/>
      <c r="K418" s="29"/>
      <c r="L418" s="9"/>
      <c r="M418" s="9"/>
      <c r="N418" s="9"/>
    </row>
    <row r="419" spans="1:14" ht="31.5" x14ac:dyDescent="0.25">
      <c r="A419" s="55"/>
      <c r="B419" s="46" t="s">
        <v>145</v>
      </c>
      <c r="C419" s="155"/>
      <c r="D419" s="44"/>
      <c r="E419" s="45"/>
      <c r="F419" s="45"/>
      <c r="G419" s="48"/>
      <c r="H419" s="45"/>
      <c r="I419" s="45"/>
      <c r="J419" s="44"/>
      <c r="K419" s="44"/>
      <c r="L419" s="1"/>
      <c r="M419" s="1"/>
      <c r="N419" s="1"/>
    </row>
    <row r="420" spans="1:14" x14ac:dyDescent="0.25">
      <c r="A420" s="1119" t="s">
        <v>2</v>
      </c>
      <c r="B420" s="1120" t="s">
        <v>171</v>
      </c>
      <c r="C420" s="1119" t="s">
        <v>4</v>
      </c>
      <c r="D420" s="1121" t="s">
        <v>5</v>
      </c>
      <c r="E420" s="1132"/>
      <c r="F420" s="1132"/>
      <c r="G420" s="1122" t="s">
        <v>6</v>
      </c>
      <c r="H420" s="1132"/>
      <c r="I420" s="1132"/>
      <c r="J420" s="1119" t="s">
        <v>7</v>
      </c>
      <c r="K420" s="289" t="s">
        <v>8</v>
      </c>
      <c r="L420" s="1"/>
      <c r="M420" s="1"/>
    </row>
    <row r="421" spans="1:14" x14ac:dyDescent="0.25">
      <c r="A421" s="1119"/>
      <c r="B421" s="1120"/>
      <c r="C421" s="1119"/>
      <c r="D421" s="289" t="s">
        <v>9</v>
      </c>
      <c r="E421" s="308" t="s">
        <v>10</v>
      </c>
      <c r="F421" s="308" t="s">
        <v>11</v>
      </c>
      <c r="G421" s="309" t="s">
        <v>12</v>
      </c>
      <c r="H421" s="308" t="s">
        <v>13</v>
      </c>
      <c r="I421" s="308" t="s">
        <v>11</v>
      </c>
      <c r="J421" s="1123"/>
      <c r="K421" s="115"/>
      <c r="L421" s="1"/>
      <c r="M421" s="1"/>
    </row>
    <row r="422" spans="1:14" x14ac:dyDescent="0.25">
      <c r="A422" s="1119"/>
      <c r="B422" s="1120"/>
      <c r="C422" s="1119"/>
      <c r="D422" s="118" t="s">
        <v>14</v>
      </c>
      <c r="E422" s="119" t="s">
        <v>14</v>
      </c>
      <c r="F422" s="119" t="s">
        <v>14</v>
      </c>
      <c r="G422" s="120" t="s">
        <v>15</v>
      </c>
      <c r="H422" s="119" t="s">
        <v>14</v>
      </c>
      <c r="I422" s="119" t="s">
        <v>14</v>
      </c>
      <c r="J422" s="118" t="s">
        <v>15</v>
      </c>
      <c r="K422" s="118"/>
      <c r="L422" s="1"/>
      <c r="M422" s="1"/>
    </row>
    <row r="423" spans="1:14" x14ac:dyDescent="0.25">
      <c r="A423" s="79" t="s">
        <v>185</v>
      </c>
      <c r="B423" s="199" t="s">
        <v>146</v>
      </c>
      <c r="C423" s="24"/>
      <c r="D423" s="10"/>
      <c r="E423" s="34"/>
      <c r="F423" s="34"/>
      <c r="G423" s="6"/>
      <c r="H423" s="34"/>
      <c r="I423" s="34"/>
      <c r="J423" s="10"/>
      <c r="K423" s="10"/>
      <c r="L423" s="1"/>
      <c r="M423" s="25"/>
    </row>
    <row r="424" spans="1:14" x14ac:dyDescent="0.25">
      <c r="A424" s="125" t="s">
        <v>184</v>
      </c>
      <c r="B424" s="280" t="s">
        <v>147</v>
      </c>
      <c r="C424" s="252">
        <f>SUM(C425:C426)</f>
        <v>5850440000</v>
      </c>
      <c r="D424" s="10"/>
      <c r="E424" s="34"/>
      <c r="F424" s="34"/>
      <c r="G424" s="6"/>
      <c r="H424" s="34"/>
      <c r="I424" s="34"/>
      <c r="J424" s="10"/>
      <c r="K424" s="10"/>
      <c r="L424" s="1"/>
      <c r="M424" s="1"/>
    </row>
    <row r="425" spans="1:14" x14ac:dyDescent="0.25">
      <c r="A425" s="154" t="s">
        <v>413</v>
      </c>
      <c r="B425" s="707" t="s">
        <v>414</v>
      </c>
      <c r="C425" s="253">
        <v>40440000</v>
      </c>
      <c r="D425" s="134" t="e">
        <f>C425/#REF!*100</f>
        <v>#REF!</v>
      </c>
      <c r="E425" s="134"/>
      <c r="F425" s="134"/>
      <c r="G425" s="181">
        <v>0</v>
      </c>
      <c r="H425" s="134"/>
      <c r="I425" s="134"/>
      <c r="J425" s="6">
        <f t="shared" ref="J425:J426" si="152">G425-C425</f>
        <v>-40440000</v>
      </c>
      <c r="K425" s="10"/>
      <c r="L425" s="1"/>
      <c r="M425" s="1"/>
    </row>
    <row r="426" spans="1:14" x14ac:dyDescent="0.25">
      <c r="A426" s="124" t="s">
        <v>148</v>
      </c>
      <c r="B426" s="133" t="s">
        <v>534</v>
      </c>
      <c r="C426" s="256">
        <v>5810000000</v>
      </c>
      <c r="D426" s="134">
        <f>C426/C424*100</f>
        <v>99.308769938671276</v>
      </c>
      <c r="E426" s="134">
        <f t="shared" ref="E426" si="153">G426/C426*100</f>
        <v>83.403098106712577</v>
      </c>
      <c r="F426" s="134">
        <f t="shared" ref="F426" si="154">(D426*E426)/100</f>
        <v>82.826590820519485</v>
      </c>
      <c r="G426" s="181">
        <f>1348650000+3497070000</f>
        <v>4845720000</v>
      </c>
      <c r="H426" s="134">
        <f t="shared" ref="H426" si="155">G426/C426*100</f>
        <v>83.403098106712577</v>
      </c>
      <c r="I426" s="134">
        <f t="shared" ref="I426" si="156">(D426*H426)/100</f>
        <v>82.826590820519485</v>
      </c>
      <c r="J426" s="6">
        <f t="shared" si="152"/>
        <v>-964280000</v>
      </c>
      <c r="K426" s="10"/>
      <c r="L426" s="1"/>
      <c r="M426" s="1"/>
    </row>
    <row r="427" spans="1:14" x14ac:dyDescent="0.25">
      <c r="A427" s="72"/>
      <c r="B427" s="136" t="s">
        <v>154</v>
      </c>
      <c r="C427" s="808">
        <f>SUM(C425:C426)</f>
        <v>5850440000</v>
      </c>
      <c r="D427" s="271" t="e">
        <f>SUM(D425:D426)</f>
        <v>#REF!</v>
      </c>
      <c r="E427" s="134"/>
      <c r="F427" s="134"/>
      <c r="G427" s="181">
        <f>SUM(G425:G426)</f>
        <v>4845720000</v>
      </c>
      <c r="H427" s="134"/>
      <c r="I427" s="134"/>
      <c r="J427" s="56">
        <v>0</v>
      </c>
      <c r="K427" s="130"/>
      <c r="L427" s="1"/>
      <c r="M427" s="1"/>
    </row>
    <row r="428" spans="1:14" x14ac:dyDescent="0.25">
      <c r="A428" s="5"/>
      <c r="B428" s="5"/>
      <c r="C428" s="65"/>
      <c r="D428" s="66"/>
      <c r="E428" s="30"/>
      <c r="F428" s="31"/>
      <c r="G428" s="36"/>
      <c r="H428" s="30"/>
      <c r="I428" s="31"/>
      <c r="J428" s="33"/>
      <c r="K428" s="29"/>
      <c r="L428" s="9"/>
      <c r="M428" s="9"/>
      <c r="N428" s="9"/>
    </row>
    <row r="429" spans="1:14" x14ac:dyDescent="0.25">
      <c r="A429" s="1119" t="s">
        <v>2</v>
      </c>
      <c r="B429" s="1120" t="s">
        <v>171</v>
      </c>
      <c r="C429" s="1119" t="s">
        <v>4</v>
      </c>
      <c r="D429" s="1121" t="s">
        <v>5</v>
      </c>
      <c r="E429" s="1132"/>
      <c r="F429" s="1132"/>
      <c r="G429" s="1122" t="s">
        <v>6</v>
      </c>
      <c r="H429" s="1132"/>
      <c r="I429" s="1132"/>
      <c r="J429" s="1119" t="s">
        <v>7</v>
      </c>
      <c r="K429" s="289" t="s">
        <v>8</v>
      </c>
      <c r="L429" s="1"/>
      <c r="M429" s="1"/>
    </row>
    <row r="430" spans="1:14" x14ac:dyDescent="0.25">
      <c r="A430" s="1119"/>
      <c r="B430" s="1120"/>
      <c r="C430" s="1119"/>
      <c r="D430" s="289" t="s">
        <v>9</v>
      </c>
      <c r="E430" s="308" t="s">
        <v>10</v>
      </c>
      <c r="F430" s="308" t="s">
        <v>11</v>
      </c>
      <c r="G430" s="309" t="s">
        <v>12</v>
      </c>
      <c r="H430" s="308" t="s">
        <v>13</v>
      </c>
      <c r="I430" s="308" t="s">
        <v>11</v>
      </c>
      <c r="J430" s="1123"/>
      <c r="K430" s="115"/>
      <c r="L430" s="1"/>
      <c r="M430" s="1"/>
    </row>
    <row r="431" spans="1:14" x14ac:dyDescent="0.25">
      <c r="A431" s="1119"/>
      <c r="B431" s="1120"/>
      <c r="C431" s="1119"/>
      <c r="D431" s="118" t="s">
        <v>14</v>
      </c>
      <c r="E431" s="119" t="s">
        <v>14</v>
      </c>
      <c r="F431" s="119" t="s">
        <v>14</v>
      </c>
      <c r="G431" s="120" t="s">
        <v>15</v>
      </c>
      <c r="H431" s="119" t="s">
        <v>14</v>
      </c>
      <c r="I431" s="119" t="s">
        <v>14</v>
      </c>
      <c r="J431" s="118" t="s">
        <v>15</v>
      </c>
      <c r="K431" s="118"/>
      <c r="L431" s="1"/>
      <c r="M431" s="1"/>
    </row>
    <row r="432" spans="1:14" x14ac:dyDescent="0.25">
      <c r="A432" s="79" t="s">
        <v>185</v>
      </c>
      <c r="B432" s="199" t="s">
        <v>146</v>
      </c>
      <c r="C432" s="24"/>
      <c r="D432" s="10"/>
      <c r="E432" s="34"/>
      <c r="F432" s="34"/>
      <c r="G432" s="6"/>
      <c r="H432" s="34"/>
      <c r="I432" s="34"/>
      <c r="J432" s="10"/>
      <c r="K432" s="10"/>
      <c r="L432" s="1"/>
      <c r="M432" s="1"/>
    </row>
    <row r="433" spans="1:13" x14ac:dyDescent="0.25">
      <c r="A433" s="125" t="s">
        <v>187</v>
      </c>
      <c r="B433" s="280" t="s">
        <v>164</v>
      </c>
      <c r="C433" s="252">
        <f>SUM(C434:C438)</f>
        <v>3539546088</v>
      </c>
      <c r="D433" s="10"/>
      <c r="E433" s="34"/>
      <c r="F433" s="34"/>
      <c r="G433" s="6"/>
      <c r="H433" s="34"/>
      <c r="I433" s="34"/>
      <c r="J433" s="10"/>
      <c r="K433" s="10"/>
      <c r="L433" s="1"/>
      <c r="M433" s="1"/>
    </row>
    <row r="434" spans="1:13" ht="25.5" x14ac:dyDescent="0.25">
      <c r="A434" s="154" t="s">
        <v>44</v>
      </c>
      <c r="B434" s="707" t="s">
        <v>384</v>
      </c>
      <c r="C434" s="253">
        <v>35255000</v>
      </c>
      <c r="D434" s="134">
        <f>C434/C433*100</f>
        <v>0.99603166969696488</v>
      </c>
      <c r="E434" s="134">
        <f t="shared" ref="E434:E437" si="157">G434/C434*100</f>
        <v>0</v>
      </c>
      <c r="F434" s="134">
        <f t="shared" ref="F434:F437" si="158">(D434*E434)/100</f>
        <v>0</v>
      </c>
      <c r="G434" s="181">
        <v>0</v>
      </c>
      <c r="H434" s="134">
        <f t="shared" ref="H434:H437" si="159">G434/C434*100</f>
        <v>0</v>
      </c>
      <c r="I434" s="134">
        <f t="shared" ref="I434:I437" si="160">(D434*H434)/100</f>
        <v>0</v>
      </c>
      <c r="J434" s="6">
        <f t="shared" ref="J434:J438" si="161">G434-C434</f>
        <v>-35255000</v>
      </c>
      <c r="K434" s="10"/>
      <c r="L434" s="1"/>
      <c r="M434" s="1"/>
    </row>
    <row r="435" spans="1:13" x14ac:dyDescent="0.25">
      <c r="A435" s="154" t="s">
        <v>413</v>
      </c>
      <c r="B435" s="707" t="s">
        <v>414</v>
      </c>
      <c r="C435" s="253">
        <v>385000</v>
      </c>
      <c r="D435" s="134"/>
      <c r="E435" s="134"/>
      <c r="F435" s="134"/>
      <c r="G435" s="181">
        <v>0</v>
      </c>
      <c r="H435" s="134"/>
      <c r="I435" s="134"/>
      <c r="J435" s="6">
        <f t="shared" si="161"/>
        <v>-385000</v>
      </c>
      <c r="K435" s="10"/>
      <c r="L435" s="1"/>
      <c r="M435" s="1"/>
    </row>
    <row r="436" spans="1:13" x14ac:dyDescent="0.25">
      <c r="A436" s="124" t="s">
        <v>148</v>
      </c>
      <c r="B436" s="133" t="s">
        <v>534</v>
      </c>
      <c r="C436" s="256">
        <v>2490000000</v>
      </c>
      <c r="D436" s="134">
        <f>C436/C433*100</f>
        <v>70.348003334149553</v>
      </c>
      <c r="E436" s="134">
        <f t="shared" si="157"/>
        <v>81.609598393574302</v>
      </c>
      <c r="F436" s="134">
        <f t="shared" si="158"/>
        <v>57.410722998897711</v>
      </c>
      <c r="G436" s="181">
        <f>1067209800+964869200</f>
        <v>2032079000</v>
      </c>
      <c r="H436" s="134">
        <f t="shared" si="159"/>
        <v>81.609598393574302</v>
      </c>
      <c r="I436" s="134">
        <f t="shared" si="160"/>
        <v>57.410722998897711</v>
      </c>
      <c r="J436" s="6">
        <f t="shared" si="161"/>
        <v>-457921000</v>
      </c>
      <c r="K436" s="10"/>
    </row>
    <row r="437" spans="1:13" s="84" customFormat="1" ht="25.5" x14ac:dyDescent="0.2">
      <c r="A437" s="124" t="s">
        <v>152</v>
      </c>
      <c r="B437" s="133" t="s">
        <v>166</v>
      </c>
      <c r="C437" s="256">
        <v>996000000</v>
      </c>
      <c r="D437" s="134">
        <f>C437/C433*100</f>
        <v>28.13920133365982</v>
      </c>
      <c r="E437" s="134">
        <f t="shared" si="157"/>
        <v>50</v>
      </c>
      <c r="F437" s="134">
        <f t="shared" si="158"/>
        <v>14.06960066682991</v>
      </c>
      <c r="G437" s="181">
        <f>498000000</f>
        <v>498000000</v>
      </c>
      <c r="H437" s="134">
        <f t="shared" si="159"/>
        <v>50</v>
      </c>
      <c r="I437" s="134">
        <f t="shared" si="160"/>
        <v>14.06960066682991</v>
      </c>
      <c r="J437" s="6">
        <f t="shared" si="161"/>
        <v>-498000000</v>
      </c>
      <c r="K437" s="38"/>
    </row>
    <row r="438" spans="1:13" s="84" customFormat="1" x14ac:dyDescent="0.2">
      <c r="A438" s="825" t="s">
        <v>234</v>
      </c>
      <c r="B438" s="133" t="s">
        <v>522</v>
      </c>
      <c r="C438" s="256">
        <v>17906088</v>
      </c>
      <c r="D438" s="804"/>
      <c r="E438" s="134"/>
      <c r="F438" s="134"/>
      <c r="G438" s="181">
        <f>17906088</f>
        <v>17906088</v>
      </c>
      <c r="H438" s="134"/>
      <c r="I438" s="134"/>
      <c r="J438" s="6">
        <f t="shared" si="161"/>
        <v>0</v>
      </c>
      <c r="K438" s="805"/>
    </row>
    <row r="439" spans="1:13" x14ac:dyDescent="0.25">
      <c r="A439" s="70"/>
      <c r="B439" s="129" t="s">
        <v>95</v>
      </c>
      <c r="C439" s="807">
        <f>SUM(C434:C438)</f>
        <v>3539546088</v>
      </c>
      <c r="D439" s="271">
        <f>SUM(D434:D437)</f>
        <v>99.483236337506327</v>
      </c>
      <c r="E439" s="134"/>
      <c r="F439" s="134"/>
      <c r="G439" s="181">
        <f>SUM(G434:G438)</f>
        <v>2547985088</v>
      </c>
      <c r="H439" s="134"/>
      <c r="I439" s="134"/>
      <c r="J439" s="780"/>
      <c r="K439" s="130"/>
    </row>
    <row r="440" spans="1:13" x14ac:dyDescent="0.25">
      <c r="J440" s="779"/>
    </row>
    <row r="442" spans="1:13" x14ac:dyDescent="0.25">
      <c r="A442" s="50"/>
      <c r="B442" s="5"/>
      <c r="C442" s="50"/>
      <c r="D442" s="29"/>
      <c r="E442" s="30"/>
      <c r="F442" s="31"/>
      <c r="G442" s="36"/>
      <c r="H442" s="32"/>
      <c r="I442" s="31"/>
      <c r="J442" s="36"/>
      <c r="K442" s="37"/>
    </row>
    <row r="443" spans="1:13" x14ac:dyDescent="0.25">
      <c r="A443" s="1"/>
      <c r="B443" s="16" t="s">
        <v>363</v>
      </c>
      <c r="C443" s="61"/>
      <c r="D443" s="1"/>
      <c r="E443" s="1"/>
      <c r="F443" s="1"/>
      <c r="G443" s="1"/>
      <c r="H443" s="1"/>
      <c r="I443" s="18" t="s">
        <v>562</v>
      </c>
      <c r="J443" s="17"/>
      <c r="K443" s="1"/>
    </row>
    <row r="444" spans="1:13" x14ac:dyDescent="0.25">
      <c r="A444" s="1"/>
      <c r="B444" s="19"/>
      <c r="C444" s="62"/>
      <c r="D444" s="1"/>
      <c r="E444" s="1"/>
      <c r="F444" s="1"/>
      <c r="G444" s="1"/>
      <c r="H444" s="1"/>
      <c r="I444" s="63"/>
      <c r="J444" s="16"/>
      <c r="K444" s="1"/>
    </row>
    <row r="445" spans="1:13" x14ac:dyDescent="0.25">
      <c r="A445" s="1"/>
      <c r="B445" s="19"/>
      <c r="C445" s="62"/>
      <c r="D445" s="1"/>
      <c r="E445" s="1"/>
      <c r="F445" s="1"/>
      <c r="G445" s="1"/>
      <c r="H445" s="1"/>
      <c r="I445" s="63"/>
      <c r="J445" s="16"/>
      <c r="K445" s="1"/>
    </row>
    <row r="446" spans="1:13" x14ac:dyDescent="0.25">
      <c r="A446" s="1"/>
      <c r="B446" s="19"/>
      <c r="C446" s="62"/>
      <c r="D446" s="1"/>
      <c r="E446" s="1"/>
      <c r="F446" s="1"/>
      <c r="G446" s="1"/>
      <c r="H446" s="1"/>
      <c r="I446" s="18"/>
      <c r="J446" s="19"/>
      <c r="K446" s="1"/>
    </row>
    <row r="447" spans="1:13" x14ac:dyDescent="0.25">
      <c r="A447" s="1"/>
      <c r="B447" s="75" t="s">
        <v>440</v>
      </c>
      <c r="C447" s="21"/>
      <c r="D447" s="1"/>
      <c r="E447" s="1"/>
      <c r="F447" s="1"/>
      <c r="G447" s="1"/>
      <c r="H447" s="1"/>
      <c r="I447" s="20"/>
      <c r="J447" s="21"/>
      <c r="K447" s="1"/>
    </row>
    <row r="448" spans="1:13" x14ac:dyDescent="0.25">
      <c r="A448" s="1"/>
      <c r="B448" s="739" t="s">
        <v>441</v>
      </c>
      <c r="C448" s="19"/>
      <c r="D448" s="1"/>
      <c r="E448" s="1"/>
      <c r="F448" s="1"/>
      <c r="G448" s="1"/>
      <c r="H448" s="1"/>
      <c r="I448" s="22"/>
      <c r="J448" s="19"/>
      <c r="K448" s="1"/>
    </row>
    <row r="449" spans="1:14" x14ac:dyDescent="0.25">
      <c r="A449" s="5"/>
      <c r="B449" s="5"/>
      <c r="C449" s="65"/>
      <c r="D449" s="66"/>
      <c r="E449" s="30"/>
      <c r="F449" s="31"/>
      <c r="G449" s="36"/>
      <c r="H449" s="30"/>
      <c r="I449" s="31"/>
      <c r="J449" s="33"/>
      <c r="K449" s="29"/>
      <c r="L449" s="9"/>
      <c r="M449" s="9"/>
      <c r="N449" s="9"/>
    </row>
  </sheetData>
  <mergeCells count="149">
    <mergeCell ref="J420:J421"/>
    <mergeCell ref="A429:A431"/>
    <mergeCell ref="B429:B431"/>
    <mergeCell ref="C429:C431"/>
    <mergeCell ref="D429:F429"/>
    <mergeCell ref="G429:I429"/>
    <mergeCell ref="J429:J430"/>
    <mergeCell ref="A417:B417"/>
    <mergeCell ref="A420:A422"/>
    <mergeCell ref="B420:B422"/>
    <mergeCell ref="C420:C422"/>
    <mergeCell ref="D420:F420"/>
    <mergeCell ref="G420:I420"/>
    <mergeCell ref="A400:A402"/>
    <mergeCell ref="B400:B402"/>
    <mergeCell ref="C400:C402"/>
    <mergeCell ref="D400:F400"/>
    <mergeCell ref="G400:I400"/>
    <mergeCell ref="J400:J401"/>
    <mergeCell ref="A388:A390"/>
    <mergeCell ref="B388:B390"/>
    <mergeCell ref="C388:C390"/>
    <mergeCell ref="D388:F388"/>
    <mergeCell ref="G388:I388"/>
    <mergeCell ref="J388:J389"/>
    <mergeCell ref="A379:A381"/>
    <mergeCell ref="B379:B381"/>
    <mergeCell ref="C379:C381"/>
    <mergeCell ref="D379:F379"/>
    <mergeCell ref="G379:I379"/>
    <mergeCell ref="J379:J380"/>
    <mergeCell ref="A355:A357"/>
    <mergeCell ref="B355:B357"/>
    <mergeCell ref="D355:F355"/>
    <mergeCell ref="G355:I355"/>
    <mergeCell ref="J355:J356"/>
    <mergeCell ref="A376:B376"/>
    <mergeCell ref="A342:A344"/>
    <mergeCell ref="B342:B344"/>
    <mergeCell ref="C342:C344"/>
    <mergeCell ref="D342:F342"/>
    <mergeCell ref="G342:I342"/>
    <mergeCell ref="J342:J343"/>
    <mergeCell ref="K307:K309"/>
    <mergeCell ref="A333:A335"/>
    <mergeCell ref="B333:B335"/>
    <mergeCell ref="C333:C335"/>
    <mergeCell ref="D333:F333"/>
    <mergeCell ref="G333:I333"/>
    <mergeCell ref="J333:J334"/>
    <mergeCell ref="A307:A309"/>
    <mergeCell ref="B307:B309"/>
    <mergeCell ref="C307:C309"/>
    <mergeCell ref="D307:F307"/>
    <mergeCell ref="G307:I307"/>
    <mergeCell ref="J307:J308"/>
    <mergeCell ref="A295:A297"/>
    <mergeCell ref="B295:B297"/>
    <mergeCell ref="C295:C297"/>
    <mergeCell ref="D295:F295"/>
    <mergeCell ref="G295:I295"/>
    <mergeCell ref="J295:J296"/>
    <mergeCell ref="K265:K267"/>
    <mergeCell ref="A286:A288"/>
    <mergeCell ref="B286:B288"/>
    <mergeCell ref="C286:C288"/>
    <mergeCell ref="D286:F286"/>
    <mergeCell ref="G286:I286"/>
    <mergeCell ref="J286:J287"/>
    <mergeCell ref="A265:A267"/>
    <mergeCell ref="B265:B267"/>
    <mergeCell ref="C265:C267"/>
    <mergeCell ref="D265:F265"/>
    <mergeCell ref="G265:I265"/>
    <mergeCell ref="J265:J266"/>
    <mergeCell ref="J242:J243"/>
    <mergeCell ref="A251:A253"/>
    <mergeCell ref="B251:B253"/>
    <mergeCell ref="C251:C253"/>
    <mergeCell ref="D251:F251"/>
    <mergeCell ref="G251:I251"/>
    <mergeCell ref="J251:J252"/>
    <mergeCell ref="A222:A224"/>
    <mergeCell ref="B222:B224"/>
    <mergeCell ref="D222:F222"/>
    <mergeCell ref="G222:I222"/>
    <mergeCell ref="J222:J223"/>
    <mergeCell ref="A242:A244"/>
    <mergeCell ref="B242:B244"/>
    <mergeCell ref="C242:C244"/>
    <mergeCell ref="D242:F242"/>
    <mergeCell ref="G242:I242"/>
    <mergeCell ref="A209:A211"/>
    <mergeCell ref="B209:B211"/>
    <mergeCell ref="C209:C211"/>
    <mergeCell ref="D209:F209"/>
    <mergeCell ref="G209:I209"/>
    <mergeCell ref="J209:J210"/>
    <mergeCell ref="A199:A201"/>
    <mergeCell ref="B199:B201"/>
    <mergeCell ref="C199:C201"/>
    <mergeCell ref="D199:F199"/>
    <mergeCell ref="G199:I199"/>
    <mergeCell ref="J199:J200"/>
    <mergeCell ref="A175:A177"/>
    <mergeCell ref="B175:B177"/>
    <mergeCell ref="C175:C177"/>
    <mergeCell ref="D175:F175"/>
    <mergeCell ref="G175:I175"/>
    <mergeCell ref="J175:J176"/>
    <mergeCell ref="A163:A165"/>
    <mergeCell ref="B163:B165"/>
    <mergeCell ref="C163:C165"/>
    <mergeCell ref="D163:F163"/>
    <mergeCell ref="G163:I163"/>
    <mergeCell ref="J163:J164"/>
    <mergeCell ref="K132:K134"/>
    <mergeCell ref="A150:B150"/>
    <mergeCell ref="A153:A155"/>
    <mergeCell ref="B153:B155"/>
    <mergeCell ref="C153:C155"/>
    <mergeCell ref="D153:F153"/>
    <mergeCell ref="G153:I153"/>
    <mergeCell ref="J153:J154"/>
    <mergeCell ref="A129:C129"/>
    <mergeCell ref="A132:A134"/>
    <mergeCell ref="B132:B134"/>
    <mergeCell ref="D132:F132"/>
    <mergeCell ref="G132:I132"/>
    <mergeCell ref="J132:J133"/>
    <mergeCell ref="A96:C96"/>
    <mergeCell ref="A98:K98"/>
    <mergeCell ref="A99:K99"/>
    <mergeCell ref="A100:K100"/>
    <mergeCell ref="A101:A103"/>
    <mergeCell ref="B101:B103"/>
    <mergeCell ref="C101:C103"/>
    <mergeCell ref="D101:F101"/>
    <mergeCell ref="G101:I101"/>
    <mergeCell ref="J101:J102"/>
    <mergeCell ref="A1:K1"/>
    <mergeCell ref="A2:K2"/>
    <mergeCell ref="A3:K3"/>
    <mergeCell ref="A5:A7"/>
    <mergeCell ref="B5:B7"/>
    <mergeCell ref="C5:C7"/>
    <mergeCell ref="D5:F5"/>
    <mergeCell ref="G5:I5"/>
    <mergeCell ref="J5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9"/>
  <sheetViews>
    <sheetView topLeftCell="A19" workbookViewId="0">
      <selection activeCell="A19" sqref="A1:XFD1048576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563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901" t="s">
        <v>1</v>
      </c>
      <c r="B4" s="901"/>
      <c r="C4" s="901"/>
      <c r="D4" s="901"/>
      <c r="E4" s="902"/>
      <c r="F4" s="902"/>
      <c r="G4" s="47"/>
      <c r="H4" s="902"/>
      <c r="I4" s="902"/>
      <c r="J4" s="901"/>
      <c r="K4" s="901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C11+C16+C21+C29+C40+C45+C53+C55+C58+C63+C65+C69+C73+C77+C80+C86+C90+C92</f>
        <v>14557351544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>
        <f>1150000</f>
        <v>1150000</v>
      </c>
      <c r="H12" s="161"/>
      <c r="I12" s="161"/>
      <c r="J12" s="6">
        <v>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18.510158013544018</v>
      </c>
      <c r="F13" s="134">
        <f>(D13*E13)/100</f>
        <v>2.7333333333333338</v>
      </c>
      <c r="G13" s="6">
        <f>820000</f>
        <v>820000</v>
      </c>
      <c r="H13" s="134">
        <f>G13/C13*100</f>
        <v>18.510158013544018</v>
      </c>
      <c r="I13" s="134">
        <f>(D13*H13)/100</f>
        <v>2.7333333333333338</v>
      </c>
      <c r="J13" s="6">
        <f t="shared" ref="J13:J15" si="0">G13-C13</f>
        <v>-3610000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f>4320000</f>
        <v>4320000</v>
      </c>
      <c r="H14" s="134"/>
      <c r="I14" s="134"/>
      <c r="J14" s="6">
        <f t="shared" si="0"/>
        <v>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f>16900000</f>
        <v>16900000</v>
      </c>
      <c r="H15" s="134"/>
      <c r="I15" s="134"/>
      <c r="J15" s="6">
        <f t="shared" si="0"/>
        <v>-3200000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f>4720000</f>
        <v>4720000</v>
      </c>
      <c r="H18" s="134"/>
      <c r="I18" s="134"/>
      <c r="J18" s="6">
        <f t="shared" si="1"/>
        <v>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f>1585000</f>
        <v>1585000</v>
      </c>
      <c r="H19" s="134"/>
      <c r="I19" s="134"/>
      <c r="J19" s="6">
        <f t="shared" si="1"/>
        <v>-4145000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f>4460000</f>
        <v>4460000</v>
      </c>
      <c r="H20" s="134"/>
      <c r="I20" s="134"/>
      <c r="J20" s="6">
        <f t="shared" si="1"/>
        <v>-4920000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100</v>
      </c>
      <c r="F24" s="134">
        <f t="shared" ref="F24:F26" si="3">(D24*E24)/100</f>
        <v>10.917999999999999</v>
      </c>
      <c r="G24" s="6">
        <f>5459000</f>
        <v>5459000</v>
      </c>
      <c r="H24" s="134">
        <f t="shared" ref="H24:H26" si="4">G24/C24*100</f>
        <v>100</v>
      </c>
      <c r="I24" s="134">
        <f t="shared" ref="I24:I26" si="5">(D24*H24)/100</f>
        <v>10.917999999999999</v>
      </c>
      <c r="J24" s="6">
        <f t="shared" si="2"/>
        <v>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99.896491046475518</v>
      </c>
      <c r="F25" s="134">
        <f t="shared" si="3"/>
        <v>19.302</v>
      </c>
      <c r="G25" s="6">
        <f>9651000</f>
        <v>9651000</v>
      </c>
      <c r="H25" s="134">
        <f t="shared" si="4"/>
        <v>99.896491046475518</v>
      </c>
      <c r="I25" s="134">
        <f t="shared" si="5"/>
        <v>19.302</v>
      </c>
      <c r="J25" s="6">
        <f t="shared" si="2"/>
        <v>-10000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32.777777777777779</v>
      </c>
      <c r="F26" s="134">
        <f t="shared" si="3"/>
        <v>9.44</v>
      </c>
      <c r="G26" s="6">
        <f>4720000</f>
        <v>4720000</v>
      </c>
      <c r="H26" s="134">
        <f t="shared" si="4"/>
        <v>32.777777777777779</v>
      </c>
      <c r="I26" s="134">
        <f t="shared" si="5"/>
        <v>9.44</v>
      </c>
      <c r="J26" s="6">
        <f t="shared" si="2"/>
        <v>-9680000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f>17851651</f>
        <v>17851651</v>
      </c>
      <c r="H27" s="134"/>
      <c r="I27" s="134"/>
      <c r="J27" s="6">
        <f t="shared" si="2"/>
        <v>-148349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4245540345</v>
      </c>
      <c r="D30" s="200">
        <f>C30/C29*100</f>
        <v>36.245950350934478</v>
      </c>
      <c r="E30" s="134">
        <f>G30/C30*100</f>
        <v>84.743847252263009</v>
      </c>
      <c r="F30" s="134">
        <f t="shared" ref="F30:F38" si="6">(D30*E30)/100</f>
        <v>30.716212800527</v>
      </c>
      <c r="G30" s="6">
        <f>3597834225</f>
        <v>3597834225</v>
      </c>
      <c r="H30" s="134">
        <f>G30/C30*100</f>
        <v>84.743847252263009</v>
      </c>
      <c r="I30" s="134">
        <f t="shared" ref="I30:I38" si="7">(D30*H30)/100</f>
        <v>30.716212800527</v>
      </c>
      <c r="J30" s="6">
        <f t="shared" ref="J30:J39" si="8">G30-C30</f>
        <v>-647706120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9" si="9">G31/C31*100</f>
        <v>48.977958776685362</v>
      </c>
      <c r="F31" s="134">
        <f t="shared" si="6"/>
        <v>2.9472104596335531</v>
      </c>
      <c r="G31" s="6">
        <f>345211004</f>
        <v>345211004</v>
      </c>
      <c r="H31" s="134">
        <f t="shared" ref="H31:H39" si="10">G31/C31*100</f>
        <v>48.977958776685362</v>
      </c>
      <c r="I31" s="134">
        <f t="shared" si="7"/>
        <v>2.9472104596335531</v>
      </c>
      <c r="J31" s="6">
        <f t="shared" si="8"/>
        <v>-359618296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63.160897136290991</v>
      </c>
      <c r="F32" s="134">
        <f t="shared" si="6"/>
        <v>2.1136084453770154</v>
      </c>
      <c r="G32" s="6">
        <f>247570000</f>
        <v>247570000</v>
      </c>
      <c r="H32" s="134">
        <f t="shared" si="10"/>
        <v>63.160897136290991</v>
      </c>
      <c r="I32" s="134">
        <f t="shared" si="7"/>
        <v>2.1136084453770154</v>
      </c>
      <c r="J32" s="6">
        <f t="shared" si="8"/>
        <v>-144397200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31.357466063348415</v>
      </c>
      <c r="F33" s="134">
        <f t="shared" si="6"/>
        <v>0.11832860626459359</v>
      </c>
      <c r="G33" s="6">
        <f>13860000</f>
        <v>13860000</v>
      </c>
      <c r="H33" s="134">
        <f t="shared" si="10"/>
        <v>31.357466063348415</v>
      </c>
      <c r="I33" s="134">
        <f t="shared" si="7"/>
        <v>0.11832860626459359</v>
      </c>
      <c r="J33" s="6">
        <f t="shared" si="8"/>
        <v>-30340000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80.631278665141963</v>
      </c>
      <c r="F34" s="134">
        <f t="shared" si="6"/>
        <v>0.78377761169704319</v>
      </c>
      <c r="G34" s="6">
        <f>91805000</f>
        <v>91805000</v>
      </c>
      <c r="H34" s="134">
        <f>G34/C34*100</f>
        <v>80.631278665141963</v>
      </c>
      <c r="I34" s="134">
        <f t="shared" si="7"/>
        <v>0.78377761169704319</v>
      </c>
      <c r="J34" s="6">
        <f t="shared" si="8"/>
        <v>-22052800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79.470899470899468</v>
      </c>
      <c r="F35" s="134">
        <f t="shared" si="6"/>
        <v>1.8573124406715971</v>
      </c>
      <c r="G35" s="6">
        <f>217549680</f>
        <v>217549680</v>
      </c>
      <c r="H35" s="134">
        <f t="shared" si="10"/>
        <v>79.470899470899468</v>
      </c>
      <c r="I35" s="134">
        <f t="shared" si="7"/>
        <v>1.8573124406715971</v>
      </c>
      <c r="J35" s="6">
        <f t="shared" si="8"/>
        <v>-56197920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45.350200000000001</v>
      </c>
      <c r="F36" s="134">
        <f t="shared" si="6"/>
        <v>5.8076038526196687E-2</v>
      </c>
      <c r="G36" s="6">
        <f>6802530</f>
        <v>6802530</v>
      </c>
      <c r="H36" s="134">
        <f t="shared" si="10"/>
        <v>45.350200000000001</v>
      </c>
      <c r="I36" s="134">
        <f t="shared" si="7"/>
        <v>5.8076038526196687E-2</v>
      </c>
      <c r="J36" s="6">
        <f t="shared" si="8"/>
        <v>-8197470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8.2402370990237106</v>
      </c>
      <c r="F37" s="134">
        <f t="shared" si="6"/>
        <v>4.035295745816942E-4</v>
      </c>
      <c r="G37" s="6">
        <f>47266</f>
        <v>47266</v>
      </c>
      <c r="H37" s="134">
        <f>G37/C37*100</f>
        <v>8.2402370990237106</v>
      </c>
      <c r="I37" s="134">
        <f t="shared" si="7"/>
        <v>4.035295745816942E-4</v>
      </c>
      <c r="J37" s="6">
        <f t="shared" si="8"/>
        <v>-526334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5647177786</v>
      </c>
      <c r="D38" s="200">
        <f>C38/C29*100</f>
        <v>48.212314339520454</v>
      </c>
      <c r="E38" s="134">
        <f t="shared" si="9"/>
        <v>68.047217258266784</v>
      </c>
      <c r="F38" s="134">
        <f t="shared" si="6"/>
        <v>32.807138283851991</v>
      </c>
      <c r="G38" s="6">
        <f>3842747337</f>
        <v>3842747337</v>
      </c>
      <c r="H38" s="134">
        <f t="shared" si="10"/>
        <v>68.047217258266784</v>
      </c>
      <c r="I38" s="134">
        <f t="shared" si="7"/>
        <v>32.807138283851991</v>
      </c>
      <c r="J38" s="6">
        <f t="shared" si="8"/>
        <v>-1804430449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276250331</v>
      </c>
      <c r="D39" s="200"/>
      <c r="E39" s="134">
        <f t="shared" si="9"/>
        <v>72.507722352738099</v>
      </c>
      <c r="F39" s="134"/>
      <c r="G39" s="6">
        <f>200302823</f>
        <v>200302823</v>
      </c>
      <c r="H39" s="134">
        <f t="shared" si="10"/>
        <v>72.507722352738099</v>
      </c>
      <c r="I39" s="134"/>
      <c r="J39" s="6">
        <f t="shared" si="8"/>
        <v>-75947508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1853928000</v>
      </c>
      <c r="D40" s="241"/>
      <c r="E40" s="242"/>
      <c r="F40" s="242"/>
      <c r="G40" s="791">
        <v>0</v>
      </c>
      <c r="H40" s="242"/>
      <c r="I40" s="242"/>
      <c r="J40" s="791">
        <v>0</v>
      </c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1723250000</v>
      </c>
      <c r="D41" s="200">
        <f>C41/C40*100</f>
        <v>92.95129044925153</v>
      </c>
      <c r="E41" s="134">
        <f>G41/C41*100</f>
        <v>77.484404468301165</v>
      </c>
      <c r="F41" s="134">
        <f t="shared" ref="F41:F44" si="11">(D41*E41)/100</f>
        <v>72.022753850203443</v>
      </c>
      <c r="G41" s="6">
        <f>1335250000</f>
        <v>1335250000</v>
      </c>
      <c r="H41" s="134">
        <f t="shared" ref="H41:H44" si="12">G41/C41*100</f>
        <v>77.484404468301165</v>
      </c>
      <c r="I41" s="134">
        <f t="shared" ref="I41:I44" si="13">(D41*H41)/100</f>
        <v>72.022753850203443</v>
      </c>
      <c r="J41" s="6">
        <f t="shared" ref="J41:J44" si="14">G41-C41</f>
        <v>-388000000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122730550</v>
      </c>
      <c r="D42" s="200">
        <f>C42/C40*100</f>
        <v>6.6200278543719069</v>
      </c>
      <c r="E42" s="134">
        <f t="shared" ref="E42:E44" si="15">G42/C42*100</f>
        <v>78.110961777650317</v>
      </c>
      <c r="F42" s="134">
        <f t="shared" si="11"/>
        <v>5.170967426998244</v>
      </c>
      <c r="G42" s="6">
        <f>95866013</f>
        <v>95866013</v>
      </c>
      <c r="H42" s="134">
        <f t="shared" si="12"/>
        <v>78.110961777650317</v>
      </c>
      <c r="I42" s="134">
        <f t="shared" si="13"/>
        <v>5.170967426998244</v>
      </c>
      <c r="J42" s="6">
        <f t="shared" si="14"/>
        <v>-26864537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3532200</v>
      </c>
      <c r="D43" s="200">
        <f>C43/C40*100</f>
        <v>0.19052519838958148</v>
      </c>
      <c r="E43" s="134">
        <f t="shared" si="15"/>
        <v>82.791319857312729</v>
      </c>
      <c r="F43" s="134">
        <f t="shared" si="11"/>
        <v>0.15773832640749805</v>
      </c>
      <c r="G43" s="6">
        <f>2924355</f>
        <v>2924355</v>
      </c>
      <c r="H43" s="134">
        <f t="shared" si="12"/>
        <v>82.791319857312729</v>
      </c>
      <c r="I43" s="134">
        <f t="shared" si="13"/>
        <v>0.15773832640749805</v>
      </c>
      <c r="J43" s="6">
        <f t="shared" si="14"/>
        <v>-607845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4415250</v>
      </c>
      <c r="D44" s="200">
        <f>C44/C40*100</f>
        <v>0.23815649798697683</v>
      </c>
      <c r="E44" s="134">
        <f t="shared" si="15"/>
        <v>82.791574656021737</v>
      </c>
      <c r="F44" s="134">
        <f t="shared" si="11"/>
        <v>0.19717351482905482</v>
      </c>
      <c r="G44" s="6">
        <f>3655455</f>
        <v>3655455</v>
      </c>
      <c r="H44" s="134">
        <f t="shared" si="12"/>
        <v>82.791574656021737</v>
      </c>
      <c r="I44" s="134">
        <f t="shared" si="13"/>
        <v>0.19717351482905482</v>
      </c>
      <c r="J44" s="6">
        <f t="shared" si="14"/>
        <v>-759795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</v>
      </c>
      <c r="D47" s="741"/>
      <c r="E47" s="742"/>
      <c r="F47" s="742"/>
      <c r="G47" s="6">
        <v>0</v>
      </c>
      <c r="H47" s="742"/>
      <c r="I47" s="742"/>
      <c r="J47" s="6">
        <f t="shared" si="16"/>
        <v>-170000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8775400</v>
      </c>
      <c r="D48" s="200">
        <f>C48/C45*100</f>
        <v>17.550799999999999</v>
      </c>
      <c r="E48" s="134">
        <f t="shared" ref="E48:E50" si="17">G48/C48*100</f>
        <v>63.788260364199921</v>
      </c>
      <c r="F48" s="134">
        <f t="shared" ref="F48:F50" si="18">(D48*E48)/100</f>
        <v>11.195349999999998</v>
      </c>
      <c r="G48" s="6">
        <f>4851675+746000</f>
        <v>5597675</v>
      </c>
      <c r="H48" s="134">
        <f t="shared" ref="H48:H50" si="19">G48/C48*100</f>
        <v>63.788260364199921</v>
      </c>
      <c r="I48" s="134">
        <f t="shared" ref="I48:I50" si="20">(D48*H48)/100</f>
        <v>11.195349999999998</v>
      </c>
      <c r="J48" s="6">
        <f t="shared" si="16"/>
        <v>-3177725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42.404111913882559</v>
      </c>
      <c r="F49" s="134">
        <f t="shared" si="18"/>
        <v>3.4980000000000002</v>
      </c>
      <c r="G49" s="6">
        <v>1749000</v>
      </c>
      <c r="H49" s="134">
        <f t="shared" si="19"/>
        <v>42.404111913882559</v>
      </c>
      <c r="I49" s="134">
        <f t="shared" si="20"/>
        <v>3.4980000000000002</v>
      </c>
      <c r="J49" s="6">
        <f t="shared" si="16"/>
        <v>-2375600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14520000</v>
      </c>
      <c r="D50" s="200">
        <f>C50/C45*100</f>
        <v>29.04</v>
      </c>
      <c r="E50" s="134">
        <f t="shared" si="17"/>
        <v>34.380165289256198</v>
      </c>
      <c r="F50" s="134">
        <f t="shared" si="18"/>
        <v>9.984</v>
      </c>
      <c r="G50" s="6">
        <f>4992000</f>
        <v>4992000</v>
      </c>
      <c r="H50" s="134">
        <f t="shared" si="19"/>
        <v>34.380165289256198</v>
      </c>
      <c r="I50" s="134">
        <f t="shared" si="20"/>
        <v>9.984</v>
      </c>
      <c r="J50" s="6">
        <f t="shared" si="16"/>
        <v>-9528000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f>12450000</f>
        <v>12450000</v>
      </c>
      <c r="H51" s="134"/>
      <c r="I51" s="134"/>
      <c r="J51" s="6">
        <f t="shared" si="16"/>
        <v>-7650000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60.178829814862908</v>
      </c>
      <c r="F54" s="134">
        <f t="shared" ref="F54:F57" si="21">(D54*E54)/100</f>
        <v>60.178829814862908</v>
      </c>
      <c r="G54" s="6">
        <f>4432500+3677500</f>
        <v>8110000</v>
      </c>
      <c r="H54" s="134">
        <f>G54/C54*100</f>
        <v>60.178829814862908</v>
      </c>
      <c r="I54" s="134">
        <f>(D54*H54)/100</f>
        <v>60.178829814862908</v>
      </c>
      <c r="J54" s="6">
        <f>G54-C54</f>
        <v>-5366500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SUM(C56:C57)</f>
        <v>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2.5342874180083479</v>
      </c>
      <c r="E56" s="134">
        <f t="shared" ref="E56:E57" si="22">G56/C56*100</f>
        <v>0</v>
      </c>
      <c r="F56" s="134">
        <f t="shared" si="21"/>
        <v>0</v>
      </c>
      <c r="G56" s="6">
        <v>0</v>
      </c>
      <c r="H56" s="134">
        <f t="shared" ref="H56:H58" si="23">G56/C56*100</f>
        <v>0</v>
      </c>
      <c r="I56" s="134">
        <f t="shared" ref="I56:I57" si="24">(D56*H56)/100</f>
        <v>0</v>
      </c>
      <c r="J56" s="6">
        <f t="shared" ref="J56:J57" si="25">G56-C56</f>
        <v>-170000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6538000</v>
      </c>
      <c r="D57" s="200">
        <f>C57/C55*100</f>
        <v>97.465712581991653</v>
      </c>
      <c r="E57" s="134">
        <f t="shared" si="22"/>
        <v>56.079840929947999</v>
      </c>
      <c r="F57" s="134">
        <f t="shared" si="21"/>
        <v>54.658616577221231</v>
      </c>
      <c r="G57" s="6">
        <f>3666500</f>
        <v>3666500</v>
      </c>
      <c r="H57" s="134">
        <f t="shared" si="23"/>
        <v>56.079840929947999</v>
      </c>
      <c r="I57" s="134">
        <f t="shared" si="24"/>
        <v>54.658616577221231</v>
      </c>
      <c r="J57" s="6">
        <f t="shared" si="25"/>
        <v>-2871500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238" t="s">
        <v>503</v>
      </c>
      <c r="B58" s="238" t="s">
        <v>61</v>
      </c>
      <c r="C58" s="239">
        <f>SUM(C59:C62)</f>
        <v>62599600</v>
      </c>
      <c r="D58" s="241"/>
      <c r="E58" s="242"/>
      <c r="F58" s="242"/>
      <c r="G58" s="791">
        <v>0</v>
      </c>
      <c r="H58" s="242">
        <f t="shared" si="23"/>
        <v>0</v>
      </c>
      <c r="I58" s="242"/>
      <c r="J58" s="791">
        <v>0</v>
      </c>
      <c r="K58" s="237"/>
      <c r="L58" s="4"/>
      <c r="M58" s="4"/>
      <c r="N58" s="4"/>
      <c r="O58" s="4"/>
      <c r="P58" s="4"/>
      <c r="Q58" s="4"/>
      <c r="R58" s="9"/>
    </row>
    <row r="59" spans="1:18" ht="22.5" customHeight="1" x14ac:dyDescent="0.25">
      <c r="A59" s="49" t="s">
        <v>450</v>
      </c>
      <c r="B59" s="707" t="s">
        <v>384</v>
      </c>
      <c r="C59" s="56">
        <v>3090000</v>
      </c>
      <c r="D59" s="200">
        <f>C59/C58*100</f>
        <v>4.9361337772126337</v>
      </c>
      <c r="E59" s="134">
        <f>G59/C59*100</f>
        <v>100</v>
      </c>
      <c r="F59" s="134">
        <f t="shared" ref="F59:F71" si="26">(D59*E59)/100</f>
        <v>4.9361337772126337</v>
      </c>
      <c r="G59" s="6">
        <f>3090000</f>
        <v>3090000</v>
      </c>
      <c r="H59" s="134">
        <f>G59/C59*100</f>
        <v>100</v>
      </c>
      <c r="I59" s="134">
        <f>(D59*H59)/100</f>
        <v>4.9361337772126337</v>
      </c>
      <c r="J59" s="6">
        <f t="shared" ref="J59:J62" si="27">G59-C59</f>
        <v>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448</v>
      </c>
      <c r="B60" s="707" t="s">
        <v>445</v>
      </c>
      <c r="C60" s="56">
        <v>170000</v>
      </c>
      <c r="D60" s="200"/>
      <c r="E60" s="134"/>
      <c r="F60" s="134"/>
      <c r="G60" s="6">
        <v>0</v>
      </c>
      <c r="H60" s="134"/>
      <c r="I60" s="134"/>
      <c r="J60" s="6">
        <f t="shared" si="27"/>
        <v>-170000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415</v>
      </c>
      <c r="B61" s="707" t="s">
        <v>197</v>
      </c>
      <c r="C61" s="56">
        <v>7993000</v>
      </c>
      <c r="D61" s="200"/>
      <c r="E61" s="134"/>
      <c r="F61" s="134"/>
      <c r="G61" s="6">
        <f>7664500+302500</f>
        <v>7967000</v>
      </c>
      <c r="H61" s="134"/>
      <c r="I61" s="134"/>
      <c r="J61" s="6">
        <f t="shared" si="27"/>
        <v>-26000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413</v>
      </c>
      <c r="B62" s="707" t="s">
        <v>334</v>
      </c>
      <c r="C62" s="56">
        <v>51346600</v>
      </c>
      <c r="D62" s="200"/>
      <c r="E62" s="134"/>
      <c r="F62" s="134"/>
      <c r="G62" s="6">
        <f>25575000+14860800</f>
        <v>40435800</v>
      </c>
      <c r="H62" s="134"/>
      <c r="I62" s="134"/>
      <c r="J62" s="6">
        <f t="shared" si="27"/>
        <v>-10910800</v>
      </c>
      <c r="K62" s="163"/>
      <c r="L62" s="4"/>
      <c r="M62" s="4"/>
      <c r="N62" s="4"/>
      <c r="O62" s="4"/>
      <c r="P62" s="4"/>
      <c r="Q62" s="4"/>
      <c r="R62" s="9"/>
    </row>
    <row r="63" spans="1:18" s="796" customFormat="1" x14ac:dyDescent="0.25">
      <c r="A63" s="799" t="s">
        <v>468</v>
      </c>
      <c r="B63" s="736" t="s">
        <v>467</v>
      </c>
      <c r="C63" s="800">
        <v>3000000</v>
      </c>
      <c r="D63" s="789"/>
      <c r="E63" s="790"/>
      <c r="F63" s="790"/>
      <c r="G63" s="791">
        <v>0</v>
      </c>
      <c r="H63" s="790"/>
      <c r="I63" s="790"/>
      <c r="J63" s="791">
        <v>0</v>
      </c>
      <c r="K63" s="793"/>
      <c r="L63" s="794"/>
      <c r="M63" s="794"/>
      <c r="N63" s="794"/>
      <c r="O63" s="794"/>
      <c r="P63" s="794"/>
      <c r="Q63" s="794"/>
      <c r="R63" s="795"/>
    </row>
    <row r="64" spans="1:18" x14ac:dyDescent="0.25">
      <c r="A64" s="49" t="s">
        <v>413</v>
      </c>
      <c r="B64" s="707" t="s">
        <v>334</v>
      </c>
      <c r="C64" s="56">
        <v>3000000</v>
      </c>
      <c r="D64" s="200"/>
      <c r="E64" s="134"/>
      <c r="F64" s="134"/>
      <c r="G64" s="6">
        <v>0</v>
      </c>
      <c r="H64" s="134"/>
      <c r="I64" s="134"/>
      <c r="J64" s="6">
        <f>G64-C64</f>
        <v>-3000000</v>
      </c>
      <c r="K64" s="163"/>
      <c r="L64" s="4"/>
      <c r="M64" s="4"/>
      <c r="N64" s="4"/>
      <c r="O64" s="4"/>
      <c r="P64" s="4"/>
      <c r="Q64" s="4"/>
      <c r="R64" s="9"/>
    </row>
    <row r="65" spans="1:18" s="796" customFormat="1" x14ac:dyDescent="0.25">
      <c r="A65" s="799" t="s">
        <v>469</v>
      </c>
      <c r="B65" s="736" t="s">
        <v>470</v>
      </c>
      <c r="C65" s="800">
        <f>SUM(C66:C68)</f>
        <v>12000000</v>
      </c>
      <c r="D65" s="789"/>
      <c r="E65" s="790"/>
      <c r="F65" s="790"/>
      <c r="G65" s="791">
        <v>0</v>
      </c>
      <c r="H65" s="790"/>
      <c r="I65" s="790"/>
      <c r="J65" s="791">
        <v>0</v>
      </c>
      <c r="K65" s="793"/>
      <c r="L65" s="794"/>
      <c r="M65" s="794"/>
      <c r="N65" s="794"/>
      <c r="O65" s="794"/>
      <c r="P65" s="794"/>
      <c r="Q65" s="794"/>
      <c r="R65" s="795"/>
    </row>
    <row r="66" spans="1:18" x14ac:dyDescent="0.25">
      <c r="A66" s="49" t="s">
        <v>448</v>
      </c>
      <c r="B66" s="707" t="s">
        <v>445</v>
      </c>
      <c r="C66" s="56">
        <v>170000</v>
      </c>
      <c r="D66" s="200"/>
      <c r="E66" s="134"/>
      <c r="F66" s="134"/>
      <c r="G66" s="6">
        <v>0</v>
      </c>
      <c r="H66" s="134"/>
      <c r="I66" s="134"/>
      <c r="J66" s="6">
        <f t="shared" ref="J66:J68" si="28">G66-C66</f>
        <v>-170000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413</v>
      </c>
      <c r="B67" s="707" t="s">
        <v>334</v>
      </c>
      <c r="C67" s="56">
        <v>820000</v>
      </c>
      <c r="D67" s="200"/>
      <c r="E67" s="134"/>
      <c r="F67" s="134"/>
      <c r="G67" s="6">
        <v>0</v>
      </c>
      <c r="H67" s="134"/>
      <c r="I67" s="134"/>
      <c r="J67" s="6">
        <f t="shared" si="28"/>
        <v>-820000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391</v>
      </c>
      <c r="B68" s="218" t="s">
        <v>198</v>
      </c>
      <c r="C68" s="56">
        <v>11010000</v>
      </c>
      <c r="D68" s="200"/>
      <c r="E68" s="134"/>
      <c r="F68" s="134"/>
      <c r="G68" s="6">
        <v>0</v>
      </c>
      <c r="H68" s="134"/>
      <c r="I68" s="134"/>
      <c r="J68" s="6">
        <f t="shared" si="28"/>
        <v>-11010000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238" t="s">
        <v>504</v>
      </c>
      <c r="B69" s="238" t="s">
        <v>64</v>
      </c>
      <c r="C69" s="239">
        <f>SUM(C70:C71)</f>
        <v>148714000</v>
      </c>
      <c r="D69" s="241"/>
      <c r="E69" s="242"/>
      <c r="F69" s="242"/>
      <c r="G69" s="791">
        <v>0</v>
      </c>
      <c r="H69" s="242"/>
      <c r="I69" s="242"/>
      <c r="J69" s="791">
        <v>0</v>
      </c>
      <c r="K69" s="237"/>
      <c r="L69" s="4"/>
      <c r="M69" s="4"/>
      <c r="N69" s="4"/>
      <c r="O69" s="4"/>
      <c r="P69" s="4"/>
      <c r="Q69" s="4"/>
      <c r="R69" s="9"/>
    </row>
    <row r="70" spans="1:18" ht="21" customHeight="1" x14ac:dyDescent="0.25">
      <c r="A70" s="49" t="s">
        <v>450</v>
      </c>
      <c r="B70" s="707" t="s">
        <v>384</v>
      </c>
      <c r="C70" s="56">
        <v>3480000</v>
      </c>
      <c r="D70" s="200">
        <f>C70/C69*100</f>
        <v>2.3400621326842126</v>
      </c>
      <c r="E70" s="134">
        <f t="shared" ref="E70:E71" si="29">G70/C70*100</f>
        <v>100</v>
      </c>
      <c r="F70" s="134">
        <f t="shared" si="26"/>
        <v>2.3400621326842126</v>
      </c>
      <c r="G70" s="6">
        <f>3480000</f>
        <v>3480000</v>
      </c>
      <c r="H70" s="134">
        <f t="shared" ref="H70:H71" si="30">G70/C70*100</f>
        <v>100</v>
      </c>
      <c r="I70" s="134">
        <f t="shared" ref="I70:I71" si="31">(D70*H70)/100</f>
        <v>2.3400621326842126</v>
      </c>
      <c r="J70" s="6">
        <f t="shared" ref="J70:J71" si="32">G70-C70</f>
        <v>0</v>
      </c>
      <c r="K70" s="163"/>
      <c r="L70" s="4"/>
      <c r="M70" s="4"/>
      <c r="N70" s="4"/>
      <c r="O70" s="4"/>
      <c r="P70" s="4"/>
      <c r="Q70" s="4"/>
      <c r="R70" s="9"/>
    </row>
    <row r="71" spans="1:18" ht="15.75" thickBot="1" x14ac:dyDescent="0.3">
      <c r="A71" s="217" t="s">
        <v>449</v>
      </c>
      <c r="B71" s="78" t="s">
        <v>23</v>
      </c>
      <c r="C71" s="219">
        <v>145234000</v>
      </c>
      <c r="D71" s="200">
        <f>C71/C69*100</f>
        <v>97.659937867315776</v>
      </c>
      <c r="E71" s="134">
        <f t="shared" si="29"/>
        <v>98.406741534351454</v>
      </c>
      <c r="F71" s="134">
        <f t="shared" si="26"/>
        <v>96.103962639697656</v>
      </c>
      <c r="G71" s="6">
        <f>86169136+56750911</f>
        <v>142920047</v>
      </c>
      <c r="H71" s="134">
        <f t="shared" si="30"/>
        <v>98.406741534351454</v>
      </c>
      <c r="I71" s="134">
        <f t="shared" si="31"/>
        <v>96.103962639697656</v>
      </c>
      <c r="J71" s="6">
        <f t="shared" si="32"/>
        <v>-2313953</v>
      </c>
      <c r="K71" s="163"/>
      <c r="L71" s="4"/>
      <c r="M71" s="4"/>
      <c r="N71" s="4"/>
      <c r="O71" s="694"/>
      <c r="P71" s="4"/>
      <c r="Q71" s="4"/>
      <c r="R71" s="9"/>
    </row>
    <row r="72" spans="1:18" ht="15.75" thickBot="1" x14ac:dyDescent="0.3">
      <c r="A72" s="689" t="s">
        <v>248</v>
      </c>
      <c r="B72" s="708" t="s">
        <v>68</v>
      </c>
      <c r="C72" s="690"/>
      <c r="D72" s="216"/>
      <c r="E72" s="134"/>
      <c r="F72" s="134"/>
      <c r="G72" s="6">
        <v>0</v>
      </c>
      <c r="H72" s="134"/>
      <c r="I72" s="134"/>
      <c r="J72" s="6">
        <v>0</v>
      </c>
      <c r="K72" s="163"/>
      <c r="L72" s="4"/>
      <c r="M72" s="4"/>
      <c r="N72" s="4"/>
      <c r="O72" s="4"/>
      <c r="P72" s="4"/>
      <c r="Q72" s="4"/>
      <c r="R72" s="9"/>
    </row>
    <row r="73" spans="1:18" x14ac:dyDescent="0.25">
      <c r="A73" s="233" t="s">
        <v>249</v>
      </c>
      <c r="B73" s="696" t="s">
        <v>387</v>
      </c>
      <c r="C73" s="234">
        <f>SUM(C74:C76)</f>
        <v>237367500</v>
      </c>
      <c r="D73" s="241"/>
      <c r="E73" s="242"/>
      <c r="F73" s="242"/>
      <c r="G73" s="791">
        <v>0</v>
      </c>
      <c r="H73" s="242"/>
      <c r="I73" s="242"/>
      <c r="J73" s="791">
        <v>0</v>
      </c>
      <c r="K73" s="237"/>
      <c r="L73" s="4"/>
      <c r="M73" s="4"/>
      <c r="N73" s="4"/>
      <c r="O73" s="713"/>
      <c r="P73" s="4"/>
      <c r="Q73" s="4"/>
      <c r="R73" s="9"/>
    </row>
    <row r="74" spans="1:18" x14ac:dyDescent="0.25">
      <c r="A74" s="49" t="s">
        <v>471</v>
      </c>
      <c r="B74" s="78" t="s">
        <v>388</v>
      </c>
      <c r="C74" s="56">
        <v>54000000</v>
      </c>
      <c r="D74" s="200">
        <f>C74/C73*100</f>
        <v>22.749533950519762</v>
      </c>
      <c r="E74" s="134">
        <f t="shared" ref="E74:E76" si="33">G74/C74*100</f>
        <v>59.579370370370363</v>
      </c>
      <c r="F74" s="134">
        <f t="shared" ref="F74:F76" si="34">(D74*E74)/100</f>
        <v>13.554029089913318</v>
      </c>
      <c r="G74" s="6">
        <f>32172860</f>
        <v>32172860</v>
      </c>
      <c r="H74" s="134">
        <f t="shared" ref="H74:H78" si="35">G74/C74*100</f>
        <v>59.579370370370363</v>
      </c>
      <c r="I74" s="134">
        <f t="shared" ref="I74:I76" si="36">(D74*H74)/100</f>
        <v>13.554029089913318</v>
      </c>
      <c r="J74" s="6">
        <f t="shared" ref="J74:J76" si="37">G74-C74</f>
        <v>-21827140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472</v>
      </c>
      <c r="B75" s="78" t="s">
        <v>73</v>
      </c>
      <c r="C75" s="56">
        <v>39000000</v>
      </c>
      <c r="D75" s="200">
        <f>C75/C73*100</f>
        <v>16.430218964264274</v>
      </c>
      <c r="E75" s="134">
        <f t="shared" si="33"/>
        <v>47.369946153846158</v>
      </c>
      <c r="F75" s="134">
        <f t="shared" si="34"/>
        <v>7.782985876331006</v>
      </c>
      <c r="G75" s="6">
        <f>17600989+873290</f>
        <v>18474279</v>
      </c>
      <c r="H75" s="134">
        <f t="shared" si="35"/>
        <v>47.369946153846158</v>
      </c>
      <c r="I75" s="134">
        <f t="shared" si="36"/>
        <v>7.782985876331006</v>
      </c>
      <c r="J75" s="6">
        <f t="shared" si="37"/>
        <v>-20525721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473</v>
      </c>
      <c r="B76" s="78" t="s">
        <v>75</v>
      </c>
      <c r="C76" s="56">
        <v>144367500</v>
      </c>
      <c r="D76" s="200">
        <f>C76/C73*100</f>
        <v>60.820247085215961</v>
      </c>
      <c r="E76" s="134">
        <f t="shared" si="33"/>
        <v>81.4411955599425</v>
      </c>
      <c r="F76" s="134">
        <f t="shared" si="34"/>
        <v>49.532736368710957</v>
      </c>
      <c r="G76" s="6">
        <f>113805118+3769500</f>
        <v>117574618</v>
      </c>
      <c r="H76" s="134">
        <f t="shared" si="35"/>
        <v>81.4411955599425</v>
      </c>
      <c r="I76" s="134">
        <f t="shared" si="36"/>
        <v>49.532736368710957</v>
      </c>
      <c r="J76" s="6">
        <f t="shared" si="37"/>
        <v>-26792882</v>
      </c>
      <c r="K76" s="163"/>
      <c r="L76" s="4"/>
      <c r="M76" s="4"/>
      <c r="N76" s="4"/>
      <c r="O76" s="4"/>
      <c r="P76" s="4"/>
      <c r="Q76" s="4"/>
      <c r="R76" s="9"/>
    </row>
    <row r="77" spans="1:18" x14ac:dyDescent="0.25">
      <c r="A77" s="238" t="s">
        <v>505</v>
      </c>
      <c r="B77" s="238" t="s">
        <v>76</v>
      </c>
      <c r="C77" s="239">
        <f>SUM(C78:C78)</f>
        <v>20000000</v>
      </c>
      <c r="D77" s="241"/>
      <c r="E77" s="242"/>
      <c r="F77" s="242"/>
      <c r="G77" s="791">
        <v>0</v>
      </c>
      <c r="H77" s="242"/>
      <c r="I77" s="242"/>
      <c r="J77" s="791">
        <v>0</v>
      </c>
      <c r="K77" s="237"/>
      <c r="L77" s="4"/>
      <c r="M77" s="4"/>
      <c r="N77" s="4"/>
      <c r="O77" s="4"/>
      <c r="P77" s="4"/>
      <c r="Q77" s="4"/>
      <c r="R77" s="9"/>
    </row>
    <row r="78" spans="1:18" ht="14.25" customHeight="1" thickBot="1" x14ac:dyDescent="0.3">
      <c r="A78" s="49" t="s">
        <v>450</v>
      </c>
      <c r="B78" s="707" t="s">
        <v>384</v>
      </c>
      <c r="C78" s="56">
        <v>20000000</v>
      </c>
      <c r="D78" s="200">
        <f>C78/C77*100</f>
        <v>100</v>
      </c>
      <c r="E78" s="134">
        <f t="shared" ref="E78" si="38">G78/C78*100</f>
        <v>42.5</v>
      </c>
      <c r="F78" s="134">
        <f t="shared" ref="F78" si="39">(D78*E78)/100</f>
        <v>42.5</v>
      </c>
      <c r="G78" s="6">
        <f>8500000</f>
        <v>8500000</v>
      </c>
      <c r="H78" s="134">
        <f t="shared" si="35"/>
        <v>42.5</v>
      </c>
      <c r="I78" s="134">
        <f t="shared" ref="I78" si="40">(D78*H78)/100</f>
        <v>42.5</v>
      </c>
      <c r="J78" s="6">
        <f>G78-C78</f>
        <v>-11500000</v>
      </c>
      <c r="K78" s="163"/>
      <c r="L78" s="4"/>
      <c r="M78" s="4"/>
      <c r="N78" s="4"/>
      <c r="O78" s="4"/>
      <c r="P78" s="4"/>
      <c r="Q78" s="4"/>
      <c r="R78" s="9"/>
    </row>
    <row r="79" spans="1:18" ht="26.25" thickBot="1" x14ac:dyDescent="0.3">
      <c r="A79" s="689" t="s">
        <v>506</v>
      </c>
      <c r="B79" s="692" t="s">
        <v>377</v>
      </c>
      <c r="C79" s="690"/>
      <c r="D79" s="216"/>
      <c r="E79" s="134"/>
      <c r="F79" s="134"/>
      <c r="G79" s="6">
        <v>0</v>
      </c>
      <c r="H79" s="134"/>
      <c r="I79" s="134"/>
      <c r="J79" s="6">
        <v>0</v>
      </c>
      <c r="K79" s="163"/>
      <c r="L79" s="4"/>
      <c r="M79" s="4"/>
      <c r="N79" s="4"/>
      <c r="O79" s="694"/>
      <c r="P79" s="4"/>
      <c r="Q79" s="4"/>
      <c r="R79" s="9"/>
    </row>
    <row r="80" spans="1:18" ht="26.25" x14ac:dyDescent="0.25">
      <c r="A80" s="693" t="s">
        <v>507</v>
      </c>
      <c r="B80" s="691" t="s">
        <v>474</v>
      </c>
      <c r="C80" s="234">
        <f>SUM(C81:C85)</f>
        <v>151843982</v>
      </c>
      <c r="D80" s="241"/>
      <c r="E80" s="242"/>
      <c r="F80" s="242"/>
      <c r="G80" s="791">
        <v>0</v>
      </c>
      <c r="H80" s="242"/>
      <c r="I80" s="242"/>
      <c r="J80" s="791">
        <v>0</v>
      </c>
      <c r="K80" s="244"/>
      <c r="L80" s="4"/>
      <c r="M80" s="4"/>
      <c r="N80" s="4"/>
      <c r="O80" s="4"/>
      <c r="P80" s="4"/>
      <c r="Q80" s="4"/>
      <c r="R80" s="9"/>
    </row>
    <row r="81" spans="1:18" s="783" customFormat="1" ht="25.5" x14ac:dyDescent="0.25">
      <c r="A81" s="801" t="s">
        <v>450</v>
      </c>
      <c r="B81" s="707" t="s">
        <v>384</v>
      </c>
      <c r="C81" s="788">
        <v>7330000</v>
      </c>
      <c r="D81" s="741"/>
      <c r="E81" s="742"/>
      <c r="F81" s="742"/>
      <c r="G81" s="6">
        <f>3670000</f>
        <v>3670000</v>
      </c>
      <c r="H81" s="742"/>
      <c r="I81" s="742"/>
      <c r="J81" s="6">
        <f t="shared" ref="J81:J85" si="41">G81-C81</f>
        <v>-3660000</v>
      </c>
      <c r="K81" s="743"/>
      <c r="L81" s="737"/>
      <c r="M81" s="737"/>
      <c r="N81" s="737"/>
      <c r="O81" s="737"/>
      <c r="P81" s="737"/>
      <c r="Q81" s="737"/>
      <c r="R81" s="782"/>
    </row>
    <row r="82" spans="1:18" x14ac:dyDescent="0.25">
      <c r="A82" s="224" t="s">
        <v>475</v>
      </c>
      <c r="B82" s="78" t="s">
        <v>81</v>
      </c>
      <c r="C82" s="56">
        <v>79356018</v>
      </c>
      <c r="D82" s="200">
        <f>C82/C80*100</f>
        <v>52.261549621373874</v>
      </c>
      <c r="E82" s="134">
        <f t="shared" ref="E82:E85" si="42">G82/C82*100</f>
        <v>96.092073319505516</v>
      </c>
      <c r="F82" s="134">
        <f t="shared" ref="F82:F85" si="43">(D82*E82)/100</f>
        <v>50.219206580080346</v>
      </c>
      <c r="G82" s="6">
        <f>76254843</f>
        <v>76254843</v>
      </c>
      <c r="H82" s="134">
        <f t="shared" ref="H82:H85" si="44">G82/C82*100</f>
        <v>96.092073319505516</v>
      </c>
      <c r="I82" s="134">
        <f t="shared" ref="I82:I85" si="45">(D82*H82)/100</f>
        <v>50.219206580080346</v>
      </c>
      <c r="J82" s="6">
        <f t="shared" si="41"/>
        <v>-3101175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476</v>
      </c>
      <c r="B83" s="78" t="s">
        <v>83</v>
      </c>
      <c r="C83" s="56">
        <v>22600000</v>
      </c>
      <c r="D83" s="200">
        <f>C83/C80*100</f>
        <v>14.883698189632566</v>
      </c>
      <c r="E83" s="134">
        <f t="shared" si="42"/>
        <v>42.415929203539818</v>
      </c>
      <c r="F83" s="134">
        <f t="shared" si="43"/>
        <v>6.3130588869830868</v>
      </c>
      <c r="G83" s="6">
        <f>9586000</f>
        <v>9586000</v>
      </c>
      <c r="H83" s="134">
        <f t="shared" si="44"/>
        <v>42.415929203539818</v>
      </c>
      <c r="I83" s="134">
        <f t="shared" si="45"/>
        <v>6.3130588869830868</v>
      </c>
      <c r="J83" s="6">
        <f t="shared" si="41"/>
        <v>-13014000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477</v>
      </c>
      <c r="B84" s="78" t="s">
        <v>85</v>
      </c>
      <c r="C84" s="56">
        <v>13307964</v>
      </c>
      <c r="D84" s="200">
        <f>C84/C80*100</f>
        <v>8.7642353847121832</v>
      </c>
      <c r="E84" s="134">
        <f t="shared" si="42"/>
        <v>2.6856099099757107</v>
      </c>
      <c r="F84" s="134">
        <f t="shared" si="43"/>
        <v>0.23537317402542826</v>
      </c>
      <c r="G84" s="6">
        <f>357400</f>
        <v>357400</v>
      </c>
      <c r="H84" s="134">
        <f t="shared" si="44"/>
        <v>2.6856099099757107</v>
      </c>
      <c r="I84" s="134">
        <f t="shared" si="45"/>
        <v>0.23537317402542826</v>
      </c>
      <c r="J84" s="6">
        <f t="shared" si="41"/>
        <v>-12950564</v>
      </c>
      <c r="K84" s="56"/>
      <c r="L84" s="4"/>
      <c r="M84" s="4"/>
      <c r="N84" s="4"/>
      <c r="O84" s="713"/>
      <c r="P84" s="4"/>
      <c r="Q84" s="4"/>
      <c r="R84" s="9"/>
    </row>
    <row r="85" spans="1:18" ht="25.5" x14ac:dyDescent="0.25">
      <c r="A85" s="49" t="s">
        <v>478</v>
      </c>
      <c r="B85" s="77" t="s">
        <v>87</v>
      </c>
      <c r="C85" s="56">
        <v>29250000</v>
      </c>
      <c r="D85" s="200">
        <f>C85/C80*100</f>
        <v>19.263193453396134</v>
      </c>
      <c r="E85" s="134">
        <f t="shared" si="42"/>
        <v>89.977777777777774</v>
      </c>
      <c r="F85" s="134">
        <f t="shared" si="43"/>
        <v>17.33259339840021</v>
      </c>
      <c r="G85" s="6">
        <f>17270000+9048500</f>
        <v>26318500</v>
      </c>
      <c r="H85" s="134">
        <f t="shared" si="44"/>
        <v>89.977777777777774</v>
      </c>
      <c r="I85" s="134">
        <f t="shared" si="45"/>
        <v>17.33259339840021</v>
      </c>
      <c r="J85" s="6">
        <f t="shared" si="41"/>
        <v>-2931500</v>
      </c>
      <c r="K85" s="56"/>
      <c r="L85" s="4"/>
      <c r="M85" s="4"/>
      <c r="N85" s="4"/>
      <c r="O85" s="4"/>
      <c r="P85" s="4"/>
      <c r="Q85" s="4"/>
      <c r="R85" s="9"/>
    </row>
    <row r="86" spans="1:18" s="796" customFormat="1" x14ac:dyDescent="0.25">
      <c r="A86" s="799" t="s">
        <v>483</v>
      </c>
      <c r="B86" s="691" t="s">
        <v>479</v>
      </c>
      <c r="C86" s="800">
        <f>SUM(C87:C89)</f>
        <v>30280000</v>
      </c>
      <c r="D86" s="789"/>
      <c r="E86" s="790"/>
      <c r="F86" s="790"/>
      <c r="G86" s="791">
        <v>0</v>
      </c>
      <c r="H86" s="790"/>
      <c r="I86" s="790"/>
      <c r="J86" s="791">
        <v>0</v>
      </c>
      <c r="K86" s="792"/>
      <c r="L86" s="794"/>
      <c r="M86" s="794"/>
      <c r="N86" s="794"/>
      <c r="O86" s="794"/>
      <c r="P86" s="794"/>
      <c r="Q86" s="794"/>
      <c r="R86" s="795"/>
    </row>
    <row r="87" spans="1:18" ht="25.5" x14ac:dyDescent="0.25">
      <c r="A87" s="49" t="s">
        <v>484</v>
      </c>
      <c r="B87" s="77" t="s">
        <v>480</v>
      </c>
      <c r="C87" s="56">
        <v>4110000</v>
      </c>
      <c r="D87" s="200"/>
      <c r="E87" s="134"/>
      <c r="F87" s="134"/>
      <c r="G87" s="132">
        <f>2870000</f>
        <v>2870000</v>
      </c>
      <c r="H87" s="134"/>
      <c r="I87" s="134"/>
      <c r="J87" s="6">
        <f t="shared" ref="J87:J89" si="46">G87-C87</f>
        <v>-1240000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485</v>
      </c>
      <c r="B88" s="77" t="s">
        <v>481</v>
      </c>
      <c r="C88" s="56">
        <v>14490000</v>
      </c>
      <c r="D88" s="200"/>
      <c r="E88" s="134"/>
      <c r="F88" s="134"/>
      <c r="G88" s="6">
        <f>6300000</f>
        <v>6300000</v>
      </c>
      <c r="H88" s="134"/>
      <c r="I88" s="134"/>
      <c r="J88" s="6">
        <f t="shared" si="46"/>
        <v>-8190000</v>
      </c>
      <c r="K88" s="56"/>
      <c r="L88" s="4"/>
      <c r="M88" s="4"/>
      <c r="N88" s="4"/>
      <c r="O88" s="4"/>
      <c r="P88" s="4"/>
      <c r="Q88" s="4"/>
      <c r="R88" s="9"/>
    </row>
    <row r="89" spans="1:18" ht="25.5" x14ac:dyDescent="0.25">
      <c r="A89" s="49" t="s">
        <v>486</v>
      </c>
      <c r="B89" s="77" t="s">
        <v>482</v>
      </c>
      <c r="C89" s="56">
        <v>11680000</v>
      </c>
      <c r="D89" s="200"/>
      <c r="E89" s="134"/>
      <c r="F89" s="134"/>
      <c r="G89" s="132">
        <f>9840000</f>
        <v>9840000</v>
      </c>
      <c r="H89" s="134"/>
      <c r="I89" s="134"/>
      <c r="J89" s="6">
        <f t="shared" si="46"/>
        <v>-1840000</v>
      </c>
      <c r="K89" s="56"/>
      <c r="L89" s="4"/>
      <c r="M89" s="4"/>
      <c r="N89" s="4"/>
      <c r="O89" s="4"/>
      <c r="P89" s="4"/>
      <c r="Q89" s="4"/>
      <c r="R89" s="9"/>
    </row>
    <row r="90" spans="1:18" s="796" customFormat="1" ht="25.5" x14ac:dyDescent="0.25">
      <c r="A90" s="799" t="s">
        <v>508</v>
      </c>
      <c r="B90" s="802" t="s">
        <v>90</v>
      </c>
      <c r="C90" s="800">
        <v>107280000</v>
      </c>
      <c r="D90" s="789"/>
      <c r="E90" s="790"/>
      <c r="F90" s="790"/>
      <c r="G90" s="791"/>
      <c r="H90" s="790"/>
      <c r="I90" s="790"/>
      <c r="J90" s="791"/>
      <c r="K90" s="792"/>
      <c r="L90" s="794"/>
      <c r="M90" s="794"/>
      <c r="N90" s="794"/>
      <c r="O90" s="794"/>
      <c r="P90" s="794"/>
      <c r="Q90" s="794"/>
      <c r="R90" s="795"/>
    </row>
    <row r="91" spans="1:18" ht="25.5" x14ac:dyDescent="0.25">
      <c r="A91" s="49" t="s">
        <v>487</v>
      </c>
      <c r="B91" s="77" t="s">
        <v>509</v>
      </c>
      <c r="C91" s="56">
        <v>107280000</v>
      </c>
      <c r="D91" s="200"/>
      <c r="E91" s="134"/>
      <c r="F91" s="134"/>
      <c r="G91" s="132">
        <f>11450000+1093000</f>
        <v>12543000</v>
      </c>
      <c r="H91" s="134"/>
      <c r="I91" s="134"/>
      <c r="J91" s="6">
        <f>G91-C91</f>
        <v>-94737000</v>
      </c>
      <c r="K91" s="56"/>
      <c r="L91" s="4"/>
      <c r="M91" s="4"/>
      <c r="N91" s="4"/>
      <c r="O91" s="4"/>
      <c r="P91" s="4"/>
      <c r="Q91" s="4"/>
      <c r="R91" s="9"/>
    </row>
    <row r="92" spans="1:18" ht="25.5" x14ac:dyDescent="0.25">
      <c r="A92" s="238" t="s">
        <v>510</v>
      </c>
      <c r="B92" s="240" t="s">
        <v>90</v>
      </c>
      <c r="C92" s="239">
        <v>47010000</v>
      </c>
      <c r="D92" s="241"/>
      <c r="E92" s="242"/>
      <c r="F92" s="242"/>
      <c r="G92" s="791">
        <v>0</v>
      </c>
      <c r="H92" s="242"/>
      <c r="I92" s="242"/>
      <c r="J92" s="791">
        <v>0</v>
      </c>
      <c r="K92" s="244"/>
      <c r="L92" s="4"/>
      <c r="M92" s="4"/>
      <c r="N92" s="4"/>
      <c r="O92" s="4"/>
      <c r="P92" s="4"/>
      <c r="Q92" s="4"/>
      <c r="R92" s="9"/>
    </row>
    <row r="93" spans="1:18" s="783" customFormat="1" x14ac:dyDescent="0.25">
      <c r="A93" s="124" t="s">
        <v>448</v>
      </c>
      <c r="B93" s="707" t="s">
        <v>445</v>
      </c>
      <c r="C93" s="743">
        <v>170000</v>
      </c>
      <c r="D93" s="741"/>
      <c r="E93" s="742"/>
      <c r="F93" s="742"/>
      <c r="G93" s="6">
        <v>0</v>
      </c>
      <c r="H93" s="742"/>
      <c r="I93" s="742"/>
      <c r="J93" s="6">
        <f t="shared" ref="J93:J95" si="47">G93-C93</f>
        <v>-170000</v>
      </c>
      <c r="K93" s="743"/>
      <c r="L93" s="737"/>
      <c r="M93" s="737"/>
      <c r="N93" s="737"/>
      <c r="O93" s="737"/>
      <c r="P93" s="737"/>
      <c r="Q93" s="737"/>
      <c r="R93" s="782"/>
    </row>
    <row r="94" spans="1:18" x14ac:dyDescent="0.25">
      <c r="A94" s="49" t="s">
        <v>490</v>
      </c>
      <c r="B94" s="316" t="s">
        <v>488</v>
      </c>
      <c r="C94" s="56">
        <v>8500000</v>
      </c>
      <c r="D94" s="200">
        <f>C94/C92*100</f>
        <v>18.081259306530526</v>
      </c>
      <c r="E94" s="134">
        <f t="shared" ref="E94:E95" si="48">G94/C94*100</f>
        <v>0</v>
      </c>
      <c r="F94" s="134">
        <f t="shared" ref="F94:F95" si="49">(D94*E94)/100</f>
        <v>0</v>
      </c>
      <c r="G94" s="6">
        <v>0</v>
      </c>
      <c r="H94" s="134">
        <f t="shared" ref="H94:H95" si="50">G94/C94*100</f>
        <v>0</v>
      </c>
      <c r="I94" s="134">
        <f t="shared" ref="I94:I95" si="51">(D94*H94)/100</f>
        <v>0</v>
      </c>
      <c r="J94" s="6">
        <f t="shared" si="47"/>
        <v>-8500000</v>
      </c>
      <c r="K94" s="56"/>
      <c r="L94" s="4"/>
      <c r="M94" s="4"/>
      <c r="N94" s="4"/>
      <c r="O94" s="4"/>
      <c r="P94" s="4"/>
      <c r="Q94" s="4"/>
      <c r="R94" s="9"/>
    </row>
    <row r="95" spans="1:18" ht="25.5" x14ac:dyDescent="0.25">
      <c r="A95" s="49" t="s">
        <v>491</v>
      </c>
      <c r="B95" s="77" t="s">
        <v>489</v>
      </c>
      <c r="C95" s="56">
        <v>38340000</v>
      </c>
      <c r="D95" s="200">
        <f>C95/C92*100</f>
        <v>81.557115507338864</v>
      </c>
      <c r="E95" s="134">
        <f t="shared" si="48"/>
        <v>78.651082420448617</v>
      </c>
      <c r="F95" s="134">
        <f t="shared" si="49"/>
        <v>64.145554137417562</v>
      </c>
      <c r="G95" s="138">
        <f>19048825+11106000</f>
        <v>30154825</v>
      </c>
      <c r="H95" s="134">
        <f t="shared" si="50"/>
        <v>78.651082420448617</v>
      </c>
      <c r="I95" s="134">
        <f t="shared" si="51"/>
        <v>64.145554137417562</v>
      </c>
      <c r="J95" s="6">
        <f t="shared" si="47"/>
        <v>-8185175</v>
      </c>
      <c r="K95" s="56"/>
      <c r="L95" s="4"/>
      <c r="M95" s="695"/>
      <c r="N95" s="4"/>
      <c r="O95" s="4"/>
      <c r="P95" s="4"/>
      <c r="Q95" s="4"/>
      <c r="R95" s="9"/>
    </row>
    <row r="96" spans="1:18" x14ac:dyDescent="0.25">
      <c r="A96" s="1045" t="s">
        <v>95</v>
      </c>
      <c r="B96" s="1046"/>
      <c r="C96" s="1047"/>
      <c r="D96" s="81"/>
      <c r="E96" s="134"/>
      <c r="F96" s="134"/>
      <c r="G96" s="768">
        <f>SUM(G12:G95)</f>
        <v>10666756686</v>
      </c>
      <c r="H96" s="134"/>
      <c r="I96" s="134"/>
      <c r="J96" s="781">
        <v>0</v>
      </c>
      <c r="K96" s="130"/>
      <c r="L96" s="1"/>
      <c r="M96" s="1"/>
      <c r="N96" s="1"/>
      <c r="O96" s="1"/>
      <c r="P96" s="1"/>
      <c r="Q96" s="1"/>
      <c r="R96" s="1"/>
    </row>
    <row r="97" spans="1:18" x14ac:dyDescent="0.25">
      <c r="A97" s="50"/>
      <c r="B97" s="5"/>
      <c r="C97" s="50"/>
      <c r="D97" s="9"/>
      <c r="E97" s="23"/>
      <c r="F97" s="23"/>
      <c r="G97" s="11"/>
      <c r="H97" s="23"/>
      <c r="I97" s="23"/>
      <c r="J97" s="4"/>
      <c r="K97" s="9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0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1"/>
      <c r="M98" s="1"/>
      <c r="N98" s="1"/>
      <c r="O98" s="1"/>
      <c r="P98" s="1"/>
      <c r="Q98" s="1"/>
      <c r="R98" s="1"/>
    </row>
    <row r="99" spans="1:18" x14ac:dyDescent="0.25">
      <c r="A99" s="1036" t="s">
        <v>511</v>
      </c>
      <c r="B99" s="1036"/>
      <c r="C99" s="1036"/>
      <c r="D99" s="1036"/>
      <c r="E99" s="1037"/>
      <c r="F99" s="1037"/>
      <c r="G99" s="1038"/>
      <c r="H99" s="1037"/>
      <c r="I99" s="1037"/>
      <c r="J99" s="1036"/>
      <c r="K99" s="1036"/>
      <c r="L99" s="9"/>
      <c r="M99" s="9"/>
      <c r="N99" s="9"/>
      <c r="O99" s="9"/>
      <c r="P99" s="9"/>
      <c r="Q99" s="9"/>
      <c r="R99" s="9"/>
    </row>
    <row r="100" spans="1:18" x14ac:dyDescent="0.25">
      <c r="A100" s="1161" t="s">
        <v>563</v>
      </c>
      <c r="B100" s="1161"/>
      <c r="C100" s="1161"/>
      <c r="D100" s="1161"/>
      <c r="E100" s="1161"/>
      <c r="F100" s="1161"/>
      <c r="G100" s="1161"/>
      <c r="H100" s="1161"/>
      <c r="I100" s="1161"/>
      <c r="J100" s="1161"/>
      <c r="K100" s="1161"/>
      <c r="L100" s="9"/>
      <c r="M100" s="9"/>
      <c r="N100" s="9"/>
      <c r="O100" s="9"/>
      <c r="P100" s="9"/>
      <c r="Q100" s="9"/>
      <c r="R100" s="9"/>
    </row>
    <row r="101" spans="1:18" x14ac:dyDescent="0.25">
      <c r="A101" s="1048" t="s">
        <v>2</v>
      </c>
      <c r="B101" s="1051" t="s">
        <v>3</v>
      </c>
      <c r="C101" s="1048" t="s">
        <v>4</v>
      </c>
      <c r="D101" s="1054" t="s">
        <v>5</v>
      </c>
      <c r="E101" s="1055"/>
      <c r="F101" s="1055"/>
      <c r="G101" s="1044" t="s">
        <v>6</v>
      </c>
      <c r="H101" s="1055"/>
      <c r="I101" s="1055"/>
      <c r="J101" s="1048" t="s">
        <v>7</v>
      </c>
      <c r="K101" s="213" t="s">
        <v>8</v>
      </c>
      <c r="L101" s="9"/>
      <c r="M101" s="9"/>
      <c r="N101" s="9"/>
      <c r="O101" s="9"/>
      <c r="P101" s="9"/>
      <c r="Q101" s="9"/>
      <c r="R101" s="9"/>
    </row>
    <row r="102" spans="1:18" x14ac:dyDescent="0.25">
      <c r="A102" s="1049"/>
      <c r="B102" s="1052"/>
      <c r="C102" s="1049"/>
      <c r="D102" s="209" t="s">
        <v>9</v>
      </c>
      <c r="E102" s="214" t="s">
        <v>10</v>
      </c>
      <c r="F102" s="214" t="s">
        <v>11</v>
      </c>
      <c r="G102" s="209" t="s">
        <v>12</v>
      </c>
      <c r="H102" s="214" t="s">
        <v>13</v>
      </c>
      <c r="I102" s="214" t="s">
        <v>11</v>
      </c>
      <c r="J102" s="1049"/>
      <c r="K102" s="209"/>
      <c r="L102" s="1"/>
      <c r="M102" s="1"/>
      <c r="N102" s="1"/>
      <c r="O102" s="1"/>
      <c r="P102" s="1"/>
      <c r="Q102" s="1"/>
      <c r="R102" s="1"/>
    </row>
    <row r="103" spans="1:18" x14ac:dyDescent="0.25">
      <c r="A103" s="1050"/>
      <c r="B103" s="1053"/>
      <c r="C103" s="1050"/>
      <c r="D103" s="212" t="s">
        <v>14</v>
      </c>
      <c r="E103" s="215" t="s">
        <v>14</v>
      </c>
      <c r="F103" s="215" t="s">
        <v>14</v>
      </c>
      <c r="G103" s="212" t="s">
        <v>15</v>
      </c>
      <c r="H103" s="215" t="s">
        <v>14</v>
      </c>
      <c r="I103" s="215" t="s">
        <v>14</v>
      </c>
      <c r="J103" s="212" t="s">
        <v>15</v>
      </c>
      <c r="K103" s="212"/>
      <c r="L103" s="1"/>
      <c r="M103" s="1"/>
      <c r="N103" s="1"/>
      <c r="O103" s="1"/>
      <c r="P103" s="1"/>
      <c r="Q103" s="1"/>
      <c r="R103" s="1"/>
    </row>
    <row r="104" spans="1:18" ht="26.25" thickBot="1" x14ac:dyDescent="0.3">
      <c r="A104" s="227" t="s">
        <v>220</v>
      </c>
      <c r="B104" s="704" t="s">
        <v>212</v>
      </c>
      <c r="C104" s="245">
        <f>SUM(C105:C105)</f>
        <v>1071720000</v>
      </c>
      <c r="D104" s="6"/>
      <c r="E104" s="203"/>
      <c r="F104" s="204"/>
      <c r="G104" s="6"/>
      <c r="H104" s="204"/>
      <c r="I104" s="204"/>
      <c r="J104" s="6"/>
      <c r="K104" s="6"/>
      <c r="L104" s="1"/>
      <c r="M104" s="1"/>
      <c r="N104" s="1"/>
      <c r="O104" s="714"/>
      <c r="P104" s="1"/>
      <c r="Q104" s="1"/>
      <c r="R104" s="1"/>
    </row>
    <row r="105" spans="1:18" ht="26.25" thickBot="1" x14ac:dyDescent="0.3">
      <c r="A105" s="703" t="s">
        <v>180</v>
      </c>
      <c r="B105" s="705" t="s">
        <v>379</v>
      </c>
      <c r="C105" s="246">
        <f>SUM(C106:C106)</f>
        <v>1071720000</v>
      </c>
      <c r="D105" s="226"/>
      <c r="E105" s="204"/>
      <c r="F105" s="204"/>
      <c r="G105" s="6"/>
      <c r="H105" s="204"/>
      <c r="I105" s="204"/>
      <c r="J105" s="6"/>
      <c r="K105" s="6"/>
      <c r="L105" s="1"/>
      <c r="M105" s="1"/>
      <c r="N105" s="1"/>
      <c r="O105" s="1"/>
      <c r="P105" s="1"/>
      <c r="Q105" s="1"/>
      <c r="R105" s="1"/>
    </row>
    <row r="106" spans="1:18" ht="25.5" x14ac:dyDescent="0.25">
      <c r="A106" s="698" t="s">
        <v>181</v>
      </c>
      <c r="B106" s="706" t="s">
        <v>380</v>
      </c>
      <c r="C106" s="246">
        <f>SUM(C107:C128)</f>
        <v>1071720000</v>
      </c>
      <c r="D106" s="236"/>
      <c r="E106" s="278"/>
      <c r="F106" s="278"/>
      <c r="G106" s="236"/>
      <c r="H106" s="278"/>
      <c r="I106" s="278"/>
      <c r="J106" s="236"/>
      <c r="K106" s="236"/>
      <c r="L106" s="1"/>
      <c r="M106" s="1"/>
      <c r="N106" s="1"/>
      <c r="O106" s="715"/>
      <c r="P106" s="1"/>
      <c r="Q106" s="1"/>
      <c r="R106" s="1"/>
    </row>
    <row r="107" spans="1:18" ht="15" customHeight="1" x14ac:dyDescent="0.25">
      <c r="A107" s="315" t="s">
        <v>44</v>
      </c>
      <c r="B107" s="707" t="s">
        <v>384</v>
      </c>
      <c r="C107" s="722">
        <v>53020000</v>
      </c>
      <c r="D107" s="722">
        <f>C107/C105*100</f>
        <v>4.947187698279401</v>
      </c>
      <c r="E107" s="134">
        <f t="shared" ref="E107:E127" si="52">G107/C107*100</f>
        <v>57.431158053564687</v>
      </c>
      <c r="F107" s="134">
        <f t="shared" ref="F107:F127" si="53">(D107*E107)/100</f>
        <v>2.841227186205352</v>
      </c>
      <c r="G107" s="6">
        <f>30450000</f>
        <v>30450000</v>
      </c>
      <c r="H107" s="134">
        <f t="shared" ref="H107:H127" si="54">G107/C107*100</f>
        <v>57.431158053564687</v>
      </c>
      <c r="I107" s="134">
        <f t="shared" ref="I107:I127" si="55">(D107*H107)/100</f>
        <v>2.841227186205352</v>
      </c>
      <c r="J107" s="6">
        <f t="shared" ref="J107:J128" si="56">G107-C107</f>
        <v>-22570000</v>
      </c>
      <c r="K107" s="6"/>
      <c r="L107" s="1"/>
      <c r="M107" s="1"/>
      <c r="N107" s="1"/>
      <c r="O107" s="1"/>
      <c r="P107" s="1"/>
      <c r="Q107" s="1"/>
      <c r="R107" s="1"/>
    </row>
    <row r="108" spans="1:18" ht="15" customHeight="1" x14ac:dyDescent="0.25">
      <c r="A108" s="315" t="s">
        <v>518</v>
      </c>
      <c r="B108" s="707" t="s">
        <v>512</v>
      </c>
      <c r="C108" s="722">
        <v>1500000</v>
      </c>
      <c r="D108" s="722"/>
      <c r="E108" s="134"/>
      <c r="F108" s="134"/>
      <c r="G108" s="6">
        <f>1500000</f>
        <v>1500000</v>
      </c>
      <c r="H108" s="134"/>
      <c r="I108" s="134"/>
      <c r="J108" s="6">
        <f t="shared" si="56"/>
        <v>0</v>
      </c>
      <c r="K108" s="6"/>
      <c r="L108" s="1"/>
      <c r="M108" s="1"/>
      <c r="N108" s="1"/>
      <c r="O108" s="1"/>
      <c r="P108" s="1"/>
      <c r="Q108" s="1"/>
      <c r="R108" s="1"/>
    </row>
    <row r="109" spans="1:18" x14ac:dyDescent="0.25">
      <c r="A109" s="315" t="s">
        <v>59</v>
      </c>
      <c r="B109" s="707" t="s">
        <v>197</v>
      </c>
      <c r="C109" s="247">
        <v>24044000</v>
      </c>
      <c r="D109" s="279">
        <f>C109/C105*100</f>
        <v>2.2434964356361737</v>
      </c>
      <c r="E109" s="134">
        <f t="shared" si="52"/>
        <v>80.527366494759605</v>
      </c>
      <c r="F109" s="134">
        <f t="shared" si="53"/>
        <v>1.80662859702161</v>
      </c>
      <c r="G109" s="6">
        <f>13845500+5516500</f>
        <v>19362000</v>
      </c>
      <c r="H109" s="134">
        <f t="shared" si="54"/>
        <v>80.527366494759605</v>
      </c>
      <c r="I109" s="134">
        <f t="shared" si="55"/>
        <v>1.80662859702161</v>
      </c>
      <c r="J109" s="6">
        <f t="shared" si="56"/>
        <v>-4682000</v>
      </c>
      <c r="K109" s="6"/>
      <c r="L109" s="1"/>
      <c r="M109" s="25"/>
    </row>
    <row r="110" spans="1:18" x14ac:dyDescent="0.25">
      <c r="A110" s="228" t="s">
        <v>62</v>
      </c>
      <c r="B110" s="707" t="s">
        <v>334</v>
      </c>
      <c r="C110" s="247">
        <v>25150000</v>
      </c>
      <c r="D110" s="279">
        <f>C110/C105*100</f>
        <v>2.3466950322845519</v>
      </c>
      <c r="E110" s="134">
        <f t="shared" si="52"/>
        <v>76.437773359840961</v>
      </c>
      <c r="F110" s="134">
        <f t="shared" si="53"/>
        <v>1.7937614302243126</v>
      </c>
      <c r="G110" s="6">
        <f>18524100+700000</f>
        <v>19224100</v>
      </c>
      <c r="H110" s="134">
        <f t="shared" si="54"/>
        <v>76.437773359840961</v>
      </c>
      <c r="I110" s="134">
        <f t="shared" si="55"/>
        <v>1.7937614302243126</v>
      </c>
      <c r="J110" s="6">
        <f t="shared" si="56"/>
        <v>-5925900</v>
      </c>
      <c r="K110" s="6"/>
      <c r="L110" s="1"/>
      <c r="M110" s="1"/>
      <c r="O110" s="716"/>
    </row>
    <row r="111" spans="1:18" x14ac:dyDescent="0.25">
      <c r="A111" s="315" t="s">
        <v>54</v>
      </c>
      <c r="B111" s="707" t="s">
        <v>386</v>
      </c>
      <c r="C111" s="248">
        <v>6000000</v>
      </c>
      <c r="D111" s="279">
        <f>C111/C105*100</f>
        <v>0.55984772141977379</v>
      </c>
      <c r="E111" s="134">
        <f t="shared" si="52"/>
        <v>100</v>
      </c>
      <c r="F111" s="134">
        <f t="shared" si="53"/>
        <v>0.55984772141977379</v>
      </c>
      <c r="G111" s="6">
        <f>6000000</f>
        <v>6000000</v>
      </c>
      <c r="H111" s="134">
        <f t="shared" si="54"/>
        <v>100</v>
      </c>
      <c r="I111" s="134">
        <f t="shared" si="55"/>
        <v>0.55984772141977379</v>
      </c>
      <c r="J111" s="6">
        <f t="shared" si="56"/>
        <v>0</v>
      </c>
      <c r="K111" s="6"/>
      <c r="L111" s="1"/>
      <c r="M111" s="1"/>
    </row>
    <row r="112" spans="1:18" ht="25.5" x14ac:dyDescent="0.25">
      <c r="A112" s="315" t="s">
        <v>86</v>
      </c>
      <c r="B112" s="707" t="s">
        <v>545</v>
      </c>
      <c r="C112" s="732">
        <v>6000000</v>
      </c>
      <c r="D112" s="279"/>
      <c r="E112" s="134"/>
      <c r="F112" s="134"/>
      <c r="G112" s="6"/>
      <c r="H112" s="134"/>
      <c r="I112" s="134"/>
      <c r="J112" s="6">
        <f t="shared" si="56"/>
        <v>-6000000</v>
      </c>
      <c r="K112" s="6"/>
      <c r="L112" s="1"/>
      <c r="M112" s="1"/>
    </row>
    <row r="113" spans="1:13" ht="25.5" x14ac:dyDescent="0.25">
      <c r="A113" s="315" t="s">
        <v>193</v>
      </c>
      <c r="B113" s="316" t="s">
        <v>372</v>
      </c>
      <c r="C113" s="732">
        <v>20000000</v>
      </c>
      <c r="D113" s="279">
        <f>C113/C105*100</f>
        <v>1.8661590713992462</v>
      </c>
      <c r="E113" s="134">
        <f t="shared" si="52"/>
        <v>8.6999999999999993</v>
      </c>
      <c r="F113" s="134">
        <f t="shared" si="53"/>
        <v>0.16235583921173441</v>
      </c>
      <c r="G113" s="6">
        <f>1740000</f>
        <v>1740000</v>
      </c>
      <c r="H113" s="134">
        <f t="shared" si="54"/>
        <v>8.6999999999999993</v>
      </c>
      <c r="I113" s="134">
        <f t="shared" si="55"/>
        <v>0.16235583921173441</v>
      </c>
      <c r="J113" s="6">
        <f t="shared" si="56"/>
        <v>-18260000</v>
      </c>
      <c r="K113" s="6"/>
      <c r="L113" s="1"/>
      <c r="M113" s="716"/>
    </row>
    <row r="114" spans="1:13" x14ac:dyDescent="0.25">
      <c r="A114" s="315" t="s">
        <v>519</v>
      </c>
      <c r="B114" s="315" t="s">
        <v>513</v>
      </c>
      <c r="C114" s="248">
        <v>2292000</v>
      </c>
      <c r="D114" s="279">
        <f>C114/C105*100</f>
        <v>0.21386182958235359</v>
      </c>
      <c r="E114" s="134">
        <v>0</v>
      </c>
      <c r="F114" s="134">
        <f t="shared" si="53"/>
        <v>0</v>
      </c>
      <c r="G114" s="6">
        <v>0</v>
      </c>
      <c r="H114" s="134">
        <v>0</v>
      </c>
      <c r="I114" s="134">
        <f t="shared" si="55"/>
        <v>0</v>
      </c>
      <c r="J114" s="6">
        <f t="shared" si="56"/>
        <v>-2292000</v>
      </c>
      <c r="K114" s="6"/>
      <c r="L114" s="1"/>
      <c r="M114" s="1"/>
    </row>
    <row r="115" spans="1:13" x14ac:dyDescent="0.25">
      <c r="A115" s="228" t="s">
        <v>77</v>
      </c>
      <c r="B115" s="315" t="s">
        <v>103</v>
      </c>
      <c r="C115" s="247">
        <v>325910000</v>
      </c>
      <c r="D115" s="279">
        <f>C115/C105*100</f>
        <v>30.409995147986415</v>
      </c>
      <c r="E115" s="134">
        <f t="shared" si="52"/>
        <v>65.802675585284277</v>
      </c>
      <c r="F115" s="134">
        <f t="shared" si="53"/>
        <v>20.010590452730188</v>
      </c>
      <c r="G115" s="6">
        <f>212327500+2130000</f>
        <v>214457500</v>
      </c>
      <c r="H115" s="134">
        <f t="shared" si="54"/>
        <v>65.802675585284277</v>
      </c>
      <c r="I115" s="134">
        <f t="shared" si="55"/>
        <v>20.010590452730188</v>
      </c>
      <c r="J115" s="6">
        <f t="shared" si="56"/>
        <v>-111452500</v>
      </c>
      <c r="K115" s="6"/>
      <c r="L115" s="1"/>
      <c r="M115" s="1"/>
    </row>
    <row r="116" spans="1:13" x14ac:dyDescent="0.25">
      <c r="A116" s="228" t="s">
        <v>225</v>
      </c>
      <c r="B116" s="315" t="s">
        <v>217</v>
      </c>
      <c r="C116" s="247">
        <v>600000</v>
      </c>
      <c r="D116" s="279">
        <f>C116/C105*100</f>
        <v>5.5984772141977376E-2</v>
      </c>
      <c r="E116" s="134">
        <f t="shared" si="52"/>
        <v>100</v>
      </c>
      <c r="F116" s="134">
        <f t="shared" si="53"/>
        <v>5.5984772141977376E-2</v>
      </c>
      <c r="G116" s="6">
        <f>600000</f>
        <v>600000</v>
      </c>
      <c r="H116" s="134">
        <f t="shared" si="54"/>
        <v>100</v>
      </c>
      <c r="I116" s="134">
        <f t="shared" si="55"/>
        <v>5.5984772141977376E-2</v>
      </c>
      <c r="J116" s="6">
        <f t="shared" si="56"/>
        <v>0</v>
      </c>
      <c r="K116" s="6"/>
      <c r="L116" s="1"/>
      <c r="M116" s="1"/>
    </row>
    <row r="117" spans="1:13" x14ac:dyDescent="0.25">
      <c r="A117" s="228" t="s">
        <v>283</v>
      </c>
      <c r="B117" s="315" t="s">
        <v>514</v>
      </c>
      <c r="C117" s="247">
        <v>5000000</v>
      </c>
      <c r="D117" s="279">
        <f>C117/C105*100</f>
        <v>0.46653976784981155</v>
      </c>
      <c r="E117" s="134">
        <f t="shared" si="52"/>
        <v>100</v>
      </c>
      <c r="F117" s="134">
        <f t="shared" si="53"/>
        <v>0.46653976784981155</v>
      </c>
      <c r="G117" s="6">
        <f>5000000</f>
        <v>5000000</v>
      </c>
      <c r="H117" s="134">
        <f t="shared" si="54"/>
        <v>100</v>
      </c>
      <c r="I117" s="134">
        <f t="shared" si="55"/>
        <v>0.46653976784981155</v>
      </c>
      <c r="J117" s="6">
        <f t="shared" si="56"/>
        <v>0</v>
      </c>
      <c r="K117" s="6"/>
      <c r="L117" s="1"/>
      <c r="M117" s="1"/>
    </row>
    <row r="118" spans="1:13" x14ac:dyDescent="0.25">
      <c r="A118" s="228" t="s">
        <v>104</v>
      </c>
      <c r="B118" s="315" t="s">
        <v>105</v>
      </c>
      <c r="C118" s="249">
        <v>76700000</v>
      </c>
      <c r="D118" s="279">
        <f>C118/C105*100</f>
        <v>7.1567200388161085</v>
      </c>
      <c r="E118" s="134">
        <f t="shared" si="52"/>
        <v>100</v>
      </c>
      <c r="F118" s="134">
        <f t="shared" si="53"/>
        <v>7.1567200388161085</v>
      </c>
      <c r="G118" s="6">
        <f>76700000</f>
        <v>76700000</v>
      </c>
      <c r="H118" s="134">
        <f t="shared" si="54"/>
        <v>100</v>
      </c>
      <c r="I118" s="134">
        <f t="shared" si="55"/>
        <v>7.1567200388161085</v>
      </c>
      <c r="J118" s="6">
        <f t="shared" si="56"/>
        <v>0</v>
      </c>
      <c r="K118" s="6"/>
      <c r="L118" s="1"/>
      <c r="M118" s="1"/>
    </row>
    <row r="119" spans="1:13" x14ac:dyDescent="0.25">
      <c r="A119" s="228" t="s">
        <v>130</v>
      </c>
      <c r="B119" s="315" t="s">
        <v>392</v>
      </c>
      <c r="C119" s="249">
        <v>28200000</v>
      </c>
      <c r="D119" s="279"/>
      <c r="E119" s="134"/>
      <c r="F119" s="134"/>
      <c r="G119" s="6">
        <f>28200000</f>
        <v>28200000</v>
      </c>
      <c r="H119" s="134"/>
      <c r="I119" s="134"/>
      <c r="J119" s="6">
        <f t="shared" si="56"/>
        <v>0</v>
      </c>
      <c r="K119" s="6"/>
      <c r="L119" s="1"/>
      <c r="M119" s="1"/>
    </row>
    <row r="120" spans="1:13" ht="25.5" x14ac:dyDescent="0.25">
      <c r="A120" s="228" t="s">
        <v>106</v>
      </c>
      <c r="B120" s="316" t="s">
        <v>107</v>
      </c>
      <c r="C120" s="251">
        <v>139200000</v>
      </c>
      <c r="D120" s="279">
        <f>C120/C105*100</f>
        <v>12.988467136938752</v>
      </c>
      <c r="E120" s="134">
        <f t="shared" si="52"/>
        <v>82.47126436781609</v>
      </c>
      <c r="F120" s="134">
        <f t="shared" si="53"/>
        <v>10.711753069831671</v>
      </c>
      <c r="G120" s="135">
        <f>114800000</f>
        <v>114800000</v>
      </c>
      <c r="H120" s="134">
        <f t="shared" si="54"/>
        <v>82.47126436781609</v>
      </c>
      <c r="I120" s="134">
        <f t="shared" si="55"/>
        <v>10.711753069831671</v>
      </c>
      <c r="J120" s="6">
        <f t="shared" si="56"/>
        <v>-24400000</v>
      </c>
      <c r="K120" s="6"/>
      <c r="L120" s="1"/>
      <c r="M120" s="1"/>
    </row>
    <row r="121" spans="1:13" x14ac:dyDescent="0.25">
      <c r="A121" s="228" t="s">
        <v>227</v>
      </c>
      <c r="B121" s="315" t="s">
        <v>218</v>
      </c>
      <c r="C121" s="250">
        <v>219000000</v>
      </c>
      <c r="D121" s="279">
        <f>C121/C105*100</f>
        <v>20.434441831821744</v>
      </c>
      <c r="E121" s="134">
        <f t="shared" si="52"/>
        <v>60</v>
      </c>
      <c r="F121" s="134">
        <f t="shared" si="53"/>
        <v>12.260665099093046</v>
      </c>
      <c r="G121" s="6">
        <f>131400000</f>
        <v>131400000</v>
      </c>
      <c r="H121" s="134">
        <f t="shared" si="54"/>
        <v>60</v>
      </c>
      <c r="I121" s="134">
        <f t="shared" si="55"/>
        <v>12.260665099093046</v>
      </c>
      <c r="J121" s="6">
        <f t="shared" si="56"/>
        <v>-87600000</v>
      </c>
      <c r="K121" s="6"/>
      <c r="L121" s="1"/>
      <c r="M121" s="1"/>
    </row>
    <row r="122" spans="1:13" x14ac:dyDescent="0.25">
      <c r="A122" s="315" t="s">
        <v>108</v>
      </c>
      <c r="B122" s="315" t="s">
        <v>109</v>
      </c>
      <c r="C122" s="250">
        <v>1200000</v>
      </c>
      <c r="D122" s="279">
        <f>C122/C105*100</f>
        <v>0.11196954428395475</v>
      </c>
      <c r="E122" s="134">
        <f t="shared" si="52"/>
        <v>0</v>
      </c>
      <c r="F122" s="134">
        <f t="shared" si="53"/>
        <v>0</v>
      </c>
      <c r="G122" s="6">
        <v>0</v>
      </c>
      <c r="H122" s="134">
        <f t="shared" si="54"/>
        <v>0</v>
      </c>
      <c r="I122" s="134">
        <f t="shared" si="55"/>
        <v>0</v>
      </c>
      <c r="J122" s="6">
        <f t="shared" si="56"/>
        <v>-1200000</v>
      </c>
      <c r="K122" s="6"/>
      <c r="L122" s="1"/>
      <c r="M122" s="1"/>
    </row>
    <row r="123" spans="1:13" x14ac:dyDescent="0.25">
      <c r="A123" s="83" t="s">
        <v>162</v>
      </c>
      <c r="B123" s="315" t="s">
        <v>515</v>
      </c>
      <c r="C123" s="250">
        <v>3000000</v>
      </c>
      <c r="D123" s="279">
        <f>C123/C105*100</f>
        <v>0.2799238607098869</v>
      </c>
      <c r="E123" s="134">
        <f t="shared" si="52"/>
        <v>40</v>
      </c>
      <c r="F123" s="134">
        <f t="shared" si="53"/>
        <v>0.11196954428395475</v>
      </c>
      <c r="G123" s="6">
        <f>1200000</f>
        <v>1200000</v>
      </c>
      <c r="H123" s="134">
        <f t="shared" si="54"/>
        <v>40</v>
      </c>
      <c r="I123" s="134">
        <f t="shared" si="55"/>
        <v>0.11196954428395475</v>
      </c>
      <c r="J123" s="6">
        <f t="shared" si="56"/>
        <v>-1800000</v>
      </c>
      <c r="K123" s="6"/>
      <c r="L123" s="1"/>
      <c r="M123" s="1"/>
    </row>
    <row r="124" spans="1:13" ht="25.5" x14ac:dyDescent="0.25">
      <c r="A124" s="315" t="s">
        <v>116</v>
      </c>
      <c r="B124" s="316" t="s">
        <v>516</v>
      </c>
      <c r="C124" s="250">
        <v>7603000</v>
      </c>
      <c r="D124" s="279">
        <f>C124/C105*100</f>
        <v>0.70942037099242339</v>
      </c>
      <c r="E124" s="134">
        <f t="shared" si="52"/>
        <v>13.054057608838615</v>
      </c>
      <c r="F124" s="134">
        <f t="shared" si="53"/>
        <v>9.2608143918187585E-2</v>
      </c>
      <c r="G124" s="6">
        <f>992500</f>
        <v>992500</v>
      </c>
      <c r="H124" s="134">
        <f t="shared" si="54"/>
        <v>13.054057608838615</v>
      </c>
      <c r="I124" s="134">
        <f t="shared" si="55"/>
        <v>9.2608143918187585E-2</v>
      </c>
      <c r="J124" s="6">
        <f t="shared" si="56"/>
        <v>-6610500</v>
      </c>
      <c r="K124" s="6"/>
      <c r="L124" s="1"/>
      <c r="M124" s="1"/>
    </row>
    <row r="125" spans="1:13" x14ac:dyDescent="0.25">
      <c r="A125" s="228" t="s">
        <v>65</v>
      </c>
      <c r="B125" s="315" t="s">
        <v>393</v>
      </c>
      <c r="C125" s="251">
        <v>43666000</v>
      </c>
      <c r="D125" s="279">
        <f>C125/C106*100</f>
        <v>4.0743851005859737</v>
      </c>
      <c r="E125" s="134">
        <f t="shared" si="52"/>
        <v>78.336371547657208</v>
      </c>
      <c r="F125" s="134">
        <f t="shared" si="53"/>
        <v>3.1917254506774153</v>
      </c>
      <c r="G125" s="6">
        <f>28696360+5510000</f>
        <v>34206360</v>
      </c>
      <c r="H125" s="134">
        <f t="shared" si="54"/>
        <v>78.336371547657208</v>
      </c>
      <c r="I125" s="134">
        <f t="shared" si="55"/>
        <v>3.1917254506774153</v>
      </c>
      <c r="J125" s="6">
        <f t="shared" si="56"/>
        <v>-9459640</v>
      </c>
      <c r="K125" s="6"/>
    </row>
    <row r="126" spans="1:13" x14ac:dyDescent="0.25">
      <c r="A126" s="228" t="s">
        <v>66</v>
      </c>
      <c r="B126" s="315" t="s">
        <v>120</v>
      </c>
      <c r="C126" s="251">
        <v>38885000</v>
      </c>
      <c r="D126" s="279">
        <f>C126/C107*100</f>
        <v>73.340248962655593</v>
      </c>
      <c r="E126" s="134">
        <f t="shared" si="52"/>
        <v>99.318503278899314</v>
      </c>
      <c r="F126" s="134">
        <f t="shared" si="53"/>
        <v>72.840437570728014</v>
      </c>
      <c r="G126" s="6">
        <f>38620000</f>
        <v>38620000</v>
      </c>
      <c r="H126" s="134">
        <v>0</v>
      </c>
      <c r="I126" s="134">
        <v>0</v>
      </c>
      <c r="J126" s="6">
        <f t="shared" si="56"/>
        <v>-265000</v>
      </c>
      <c r="K126" s="6"/>
    </row>
    <row r="127" spans="1:13" x14ac:dyDescent="0.25">
      <c r="A127" s="315" t="s">
        <v>287</v>
      </c>
      <c r="B127" s="315" t="s">
        <v>191</v>
      </c>
      <c r="C127" s="250">
        <v>15000000</v>
      </c>
      <c r="D127" s="279">
        <f>C127/C105*100</f>
        <v>1.3996193035494346</v>
      </c>
      <c r="E127" s="134">
        <f t="shared" si="52"/>
        <v>0</v>
      </c>
      <c r="F127" s="134">
        <f t="shared" si="53"/>
        <v>0</v>
      </c>
      <c r="G127" s="6">
        <v>0</v>
      </c>
      <c r="H127" s="134">
        <f t="shared" si="54"/>
        <v>0</v>
      </c>
      <c r="I127" s="134">
        <f t="shared" si="55"/>
        <v>0</v>
      </c>
      <c r="J127" s="6">
        <f t="shared" si="56"/>
        <v>-15000000</v>
      </c>
      <c r="K127" s="6"/>
    </row>
    <row r="128" spans="1:13" x14ac:dyDescent="0.25">
      <c r="A128" s="803" t="s">
        <v>520</v>
      </c>
      <c r="B128" s="315" t="s">
        <v>517</v>
      </c>
      <c r="C128" s="250">
        <v>29750000</v>
      </c>
      <c r="D128" s="279"/>
      <c r="E128" s="134"/>
      <c r="F128" s="134"/>
      <c r="G128" s="6">
        <f>29750000</f>
        <v>29750000</v>
      </c>
      <c r="H128" s="134"/>
      <c r="I128" s="134"/>
      <c r="J128" s="6">
        <f t="shared" si="56"/>
        <v>0</v>
      </c>
      <c r="K128" s="6"/>
    </row>
    <row r="129" spans="1:15" x14ac:dyDescent="0.25">
      <c r="A129" s="1066" t="s">
        <v>95</v>
      </c>
      <c r="B129" s="1067"/>
      <c r="C129" s="1068"/>
      <c r="D129" s="277"/>
      <c r="E129" s="134"/>
      <c r="F129" s="134"/>
      <c r="G129" s="26">
        <f>SUM(G107:G128)</f>
        <v>754202460</v>
      </c>
      <c r="H129" s="134"/>
      <c r="I129" s="134"/>
      <c r="J129" s="734"/>
      <c r="K129" s="26">
        <v>0</v>
      </c>
    </row>
    <row r="130" spans="1:15" x14ac:dyDescent="0.25">
      <c r="A130" s="52"/>
      <c r="B130" s="8"/>
      <c r="C130" s="52"/>
      <c r="D130" s="27"/>
      <c r="E130" s="28"/>
      <c r="F130" s="23"/>
      <c r="G130" s="11"/>
      <c r="H130" s="23"/>
      <c r="I130" s="23"/>
      <c r="J130" s="9"/>
      <c r="K130" s="9"/>
    </row>
    <row r="131" spans="1:15" x14ac:dyDescent="0.25">
      <c r="A131" s="50"/>
      <c r="B131" s="5"/>
      <c r="C131" s="50"/>
      <c r="D131" s="9"/>
      <c r="E131" s="23"/>
      <c r="F131" s="23"/>
      <c r="G131" s="11"/>
      <c r="H131" s="23"/>
      <c r="I131" s="23"/>
      <c r="J131" s="9"/>
      <c r="K131" s="9"/>
    </row>
    <row r="132" spans="1:15" x14ac:dyDescent="0.25">
      <c r="A132" s="1069" t="s">
        <v>2</v>
      </c>
      <c r="B132" s="1069" t="s">
        <v>123</v>
      </c>
      <c r="C132" s="904"/>
      <c r="D132" s="1063" t="s">
        <v>5</v>
      </c>
      <c r="E132" s="1064"/>
      <c r="F132" s="1064"/>
      <c r="G132" s="1065" t="s">
        <v>6</v>
      </c>
      <c r="H132" s="1064"/>
      <c r="I132" s="1064"/>
      <c r="J132" s="1056" t="s">
        <v>7</v>
      </c>
      <c r="K132" s="1056" t="s">
        <v>8</v>
      </c>
    </row>
    <row r="133" spans="1:15" x14ac:dyDescent="0.25">
      <c r="A133" s="1070"/>
      <c r="B133" s="1070"/>
      <c r="C133" s="905" t="s">
        <v>124</v>
      </c>
      <c r="D133" s="89" t="s">
        <v>9</v>
      </c>
      <c r="E133" s="90" t="s">
        <v>10</v>
      </c>
      <c r="F133" s="90" t="s">
        <v>11</v>
      </c>
      <c r="G133" s="91" t="s">
        <v>12</v>
      </c>
      <c r="H133" s="90" t="s">
        <v>13</v>
      </c>
      <c r="I133" s="90" t="s">
        <v>11</v>
      </c>
      <c r="J133" s="1057"/>
      <c r="K133" s="1057"/>
      <c r="O133" s="713"/>
    </row>
    <row r="134" spans="1:15" x14ac:dyDescent="0.25">
      <c r="A134" s="1071"/>
      <c r="B134" s="1071"/>
      <c r="C134" s="905"/>
      <c r="D134" s="92" t="s">
        <v>14</v>
      </c>
      <c r="E134" s="93" t="s">
        <v>14</v>
      </c>
      <c r="F134" s="93" t="s">
        <v>14</v>
      </c>
      <c r="G134" s="94" t="s">
        <v>15</v>
      </c>
      <c r="H134" s="93" t="s">
        <v>14</v>
      </c>
      <c r="I134" s="93" t="s">
        <v>14</v>
      </c>
      <c r="J134" s="92" t="s">
        <v>15</v>
      </c>
      <c r="K134" s="1058"/>
    </row>
    <row r="135" spans="1:15" ht="25.5" x14ac:dyDescent="0.25">
      <c r="A135" s="139" t="s">
        <v>180</v>
      </c>
      <c r="B135" s="696" t="s">
        <v>379</v>
      </c>
      <c r="C135" s="58"/>
      <c r="D135" s="38"/>
      <c r="E135" s="134"/>
      <c r="F135" s="134"/>
      <c r="G135" s="135"/>
      <c r="H135" s="134"/>
      <c r="I135" s="134"/>
      <c r="J135" s="38"/>
      <c r="K135" s="10"/>
    </row>
    <row r="136" spans="1:15" ht="25.5" x14ac:dyDescent="0.25">
      <c r="A136" s="176" t="s">
        <v>181</v>
      </c>
      <c r="B136" s="697" t="s">
        <v>380</v>
      </c>
      <c r="C136" s="86">
        <f>SUM(C137:C149)</f>
        <v>185000000</v>
      </c>
      <c r="D136" s="179"/>
      <c r="E136" s="180"/>
      <c r="F136" s="180"/>
      <c r="G136" s="181"/>
      <c r="H136" s="180"/>
      <c r="I136" s="180"/>
      <c r="J136" s="179"/>
      <c r="K136" s="167"/>
    </row>
    <row r="137" spans="1:15" ht="25.5" x14ac:dyDescent="0.25">
      <c r="A137" s="170" t="s">
        <v>44</v>
      </c>
      <c r="B137" s="707" t="s">
        <v>384</v>
      </c>
      <c r="C137" s="58">
        <v>8580000</v>
      </c>
      <c r="D137" s="180">
        <f>C137/C136*100</f>
        <v>4.6378378378378375</v>
      </c>
      <c r="E137" s="134">
        <f t="shared" ref="E137:E144" si="57">G137/C137*100</f>
        <v>100</v>
      </c>
      <c r="F137" s="134">
        <f t="shared" ref="F137:F144" si="58">(D137*E137)/100</f>
        <v>4.6378378378378375</v>
      </c>
      <c r="G137" s="181">
        <f>8580000</f>
        <v>8580000</v>
      </c>
      <c r="H137" s="134">
        <f t="shared" ref="H137:H144" si="59">G137/C137*100</f>
        <v>100</v>
      </c>
      <c r="I137" s="134">
        <f t="shared" ref="I137:I144" si="60">(D137*H137)/100</f>
        <v>4.6378378378378375</v>
      </c>
      <c r="J137" s="6">
        <f t="shared" ref="J137:J149" si="61">G137-C137</f>
        <v>0</v>
      </c>
      <c r="K137" s="167"/>
    </row>
    <row r="138" spans="1:15" x14ac:dyDescent="0.25">
      <c r="A138" s="170" t="s">
        <v>59</v>
      </c>
      <c r="B138" s="707" t="s">
        <v>197</v>
      </c>
      <c r="C138" s="58">
        <v>13390000</v>
      </c>
      <c r="D138" s="180">
        <f>C138/C136*100</f>
        <v>7.2378378378378381</v>
      </c>
      <c r="E138" s="134">
        <f t="shared" si="57"/>
        <v>66.691560866318142</v>
      </c>
      <c r="F138" s="134">
        <f t="shared" si="58"/>
        <v>4.8270270270270261</v>
      </c>
      <c r="G138" s="181">
        <f>8930000</f>
        <v>8930000</v>
      </c>
      <c r="H138" s="134">
        <f t="shared" si="59"/>
        <v>66.691560866318142</v>
      </c>
      <c r="I138" s="134">
        <f t="shared" si="60"/>
        <v>4.8270270270270261</v>
      </c>
      <c r="J138" s="6">
        <f t="shared" si="61"/>
        <v>-4460000</v>
      </c>
      <c r="K138" s="167"/>
    </row>
    <row r="139" spans="1:15" x14ac:dyDescent="0.25">
      <c r="A139" s="170" t="s">
        <v>62</v>
      </c>
      <c r="B139" s="707" t="s">
        <v>334</v>
      </c>
      <c r="C139" s="58">
        <v>8840000</v>
      </c>
      <c r="D139" s="180">
        <v>2.34</v>
      </c>
      <c r="E139" s="134">
        <f t="shared" si="57"/>
        <v>54.751131221719461</v>
      </c>
      <c r="F139" s="134">
        <f t="shared" si="58"/>
        <v>1.2811764705882354</v>
      </c>
      <c r="G139" s="181">
        <f>4840000</f>
        <v>4840000</v>
      </c>
      <c r="H139" s="134">
        <f t="shared" si="59"/>
        <v>54.751131221719461</v>
      </c>
      <c r="I139" s="134">
        <f t="shared" si="60"/>
        <v>1.2811764705882354</v>
      </c>
      <c r="J139" s="6">
        <f t="shared" si="61"/>
        <v>-4000000</v>
      </c>
      <c r="K139" s="167"/>
    </row>
    <row r="140" spans="1:15" ht="25.5" x14ac:dyDescent="0.25">
      <c r="A140" s="170" t="s">
        <v>193</v>
      </c>
      <c r="B140" s="316" t="s">
        <v>372</v>
      </c>
      <c r="C140" s="58">
        <v>6300000</v>
      </c>
      <c r="D140" s="180"/>
      <c r="E140" s="134"/>
      <c r="F140" s="134"/>
      <c r="G140" s="181">
        <f>6300000</f>
        <v>6300000</v>
      </c>
      <c r="H140" s="134"/>
      <c r="I140" s="134"/>
      <c r="J140" s="6">
        <f t="shared" si="61"/>
        <v>0</v>
      </c>
      <c r="K140" s="167"/>
    </row>
    <row r="141" spans="1:15" x14ac:dyDescent="0.25">
      <c r="A141" s="170" t="s">
        <v>148</v>
      </c>
      <c r="B141" s="133" t="s">
        <v>531</v>
      </c>
      <c r="C141" s="58">
        <v>10000000</v>
      </c>
      <c r="D141" s="180"/>
      <c r="E141" s="134"/>
      <c r="F141" s="134"/>
      <c r="G141" s="181">
        <f>10000000</f>
        <v>10000000</v>
      </c>
      <c r="H141" s="134"/>
      <c r="I141" s="134"/>
      <c r="J141" s="6">
        <f t="shared" si="61"/>
        <v>0</v>
      </c>
      <c r="K141" s="167"/>
    </row>
    <row r="142" spans="1:15" x14ac:dyDescent="0.25">
      <c r="A142" s="170" t="s">
        <v>77</v>
      </c>
      <c r="B142" s="170" t="s">
        <v>127</v>
      </c>
      <c r="C142" s="58">
        <v>67741000</v>
      </c>
      <c r="D142" s="180">
        <f>C142/C136*100</f>
        <v>36.616756756756757</v>
      </c>
      <c r="E142" s="134">
        <f t="shared" si="57"/>
        <v>75.996811384538162</v>
      </c>
      <c r="F142" s="134">
        <f t="shared" si="58"/>
        <v>27.827567567567566</v>
      </c>
      <c r="G142" s="181">
        <f>51481000</f>
        <v>51481000</v>
      </c>
      <c r="H142" s="134">
        <f t="shared" si="59"/>
        <v>75.996811384538162</v>
      </c>
      <c r="I142" s="134">
        <f t="shared" si="60"/>
        <v>27.827567567567566</v>
      </c>
      <c r="J142" s="6">
        <f t="shared" si="61"/>
        <v>-16260000</v>
      </c>
      <c r="K142" s="167"/>
    </row>
    <row r="143" spans="1:15" x14ac:dyDescent="0.25">
      <c r="A143" s="170" t="s">
        <v>183</v>
      </c>
      <c r="B143" s="170" t="s">
        <v>178</v>
      </c>
      <c r="C143" s="58">
        <v>12000000</v>
      </c>
      <c r="D143" s="180">
        <f>C143/C136*100</f>
        <v>6.4864864864864868</v>
      </c>
      <c r="E143" s="134">
        <f t="shared" si="57"/>
        <v>58.333333333333336</v>
      </c>
      <c r="F143" s="134">
        <f t="shared" si="58"/>
        <v>3.7837837837837842</v>
      </c>
      <c r="G143" s="181">
        <f>7000000</f>
        <v>7000000</v>
      </c>
      <c r="H143" s="134">
        <f t="shared" si="59"/>
        <v>58.333333333333336</v>
      </c>
      <c r="I143" s="134">
        <f t="shared" si="60"/>
        <v>3.7837837837837842</v>
      </c>
      <c r="J143" s="6">
        <f t="shared" si="61"/>
        <v>-5000000</v>
      </c>
      <c r="K143" s="167"/>
    </row>
    <row r="144" spans="1:15" x14ac:dyDescent="0.25">
      <c r="A144" s="170" t="s">
        <v>104</v>
      </c>
      <c r="B144" s="170" t="s">
        <v>182</v>
      </c>
      <c r="C144" s="58">
        <v>23200000</v>
      </c>
      <c r="D144" s="180">
        <f>C144/C136*100</f>
        <v>12.54054054054054</v>
      </c>
      <c r="E144" s="134">
        <f t="shared" si="57"/>
        <v>100</v>
      </c>
      <c r="F144" s="134">
        <f t="shared" si="58"/>
        <v>12.54054054054054</v>
      </c>
      <c r="G144" s="181">
        <f>23200000</f>
        <v>23200000</v>
      </c>
      <c r="H144" s="134">
        <f t="shared" si="59"/>
        <v>100</v>
      </c>
      <c r="I144" s="134">
        <f t="shared" si="60"/>
        <v>12.54054054054054</v>
      </c>
      <c r="J144" s="6">
        <f t="shared" si="61"/>
        <v>0</v>
      </c>
      <c r="K144" s="167"/>
    </row>
    <row r="145" spans="1:14" ht="25.5" x14ac:dyDescent="0.25">
      <c r="A145" s="170" t="s">
        <v>106</v>
      </c>
      <c r="B145" s="316" t="s">
        <v>107</v>
      </c>
      <c r="C145" s="58">
        <v>22200000</v>
      </c>
      <c r="D145" s="180"/>
      <c r="E145" s="134"/>
      <c r="F145" s="134"/>
      <c r="G145" s="181">
        <f>22200000</f>
        <v>22200000</v>
      </c>
      <c r="H145" s="134"/>
      <c r="I145" s="134"/>
      <c r="J145" s="6">
        <f t="shared" si="61"/>
        <v>0</v>
      </c>
      <c r="K145" s="167"/>
    </row>
    <row r="146" spans="1:14" x14ac:dyDescent="0.25">
      <c r="A146" s="170" t="s">
        <v>162</v>
      </c>
      <c r="B146" s="315" t="s">
        <v>515</v>
      </c>
      <c r="C146" s="58">
        <v>2000000</v>
      </c>
      <c r="D146" s="180"/>
      <c r="E146" s="134"/>
      <c r="F146" s="134"/>
      <c r="G146" s="181">
        <f>2000000</f>
        <v>2000000</v>
      </c>
      <c r="H146" s="134"/>
      <c r="I146" s="134"/>
      <c r="J146" s="6">
        <f t="shared" si="61"/>
        <v>0</v>
      </c>
      <c r="K146" s="167"/>
    </row>
    <row r="147" spans="1:14" x14ac:dyDescent="0.25">
      <c r="A147" s="170" t="s">
        <v>521</v>
      </c>
      <c r="B147" s="316" t="s">
        <v>526</v>
      </c>
      <c r="C147" s="58">
        <v>1000000</v>
      </c>
      <c r="D147" s="180"/>
      <c r="E147" s="134"/>
      <c r="F147" s="134"/>
      <c r="G147" s="181">
        <f>1000000</f>
        <v>1000000</v>
      </c>
      <c r="H147" s="134"/>
      <c r="I147" s="134"/>
      <c r="J147" s="6">
        <f t="shared" si="61"/>
        <v>0</v>
      </c>
      <c r="K147" s="167"/>
    </row>
    <row r="148" spans="1:14" ht="25.5" x14ac:dyDescent="0.25">
      <c r="A148" s="747" t="s">
        <v>116</v>
      </c>
      <c r="B148" s="316" t="s">
        <v>420</v>
      </c>
      <c r="C148" s="58">
        <v>2749000</v>
      </c>
      <c r="D148" s="180"/>
      <c r="E148" s="134"/>
      <c r="F148" s="134"/>
      <c r="G148" s="181">
        <f>2749000</f>
        <v>2749000</v>
      </c>
      <c r="H148" s="134"/>
      <c r="I148" s="134"/>
      <c r="J148" s="6">
        <f t="shared" si="61"/>
        <v>0</v>
      </c>
      <c r="K148" s="167"/>
    </row>
    <row r="149" spans="1:14" x14ac:dyDescent="0.25">
      <c r="A149" s="747" t="s">
        <v>65</v>
      </c>
      <c r="B149" s="315" t="s">
        <v>393</v>
      </c>
      <c r="C149" s="58">
        <v>7000000</v>
      </c>
      <c r="D149" s="180"/>
      <c r="E149" s="134"/>
      <c r="F149" s="134"/>
      <c r="G149" s="181">
        <f>6932360</f>
        <v>6932360</v>
      </c>
      <c r="H149" s="134"/>
      <c r="I149" s="134"/>
      <c r="J149" s="6">
        <f t="shared" si="61"/>
        <v>-67640</v>
      </c>
      <c r="K149" s="167"/>
    </row>
    <row r="150" spans="1:14" x14ac:dyDescent="0.25">
      <c r="A150" s="1059" t="s">
        <v>128</v>
      </c>
      <c r="B150" s="1060"/>
      <c r="C150" s="60">
        <f>SUM(C137:C149)</f>
        <v>185000000</v>
      </c>
      <c r="D150" s="276">
        <f>SUM(D137:D147)</f>
        <v>69.859459459459458</v>
      </c>
      <c r="E150" s="134"/>
      <c r="F150" s="134"/>
      <c r="G150" s="837">
        <f>SUM(G137:G149)</f>
        <v>155212360</v>
      </c>
      <c r="H150" s="134"/>
      <c r="I150" s="134"/>
      <c r="J150" s="56">
        <v>0</v>
      </c>
      <c r="K150" s="3"/>
    </row>
    <row r="151" spans="1:14" x14ac:dyDescent="0.25">
      <c r="A151" s="54"/>
      <c r="B151" s="54"/>
      <c r="C151" s="59"/>
      <c r="D151" s="182"/>
      <c r="E151" s="183"/>
      <c r="F151" s="183"/>
      <c r="G151" s="184"/>
      <c r="H151" s="183"/>
      <c r="I151" s="183"/>
      <c r="J151" s="185"/>
      <c r="K151" s="37"/>
    </row>
    <row r="152" spans="1:14" ht="31.5" x14ac:dyDescent="0.25">
      <c r="A152" s="55"/>
      <c r="B152" s="46" t="s">
        <v>145</v>
      </c>
      <c r="C152" s="155"/>
      <c r="D152" s="44"/>
      <c r="E152" s="45"/>
      <c r="F152" s="45"/>
      <c r="G152" s="48"/>
      <c r="H152" s="45"/>
      <c r="I152" s="45"/>
      <c r="J152" s="44"/>
      <c r="K152" s="44"/>
      <c r="L152" s="1"/>
      <c r="M152" s="1"/>
      <c r="N152" s="1"/>
    </row>
    <row r="153" spans="1:14" x14ac:dyDescent="0.25">
      <c r="A153" s="1061" t="s">
        <v>2</v>
      </c>
      <c r="B153" s="1062" t="s">
        <v>176</v>
      </c>
      <c r="C153" s="1061" t="s">
        <v>4</v>
      </c>
      <c r="D153" s="1063" t="s">
        <v>5</v>
      </c>
      <c r="E153" s="1064"/>
      <c r="F153" s="1064"/>
      <c r="G153" s="1065" t="s">
        <v>6</v>
      </c>
      <c r="H153" s="1064"/>
      <c r="I153" s="1064"/>
      <c r="J153" s="1061" t="s">
        <v>7</v>
      </c>
      <c r="K153" s="281" t="s">
        <v>8</v>
      </c>
      <c r="L153" s="1"/>
      <c r="M153" s="1"/>
      <c r="N153" s="1"/>
    </row>
    <row r="154" spans="1:14" x14ac:dyDescent="0.25">
      <c r="A154" s="1061"/>
      <c r="B154" s="1062"/>
      <c r="C154" s="1061"/>
      <c r="D154" s="281" t="s">
        <v>9</v>
      </c>
      <c r="E154" s="292" t="s">
        <v>10</v>
      </c>
      <c r="F154" s="292" t="s">
        <v>11</v>
      </c>
      <c r="G154" s="293" t="s">
        <v>12</v>
      </c>
      <c r="H154" s="292" t="s">
        <v>13</v>
      </c>
      <c r="I154" s="292" t="s">
        <v>11</v>
      </c>
      <c r="J154" s="1056"/>
      <c r="K154" s="89"/>
    </row>
    <row r="155" spans="1:14" x14ac:dyDescent="0.25">
      <c r="A155" s="1061"/>
      <c r="B155" s="1062"/>
      <c r="C155" s="1061"/>
      <c r="D155" s="92" t="s">
        <v>14</v>
      </c>
      <c r="E155" s="93" t="s">
        <v>14</v>
      </c>
      <c r="F155" s="93" t="s">
        <v>14</v>
      </c>
      <c r="G155" s="94" t="s">
        <v>15</v>
      </c>
      <c r="H155" s="93" t="s">
        <v>14</v>
      </c>
      <c r="I155" s="93" t="s">
        <v>14</v>
      </c>
      <c r="J155" s="92" t="s">
        <v>15</v>
      </c>
      <c r="K155" s="92"/>
    </row>
    <row r="156" spans="1:14" x14ac:dyDescent="0.25">
      <c r="A156" s="79" t="s">
        <v>185</v>
      </c>
      <c r="B156" s="199" t="s">
        <v>146</v>
      </c>
      <c r="C156" s="24"/>
      <c r="D156" s="10"/>
      <c r="E156" s="34"/>
      <c r="F156" s="34"/>
      <c r="G156" s="6"/>
      <c r="H156" s="34"/>
      <c r="I156" s="34"/>
      <c r="J156" s="10"/>
      <c r="K156" s="10"/>
    </row>
    <row r="157" spans="1:14" x14ac:dyDescent="0.25">
      <c r="A157" s="125" t="s">
        <v>184</v>
      </c>
      <c r="B157" s="280" t="s">
        <v>147</v>
      </c>
      <c r="C157" s="252">
        <f>SUM(C158:C159)</f>
        <v>2975640000</v>
      </c>
      <c r="D157" s="10"/>
      <c r="E157" s="34"/>
      <c r="F157" s="34"/>
      <c r="G157" s="6"/>
      <c r="H157" s="34"/>
      <c r="I157" s="34"/>
      <c r="J157" s="10"/>
      <c r="K157" s="10"/>
    </row>
    <row r="158" spans="1:14" ht="25.5" x14ac:dyDescent="0.25">
      <c r="A158" s="154" t="s">
        <v>44</v>
      </c>
      <c r="B158" s="707" t="s">
        <v>384</v>
      </c>
      <c r="C158" s="253">
        <v>35640000</v>
      </c>
      <c r="D158" s="134">
        <f>C158/C157*100</f>
        <v>1.1977255313142718</v>
      </c>
      <c r="E158" s="134">
        <f t="shared" ref="E158:E159" si="62">G158/C158*100</f>
        <v>66.666666666666657</v>
      </c>
      <c r="F158" s="134">
        <f t="shared" ref="F158:F159" si="63">(D158*E158)/100</f>
        <v>0.79848368754284782</v>
      </c>
      <c r="G158" s="181">
        <f>23760000</f>
        <v>23760000</v>
      </c>
      <c r="H158" s="134">
        <f t="shared" ref="H158:H159" si="64">G158/C158*100</f>
        <v>66.666666666666657</v>
      </c>
      <c r="I158" s="134">
        <f t="shared" ref="I158:I159" si="65">(D158*H158)/100</f>
        <v>0.79848368754284782</v>
      </c>
      <c r="J158" s="6">
        <f t="shared" ref="J158:J159" si="66">G158-C158</f>
        <v>-11880000</v>
      </c>
      <c r="K158" s="10"/>
    </row>
    <row r="159" spans="1:14" x14ac:dyDescent="0.25">
      <c r="A159" s="124" t="s">
        <v>148</v>
      </c>
      <c r="B159" s="133" t="s">
        <v>531</v>
      </c>
      <c r="C159" s="253">
        <v>2940000000</v>
      </c>
      <c r="D159" s="134">
        <f>C159/C157*100</f>
        <v>98.802274468685724</v>
      </c>
      <c r="E159" s="134">
        <f t="shared" si="62"/>
        <v>100</v>
      </c>
      <c r="F159" s="134">
        <f t="shared" si="63"/>
        <v>98.802274468685724</v>
      </c>
      <c r="G159" s="181">
        <f>939055000+2000945000</f>
        <v>2940000000</v>
      </c>
      <c r="H159" s="134">
        <f t="shared" si="64"/>
        <v>100</v>
      </c>
      <c r="I159" s="134">
        <f t="shared" si="65"/>
        <v>98.802274468685724</v>
      </c>
      <c r="J159" s="6">
        <f t="shared" si="66"/>
        <v>0</v>
      </c>
      <c r="K159" s="10"/>
    </row>
    <row r="160" spans="1:14" x14ac:dyDescent="0.25">
      <c r="A160" s="70"/>
      <c r="B160" s="129" t="s">
        <v>95</v>
      </c>
      <c r="C160" s="807">
        <f>SUM(C158:C159)</f>
        <v>2975640000</v>
      </c>
      <c r="D160" s="271">
        <f>SUM(D158:D159)</f>
        <v>100</v>
      </c>
      <c r="E160" s="134"/>
      <c r="F160" s="134"/>
      <c r="G160" s="181">
        <f>SUM(G158:G159)</f>
        <v>2963760000</v>
      </c>
      <c r="H160" s="134"/>
      <c r="I160" s="134"/>
      <c r="J160" s="734"/>
      <c r="K160" s="130"/>
    </row>
    <row r="161" spans="1:11" x14ac:dyDescent="0.25">
      <c r="A161" s="54"/>
      <c r="B161" s="2"/>
      <c r="C161" s="59"/>
      <c r="D161" s="29"/>
      <c r="E161" s="31"/>
      <c r="F161" s="31"/>
      <c r="G161" s="36"/>
      <c r="H161" s="31"/>
      <c r="I161" s="31"/>
      <c r="J161" s="15"/>
      <c r="K161" s="37"/>
    </row>
    <row r="162" spans="1:11" x14ac:dyDescent="0.25">
      <c r="A162" s="50"/>
      <c r="B162" s="5"/>
      <c r="C162" s="50"/>
      <c r="D162" s="29"/>
      <c r="E162" s="30"/>
      <c r="F162" s="31"/>
      <c r="G162" s="36"/>
      <c r="H162" s="32"/>
      <c r="I162" s="31"/>
      <c r="J162" s="36"/>
      <c r="K162" s="37"/>
    </row>
    <row r="163" spans="1:11" x14ac:dyDescent="0.25">
      <c r="A163" s="1061" t="s">
        <v>2</v>
      </c>
      <c r="B163" s="1062" t="s">
        <v>176</v>
      </c>
      <c r="C163" s="1061" t="s">
        <v>4</v>
      </c>
      <c r="D163" s="1063" t="s">
        <v>5</v>
      </c>
      <c r="E163" s="1064"/>
      <c r="F163" s="1064"/>
      <c r="G163" s="1065" t="s">
        <v>6</v>
      </c>
      <c r="H163" s="1064"/>
      <c r="I163" s="1064"/>
      <c r="J163" s="1061" t="s">
        <v>7</v>
      </c>
      <c r="K163" s="281" t="s">
        <v>8</v>
      </c>
    </row>
    <row r="164" spans="1:11" x14ac:dyDescent="0.25">
      <c r="A164" s="1061"/>
      <c r="B164" s="1062"/>
      <c r="C164" s="1061"/>
      <c r="D164" s="281" t="s">
        <v>9</v>
      </c>
      <c r="E164" s="292" t="s">
        <v>10</v>
      </c>
      <c r="F164" s="292" t="s">
        <v>11</v>
      </c>
      <c r="G164" s="293" t="s">
        <v>12</v>
      </c>
      <c r="H164" s="292" t="s">
        <v>13</v>
      </c>
      <c r="I164" s="292" t="s">
        <v>11</v>
      </c>
      <c r="J164" s="1056"/>
      <c r="K164" s="89"/>
    </row>
    <row r="165" spans="1:11" x14ac:dyDescent="0.25">
      <c r="A165" s="1061"/>
      <c r="B165" s="1062"/>
      <c r="C165" s="1061"/>
      <c r="D165" s="92" t="s">
        <v>14</v>
      </c>
      <c r="E165" s="93" t="s">
        <v>14</v>
      </c>
      <c r="F165" s="93" t="s">
        <v>14</v>
      </c>
      <c r="G165" s="94" t="s">
        <v>15</v>
      </c>
      <c r="H165" s="93" t="s">
        <v>14</v>
      </c>
      <c r="I165" s="93" t="s">
        <v>14</v>
      </c>
      <c r="J165" s="92" t="s">
        <v>15</v>
      </c>
      <c r="K165" s="92"/>
    </row>
    <row r="166" spans="1:11" x14ac:dyDescent="0.25">
      <c r="A166" s="79" t="s">
        <v>185</v>
      </c>
      <c r="B166" s="199" t="s">
        <v>146</v>
      </c>
      <c r="C166" s="153"/>
      <c r="D166" s="150"/>
      <c r="E166" s="151"/>
      <c r="F166" s="151"/>
      <c r="G166" s="152"/>
      <c r="H166" s="151"/>
      <c r="I166" s="151"/>
      <c r="J166" s="150"/>
      <c r="K166" s="150"/>
    </row>
    <row r="167" spans="1:11" x14ac:dyDescent="0.25">
      <c r="A167" s="125" t="s">
        <v>184</v>
      </c>
      <c r="B167" s="280" t="s">
        <v>150</v>
      </c>
      <c r="C167" s="254">
        <f>SUM(C168:C171)</f>
        <v>1803960912</v>
      </c>
      <c r="D167" s="10"/>
      <c r="E167" s="34"/>
      <c r="F167" s="34"/>
      <c r="G167" s="6"/>
      <c r="H167" s="34"/>
      <c r="I167" s="34"/>
      <c r="J167" s="10"/>
      <c r="K167" s="10"/>
    </row>
    <row r="168" spans="1:11" ht="25.5" x14ac:dyDescent="0.25">
      <c r="A168" s="38" t="s">
        <v>44</v>
      </c>
      <c r="B168" s="707" t="s">
        <v>384</v>
      </c>
      <c r="C168" s="255">
        <v>30310000</v>
      </c>
      <c r="D168" s="134">
        <f>C168/C167*100</f>
        <v>1.6801916160365231</v>
      </c>
      <c r="E168" s="134">
        <f t="shared" ref="E168:E170" si="67">G168/C168*100</f>
        <v>70.999670075882548</v>
      </c>
      <c r="F168" s="134">
        <f t="shared" ref="F168:F170" si="68">(D168*E168)/100</f>
        <v>1.1929305040285707</v>
      </c>
      <c r="G168" s="181">
        <f>21520000</f>
        <v>21520000</v>
      </c>
      <c r="H168" s="134">
        <f t="shared" ref="H168:H170" si="69">G168/C168*100</f>
        <v>70.999670075882548</v>
      </c>
      <c r="I168" s="134">
        <f t="shared" ref="I168:I170" si="70">(D168*H168)/100</f>
        <v>1.1929305040285707</v>
      </c>
      <c r="J168" s="6">
        <f t="shared" ref="J168:J171" si="71">G168-C168</f>
        <v>-8790000</v>
      </c>
      <c r="K168" s="10"/>
    </row>
    <row r="169" spans="1:11" x14ac:dyDescent="0.25">
      <c r="A169" s="49" t="s">
        <v>148</v>
      </c>
      <c r="B169" s="133" t="s">
        <v>531</v>
      </c>
      <c r="C169" s="256">
        <v>1260590000</v>
      </c>
      <c r="D169" s="134">
        <f>C169/C167*100</f>
        <v>69.87900855359554</v>
      </c>
      <c r="E169" s="134">
        <f t="shared" si="67"/>
        <v>78.81692699450258</v>
      </c>
      <c r="F169" s="134">
        <f t="shared" si="68"/>
        <v>55.076487156169613</v>
      </c>
      <c r="G169" s="181">
        <f>627032300+366526000</f>
        <v>993558300</v>
      </c>
      <c r="H169" s="134">
        <f t="shared" si="69"/>
        <v>78.81692699450258</v>
      </c>
      <c r="I169" s="134">
        <f t="shared" si="70"/>
        <v>55.076487156169613</v>
      </c>
      <c r="J169" s="6">
        <f t="shared" si="71"/>
        <v>-267031700</v>
      </c>
      <c r="K169" s="10"/>
    </row>
    <row r="170" spans="1:11" s="84" customFormat="1" ht="25.5" x14ac:dyDescent="0.2">
      <c r="A170" s="49" t="s">
        <v>152</v>
      </c>
      <c r="B170" s="133" t="s">
        <v>153</v>
      </c>
      <c r="C170" s="256">
        <v>504000000</v>
      </c>
      <c r="D170" s="134">
        <f>C170/C167*100</f>
        <v>27.9385210980669</v>
      </c>
      <c r="E170" s="134">
        <f t="shared" si="67"/>
        <v>50</v>
      </c>
      <c r="F170" s="134">
        <f t="shared" si="68"/>
        <v>13.96926054903345</v>
      </c>
      <c r="G170" s="181">
        <f>252000000</f>
        <v>252000000</v>
      </c>
      <c r="H170" s="134">
        <f t="shared" si="69"/>
        <v>50</v>
      </c>
      <c r="I170" s="134">
        <f t="shared" si="70"/>
        <v>13.96926054903345</v>
      </c>
      <c r="J170" s="6">
        <f t="shared" si="71"/>
        <v>-252000000</v>
      </c>
      <c r="K170" s="38"/>
    </row>
    <row r="171" spans="1:11" s="84" customFormat="1" x14ac:dyDescent="0.2">
      <c r="A171" s="749" t="s">
        <v>234</v>
      </c>
      <c r="B171" s="133" t="s">
        <v>522</v>
      </c>
      <c r="C171" s="256">
        <v>9060912</v>
      </c>
      <c r="D171" s="804"/>
      <c r="E171" s="134"/>
      <c r="F171" s="134"/>
      <c r="G171" s="181">
        <f>9060912</f>
        <v>9060912</v>
      </c>
      <c r="H171" s="134"/>
      <c r="I171" s="134"/>
      <c r="J171" s="6">
        <f t="shared" si="71"/>
        <v>0</v>
      </c>
      <c r="K171" s="805"/>
    </row>
    <row r="172" spans="1:11" x14ac:dyDescent="0.25">
      <c r="A172" s="903"/>
      <c r="B172" s="129" t="s">
        <v>154</v>
      </c>
      <c r="C172" s="826">
        <f>SUM(C168:C171)</f>
        <v>1803960912</v>
      </c>
      <c r="D172" s="272">
        <f>SUM(D168:D170)</f>
        <v>99.497721267698964</v>
      </c>
      <c r="E172" s="134"/>
      <c r="F172" s="134"/>
      <c r="G172" s="181">
        <f>SUM(G168:G171)</f>
        <v>1276139212</v>
      </c>
      <c r="H172" s="134"/>
      <c r="I172" s="134"/>
      <c r="J172" s="734"/>
      <c r="K172" s="40"/>
    </row>
    <row r="173" spans="1:11" x14ac:dyDescent="0.25">
      <c r="A173" s="54"/>
      <c r="B173" s="54"/>
      <c r="C173" s="59"/>
      <c r="D173" s="182"/>
      <c r="E173" s="183"/>
      <c r="F173" s="183"/>
      <c r="G173" s="184"/>
      <c r="H173" s="183"/>
      <c r="I173" s="183"/>
      <c r="J173" s="185"/>
      <c r="K173" s="37"/>
    </row>
    <row r="174" spans="1:11" x14ac:dyDescent="0.25">
      <c r="A174" s="50"/>
      <c r="B174" s="5"/>
      <c r="C174" s="50"/>
      <c r="D174" s="9"/>
      <c r="E174" s="23"/>
      <c r="F174" s="23"/>
      <c r="G174" s="11"/>
      <c r="H174" s="23"/>
      <c r="I174" s="23"/>
      <c r="J174" s="9"/>
      <c r="K174" s="9"/>
    </row>
    <row r="175" spans="1:11" x14ac:dyDescent="0.25">
      <c r="A175" s="1072" t="s">
        <v>2</v>
      </c>
      <c r="B175" s="1072" t="s">
        <v>129</v>
      </c>
      <c r="C175" s="1072" t="s">
        <v>124</v>
      </c>
      <c r="D175" s="1075" t="s">
        <v>5</v>
      </c>
      <c r="E175" s="1076"/>
      <c r="F175" s="1076"/>
      <c r="G175" s="1077" t="s">
        <v>6</v>
      </c>
      <c r="H175" s="1076"/>
      <c r="I175" s="1076"/>
      <c r="J175" s="1078" t="s">
        <v>7</v>
      </c>
      <c r="K175" s="95" t="s">
        <v>8</v>
      </c>
    </row>
    <row r="176" spans="1:11" x14ac:dyDescent="0.25">
      <c r="A176" s="1073"/>
      <c r="B176" s="1073"/>
      <c r="C176" s="1073"/>
      <c r="D176" s="95" t="s">
        <v>9</v>
      </c>
      <c r="E176" s="294" t="s">
        <v>10</v>
      </c>
      <c r="F176" s="294" t="s">
        <v>11</v>
      </c>
      <c r="G176" s="96" t="s">
        <v>12</v>
      </c>
      <c r="H176" s="97" t="s">
        <v>13</v>
      </c>
      <c r="I176" s="97" t="s">
        <v>11</v>
      </c>
      <c r="J176" s="1079"/>
      <c r="K176" s="98"/>
    </row>
    <row r="177" spans="1:15" x14ac:dyDescent="0.25">
      <c r="A177" s="1074"/>
      <c r="B177" s="1074"/>
      <c r="C177" s="1074"/>
      <c r="D177" s="101" t="s">
        <v>14</v>
      </c>
      <c r="E177" s="100" t="s">
        <v>14</v>
      </c>
      <c r="F177" s="100" t="s">
        <v>14</v>
      </c>
      <c r="G177" s="99" t="s">
        <v>15</v>
      </c>
      <c r="H177" s="100" t="s">
        <v>14</v>
      </c>
      <c r="I177" s="100" t="s">
        <v>14</v>
      </c>
      <c r="J177" s="101" t="s">
        <v>15</v>
      </c>
      <c r="K177" s="101"/>
    </row>
    <row r="178" spans="1:15" ht="25.5" x14ac:dyDescent="0.25">
      <c r="A178" s="175" t="s">
        <v>180</v>
      </c>
      <c r="B178" s="696" t="s">
        <v>379</v>
      </c>
      <c r="C178" s="126"/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6" t="s">
        <v>181</v>
      </c>
      <c r="B179" s="697" t="s">
        <v>380</v>
      </c>
      <c r="C179" s="86">
        <f>SUM(C180:C195)</f>
        <v>335000000</v>
      </c>
      <c r="D179" s="121"/>
      <c r="E179" s="122"/>
      <c r="F179" s="122"/>
      <c r="G179" s="123"/>
      <c r="H179" s="122"/>
      <c r="I179" s="122"/>
      <c r="J179" s="121"/>
      <c r="K179" s="121"/>
    </row>
    <row r="180" spans="1:15" ht="25.5" x14ac:dyDescent="0.25">
      <c r="A180" s="170" t="s">
        <v>44</v>
      </c>
      <c r="B180" s="707" t="s">
        <v>384</v>
      </c>
      <c r="C180" s="58">
        <v>16310000</v>
      </c>
      <c r="D180" s="134">
        <f>C180/C179*100</f>
        <v>4.8686567164179104</v>
      </c>
      <c r="E180" s="134">
        <f t="shared" ref="E180:E192" si="72">G180/C180*100</f>
        <v>88.044144696505214</v>
      </c>
      <c r="F180" s="134">
        <f t="shared" ref="F180:F192" si="73">(D180*E180)/100</f>
        <v>4.2865671641791048</v>
      </c>
      <c r="G180" s="181">
        <f>14360000</f>
        <v>14360000</v>
      </c>
      <c r="H180" s="134">
        <f t="shared" ref="H180:H192" si="74">G180/C180*100</f>
        <v>88.044144696505214</v>
      </c>
      <c r="I180" s="134">
        <f t="shared" ref="I180:I192" si="75">(D180*H180)/100</f>
        <v>4.2865671641791048</v>
      </c>
      <c r="J180" s="6">
        <f t="shared" ref="J180:J195" si="76">G180-C180</f>
        <v>-1950000</v>
      </c>
      <c r="K180" s="121"/>
    </row>
    <row r="181" spans="1:15" x14ac:dyDescent="0.25">
      <c r="A181" s="170" t="s">
        <v>59</v>
      </c>
      <c r="B181" s="707" t="s">
        <v>197</v>
      </c>
      <c r="C181" s="58">
        <v>13836500</v>
      </c>
      <c r="D181" s="180">
        <f>C181/C179*100</f>
        <v>4.1302985074626868</v>
      </c>
      <c r="E181" s="134">
        <f t="shared" si="72"/>
        <v>50</v>
      </c>
      <c r="F181" s="134">
        <f t="shared" si="73"/>
        <v>2.0651492537313434</v>
      </c>
      <c r="G181" s="181">
        <f>6918250</f>
        <v>6918250</v>
      </c>
      <c r="H181" s="134">
        <f t="shared" si="74"/>
        <v>50</v>
      </c>
      <c r="I181" s="134">
        <f t="shared" si="75"/>
        <v>2.0651492537313434</v>
      </c>
      <c r="J181" s="6">
        <f t="shared" si="76"/>
        <v>-6918250</v>
      </c>
      <c r="K181" s="167"/>
    </row>
    <row r="182" spans="1:15" ht="25.5" x14ac:dyDescent="0.25">
      <c r="A182" s="170" t="s">
        <v>62</v>
      </c>
      <c r="B182" s="707" t="s">
        <v>385</v>
      </c>
      <c r="C182" s="58">
        <v>10871000</v>
      </c>
      <c r="D182" s="726">
        <f>C182/C179*100</f>
        <v>3.2450746268656716</v>
      </c>
      <c r="E182" s="134">
        <f t="shared" si="72"/>
        <v>0</v>
      </c>
      <c r="F182" s="134">
        <f t="shared" si="73"/>
        <v>0</v>
      </c>
      <c r="G182" s="181">
        <v>0</v>
      </c>
      <c r="H182" s="134">
        <f t="shared" si="74"/>
        <v>0</v>
      </c>
      <c r="I182" s="134">
        <f t="shared" si="75"/>
        <v>0</v>
      </c>
      <c r="J182" s="6">
        <f t="shared" si="76"/>
        <v>-10871000</v>
      </c>
      <c r="K182" s="167"/>
    </row>
    <row r="183" spans="1:15" x14ac:dyDescent="0.25">
      <c r="A183" s="170" t="s">
        <v>148</v>
      </c>
      <c r="B183" s="133" t="s">
        <v>531</v>
      </c>
      <c r="C183" s="58">
        <v>10000000</v>
      </c>
      <c r="D183" s="726"/>
      <c r="E183" s="134"/>
      <c r="F183" s="134"/>
      <c r="G183" s="181">
        <f>10000000</f>
        <v>10000000</v>
      </c>
      <c r="H183" s="134"/>
      <c r="I183" s="134"/>
      <c r="J183" s="6">
        <f t="shared" si="76"/>
        <v>0</v>
      </c>
      <c r="K183" s="167"/>
    </row>
    <row r="184" spans="1:15" x14ac:dyDescent="0.25">
      <c r="A184" s="170" t="s">
        <v>77</v>
      </c>
      <c r="B184" s="170" t="s">
        <v>127</v>
      </c>
      <c r="C184" s="58">
        <v>61010000</v>
      </c>
      <c r="D184" s="726">
        <f>C184/C179*100</f>
        <v>18.211940298507461</v>
      </c>
      <c r="E184" s="134">
        <f t="shared" si="72"/>
        <v>66.972627438124903</v>
      </c>
      <c r="F184" s="134">
        <f t="shared" si="73"/>
        <v>12.197014925373134</v>
      </c>
      <c r="G184" s="181">
        <f>40860000</f>
        <v>40860000</v>
      </c>
      <c r="H184" s="134">
        <f t="shared" si="74"/>
        <v>66.972627438124903</v>
      </c>
      <c r="I184" s="134">
        <f t="shared" si="75"/>
        <v>12.197014925373134</v>
      </c>
      <c r="J184" s="6">
        <f t="shared" si="76"/>
        <v>-20150000</v>
      </c>
      <c r="K184" s="167"/>
      <c r="O184" s="190"/>
    </row>
    <row r="185" spans="1:15" x14ac:dyDescent="0.25">
      <c r="A185" s="170" t="s">
        <v>183</v>
      </c>
      <c r="B185" s="170" t="s">
        <v>178</v>
      </c>
      <c r="C185" s="58">
        <v>44625000</v>
      </c>
      <c r="D185" s="726">
        <f>C185/C179*100</f>
        <v>13.32089552238806</v>
      </c>
      <c r="E185" s="134">
        <f t="shared" si="72"/>
        <v>25.770308123249297</v>
      </c>
      <c r="F185" s="134">
        <f t="shared" si="73"/>
        <v>3.4328358208955221</v>
      </c>
      <c r="G185" s="181">
        <f>11500000</f>
        <v>11500000</v>
      </c>
      <c r="H185" s="134">
        <f t="shared" si="74"/>
        <v>25.770308123249297</v>
      </c>
      <c r="I185" s="134">
        <f t="shared" si="75"/>
        <v>3.4328358208955221</v>
      </c>
      <c r="J185" s="6">
        <f t="shared" si="76"/>
        <v>-33125000</v>
      </c>
      <c r="K185" s="167"/>
    </row>
    <row r="186" spans="1:15" x14ac:dyDescent="0.25">
      <c r="A186" s="170" t="s">
        <v>186</v>
      </c>
      <c r="B186" s="170" t="s">
        <v>179</v>
      </c>
      <c r="C186" s="58">
        <v>44100000</v>
      </c>
      <c r="D186" s="726">
        <f>C186/C179*100</f>
        <v>13.164179104477611</v>
      </c>
      <c r="E186" s="134">
        <f t="shared" si="72"/>
        <v>100</v>
      </c>
      <c r="F186" s="134">
        <f t="shared" si="73"/>
        <v>13.164179104477611</v>
      </c>
      <c r="G186" s="181">
        <f>44100000</f>
        <v>44100000</v>
      </c>
      <c r="H186" s="134">
        <f t="shared" si="74"/>
        <v>100</v>
      </c>
      <c r="I186" s="134">
        <f t="shared" si="75"/>
        <v>13.164179104477611</v>
      </c>
      <c r="J186" s="6">
        <f t="shared" si="76"/>
        <v>0</v>
      </c>
      <c r="K186" s="167"/>
    </row>
    <row r="187" spans="1:15" ht="25.5" x14ac:dyDescent="0.25">
      <c r="A187" s="170" t="s">
        <v>106</v>
      </c>
      <c r="B187" s="316" t="s">
        <v>375</v>
      </c>
      <c r="C187" s="58">
        <v>44000000</v>
      </c>
      <c r="D187" s="726">
        <f>C187/C179*100</f>
        <v>13.134328358208954</v>
      </c>
      <c r="E187" s="134">
        <f t="shared" si="72"/>
        <v>93.181818181818173</v>
      </c>
      <c r="F187" s="134">
        <f t="shared" si="73"/>
        <v>12.238805970149251</v>
      </c>
      <c r="G187" s="181">
        <f>41000000</f>
        <v>41000000</v>
      </c>
      <c r="H187" s="134">
        <f t="shared" si="74"/>
        <v>93.181818181818173</v>
      </c>
      <c r="I187" s="134">
        <f t="shared" si="75"/>
        <v>12.238805970149251</v>
      </c>
      <c r="J187" s="6">
        <f t="shared" si="76"/>
        <v>-3000000</v>
      </c>
      <c r="K187" s="167"/>
    </row>
    <row r="188" spans="1:15" x14ac:dyDescent="0.25">
      <c r="A188" s="170" t="s">
        <v>162</v>
      </c>
      <c r="B188" s="315" t="s">
        <v>515</v>
      </c>
      <c r="C188" s="58">
        <v>36000000</v>
      </c>
      <c r="D188" s="726"/>
      <c r="E188" s="134"/>
      <c r="F188" s="134"/>
      <c r="G188" s="181">
        <f>36000000</f>
        <v>36000000</v>
      </c>
      <c r="H188" s="134"/>
      <c r="I188" s="134"/>
      <c r="J188" s="6">
        <f t="shared" si="76"/>
        <v>0</v>
      </c>
      <c r="K188" s="167"/>
    </row>
    <row r="189" spans="1:15" x14ac:dyDescent="0.25">
      <c r="A189" s="170" t="s">
        <v>527</v>
      </c>
      <c r="B189" s="316" t="s">
        <v>523</v>
      </c>
      <c r="C189" s="58">
        <v>5625000</v>
      </c>
      <c r="D189" s="726"/>
      <c r="E189" s="134"/>
      <c r="F189" s="134"/>
      <c r="G189" s="181">
        <f>5625000</f>
        <v>5625000</v>
      </c>
      <c r="H189" s="134"/>
      <c r="I189" s="134"/>
      <c r="J189" s="6">
        <f t="shared" si="76"/>
        <v>0</v>
      </c>
      <c r="K189" s="167"/>
    </row>
    <row r="190" spans="1:15" x14ac:dyDescent="0.25">
      <c r="A190" s="170" t="s">
        <v>528</v>
      </c>
      <c r="B190" s="316" t="s">
        <v>524</v>
      </c>
      <c r="C190" s="58">
        <v>16000000</v>
      </c>
      <c r="D190" s="726"/>
      <c r="E190" s="134"/>
      <c r="F190" s="134"/>
      <c r="G190" s="181">
        <f>16000000</f>
        <v>16000000</v>
      </c>
      <c r="H190" s="134"/>
      <c r="I190" s="134"/>
      <c r="J190" s="6">
        <f t="shared" si="76"/>
        <v>0</v>
      </c>
      <c r="K190" s="167"/>
    </row>
    <row r="191" spans="1:15" x14ac:dyDescent="0.25">
      <c r="A191" s="170" t="s">
        <v>529</v>
      </c>
      <c r="B191" s="316" t="s">
        <v>525</v>
      </c>
      <c r="C191" s="58">
        <v>4000000</v>
      </c>
      <c r="D191" s="726"/>
      <c r="E191" s="134"/>
      <c r="F191" s="134"/>
      <c r="G191" s="181">
        <f>4000000</f>
        <v>4000000</v>
      </c>
      <c r="H191" s="134"/>
      <c r="I191" s="134"/>
      <c r="J191" s="6">
        <f t="shared" si="76"/>
        <v>0</v>
      </c>
      <c r="K191" s="167"/>
    </row>
    <row r="192" spans="1:15" ht="25.5" x14ac:dyDescent="0.25">
      <c r="A192" s="170" t="s">
        <v>116</v>
      </c>
      <c r="B192" s="133" t="s">
        <v>371</v>
      </c>
      <c r="C192" s="178">
        <v>1622500</v>
      </c>
      <c r="D192" s="726">
        <f>C192/C179*100</f>
        <v>0.4843283582089552</v>
      </c>
      <c r="E192" s="134">
        <f t="shared" si="72"/>
        <v>100</v>
      </c>
      <c r="F192" s="134">
        <f t="shared" si="73"/>
        <v>0.4843283582089552</v>
      </c>
      <c r="G192" s="181">
        <f>1622500</f>
        <v>1622500</v>
      </c>
      <c r="H192" s="134">
        <f t="shared" si="74"/>
        <v>100</v>
      </c>
      <c r="I192" s="134">
        <f t="shared" si="75"/>
        <v>0.4843283582089552</v>
      </c>
      <c r="J192" s="6">
        <f t="shared" si="76"/>
        <v>0</v>
      </c>
      <c r="K192" s="167"/>
      <c r="M192" s="190"/>
    </row>
    <row r="193" spans="1:14" x14ac:dyDescent="0.25">
      <c r="A193" s="748" t="s">
        <v>65</v>
      </c>
      <c r="B193" s="315" t="s">
        <v>393</v>
      </c>
      <c r="C193" s="178">
        <v>7000000</v>
      </c>
      <c r="D193" s="726"/>
      <c r="E193" s="134"/>
      <c r="F193" s="134"/>
      <c r="G193" s="181">
        <f>6932360</f>
        <v>6932360</v>
      </c>
      <c r="H193" s="134"/>
      <c r="I193" s="134"/>
      <c r="J193" s="6">
        <f t="shared" si="76"/>
        <v>-67640</v>
      </c>
      <c r="K193" s="167"/>
      <c r="M193" s="190"/>
    </row>
    <row r="194" spans="1:14" x14ac:dyDescent="0.25">
      <c r="A194" s="748" t="s">
        <v>287</v>
      </c>
      <c r="B194" s="315" t="s">
        <v>191</v>
      </c>
      <c r="C194" s="178">
        <v>15000000</v>
      </c>
      <c r="D194" s="726"/>
      <c r="E194" s="134"/>
      <c r="F194" s="134"/>
      <c r="G194" s="181">
        <f>15000000</f>
        <v>15000000</v>
      </c>
      <c r="H194" s="134"/>
      <c r="I194" s="134"/>
      <c r="J194" s="6">
        <f t="shared" si="76"/>
        <v>0</v>
      </c>
      <c r="K194" s="167"/>
      <c r="M194" s="190"/>
    </row>
    <row r="195" spans="1:14" x14ac:dyDescent="0.25">
      <c r="A195" s="748" t="s">
        <v>275</v>
      </c>
      <c r="B195" s="133" t="s">
        <v>421</v>
      </c>
      <c r="C195" s="178">
        <v>5000000</v>
      </c>
      <c r="D195" s="726"/>
      <c r="E195" s="134"/>
      <c r="F195" s="134"/>
      <c r="G195" s="181">
        <v>0</v>
      </c>
      <c r="H195" s="134"/>
      <c r="I195" s="134"/>
      <c r="J195" s="6">
        <f t="shared" si="76"/>
        <v>-5000000</v>
      </c>
      <c r="K195" s="167"/>
      <c r="M195" s="190"/>
    </row>
    <row r="196" spans="1:14" x14ac:dyDescent="0.25">
      <c r="A196" s="69"/>
      <c r="B196" s="67" t="s">
        <v>128</v>
      </c>
      <c r="C196" s="60">
        <f>SUM(C180:C195)</f>
        <v>335000000</v>
      </c>
      <c r="D196" s="275">
        <f>SUM(D180:D192)</f>
        <v>70.5597014925373</v>
      </c>
      <c r="E196" s="134"/>
      <c r="F196" s="134"/>
      <c r="G196" s="42">
        <f>SUM(G180:G195)</f>
        <v>253918110</v>
      </c>
      <c r="H196" s="134"/>
      <c r="I196" s="134"/>
      <c r="J196" s="734"/>
      <c r="K196" s="38"/>
    </row>
    <row r="197" spans="1:14" x14ac:dyDescent="0.25">
      <c r="A197" s="186"/>
      <c r="B197" s="2"/>
      <c r="C197" s="187"/>
      <c r="D197" s="188"/>
      <c r="E197" s="183"/>
      <c r="F197" s="183"/>
      <c r="G197" s="184"/>
      <c r="H197" s="183"/>
      <c r="I197" s="183"/>
      <c r="J197" s="189"/>
      <c r="K197" s="53"/>
    </row>
    <row r="198" spans="1:14" ht="31.5" x14ac:dyDescent="0.25">
      <c r="A198" s="55"/>
      <c r="B198" s="46" t="s">
        <v>145</v>
      </c>
      <c r="C198" s="155"/>
      <c r="D198" s="44"/>
      <c r="E198" s="45"/>
      <c r="F198" s="45"/>
      <c r="G198" s="48"/>
      <c r="H198" s="45"/>
      <c r="I198" s="45"/>
      <c r="J198" s="44"/>
      <c r="K198" s="44"/>
      <c r="L198" s="1"/>
      <c r="M198" s="1"/>
      <c r="N198" s="1"/>
    </row>
    <row r="199" spans="1:14" x14ac:dyDescent="0.25">
      <c r="A199" s="1082" t="s">
        <v>2</v>
      </c>
      <c r="B199" s="1081" t="s">
        <v>168</v>
      </c>
      <c r="C199" s="1082" t="s">
        <v>4</v>
      </c>
      <c r="D199" s="1083" t="s">
        <v>5</v>
      </c>
      <c r="E199" s="1084"/>
      <c r="F199" s="1084"/>
      <c r="G199" s="1085" t="s">
        <v>6</v>
      </c>
      <c r="H199" s="1084"/>
      <c r="I199" s="1084"/>
      <c r="J199" s="1082" t="s">
        <v>7</v>
      </c>
      <c r="K199" s="283" t="s">
        <v>8</v>
      </c>
    </row>
    <row r="200" spans="1:14" x14ac:dyDescent="0.25">
      <c r="A200" s="1082"/>
      <c r="B200" s="1081"/>
      <c r="C200" s="1082"/>
      <c r="D200" s="283" t="s">
        <v>9</v>
      </c>
      <c r="E200" s="297" t="s">
        <v>10</v>
      </c>
      <c r="F200" s="297" t="s">
        <v>11</v>
      </c>
      <c r="G200" s="298" t="s">
        <v>12</v>
      </c>
      <c r="H200" s="297" t="s">
        <v>13</v>
      </c>
      <c r="I200" s="297" t="s">
        <v>11</v>
      </c>
      <c r="J200" s="1086"/>
      <c r="K200" s="284"/>
    </row>
    <row r="201" spans="1:14" x14ac:dyDescent="0.25">
      <c r="A201" s="1082"/>
      <c r="B201" s="1081"/>
      <c r="C201" s="1082"/>
      <c r="D201" s="282" t="s">
        <v>14</v>
      </c>
      <c r="E201" s="295" t="s">
        <v>14</v>
      </c>
      <c r="F201" s="295" t="s">
        <v>14</v>
      </c>
      <c r="G201" s="296" t="s">
        <v>15</v>
      </c>
      <c r="H201" s="295" t="s">
        <v>14</v>
      </c>
      <c r="I201" s="295" t="s">
        <v>14</v>
      </c>
      <c r="J201" s="282" t="s">
        <v>15</v>
      </c>
      <c r="K201" s="282"/>
    </row>
    <row r="202" spans="1:14" x14ac:dyDescent="0.25">
      <c r="A202" s="79" t="s">
        <v>185</v>
      </c>
      <c r="B202" s="199" t="s">
        <v>146</v>
      </c>
      <c r="C202" s="145"/>
      <c r="D202" s="146"/>
      <c r="E202" s="147"/>
      <c r="F202" s="147"/>
      <c r="G202" s="148"/>
      <c r="H202" s="147"/>
      <c r="I202" s="147"/>
      <c r="J202" s="146"/>
      <c r="K202" s="146"/>
    </row>
    <row r="203" spans="1:14" x14ac:dyDescent="0.25">
      <c r="A203" s="125" t="s">
        <v>184</v>
      </c>
      <c r="B203" s="280" t="s">
        <v>147</v>
      </c>
      <c r="C203" s="257">
        <f>SUM(C204:C206)</f>
        <v>2555640000</v>
      </c>
      <c r="D203" s="146"/>
      <c r="E203" s="147"/>
      <c r="F203" s="147"/>
      <c r="G203" s="148"/>
      <c r="H203" s="147"/>
      <c r="I203" s="147"/>
      <c r="J203" s="146"/>
      <c r="K203" s="146"/>
    </row>
    <row r="204" spans="1:14" ht="25.5" x14ac:dyDescent="0.25">
      <c r="A204" s="319" t="s">
        <v>59</v>
      </c>
      <c r="B204" s="707" t="s">
        <v>384</v>
      </c>
      <c r="C204" s="258">
        <f>33350000</f>
        <v>33350000</v>
      </c>
      <c r="D204" s="267"/>
      <c r="E204" s="134"/>
      <c r="F204" s="134"/>
      <c r="G204" s="181">
        <f>33350000</f>
        <v>33350000</v>
      </c>
      <c r="H204" s="134"/>
      <c r="I204" s="134"/>
      <c r="J204" s="6">
        <f t="shared" ref="J204:J205" si="77">G204-C204</f>
        <v>0</v>
      </c>
      <c r="K204" s="146"/>
    </row>
    <row r="205" spans="1:14" x14ac:dyDescent="0.25">
      <c r="A205" s="49" t="s">
        <v>148</v>
      </c>
      <c r="B205" s="707" t="s">
        <v>197</v>
      </c>
      <c r="C205" s="259">
        <f>2290000</f>
        <v>2290000</v>
      </c>
      <c r="D205" s="267">
        <f>C205/C203*100</f>
        <v>8.9605734767025089E-2</v>
      </c>
      <c r="E205" s="134">
        <f t="shared" ref="E205" si="78">G205/C205*100</f>
        <v>100</v>
      </c>
      <c r="F205" s="134">
        <f t="shared" ref="F205" si="79">(D205*E205)/100</f>
        <v>8.9605734767025089E-2</v>
      </c>
      <c r="G205" s="181">
        <f>2290000</f>
        <v>2290000</v>
      </c>
      <c r="H205" s="134">
        <f t="shared" ref="H205" si="80">G205/C205*100</f>
        <v>100</v>
      </c>
      <c r="I205" s="134">
        <f t="shared" ref="I205" si="81">(D205*H205)/100</f>
        <v>8.9605734767025089E-2</v>
      </c>
      <c r="J205" s="6">
        <f t="shared" si="77"/>
        <v>0</v>
      </c>
      <c r="K205" s="146"/>
    </row>
    <row r="206" spans="1:14" x14ac:dyDescent="0.25">
      <c r="A206" s="749"/>
      <c r="B206" s="133" t="s">
        <v>531</v>
      </c>
      <c r="C206" s="259">
        <f>2520000000</f>
        <v>2520000000</v>
      </c>
      <c r="D206" s="848"/>
      <c r="E206" s="134"/>
      <c r="F206" s="134"/>
      <c r="G206" s="181">
        <f>208860000+1943900000</f>
        <v>2152760000</v>
      </c>
      <c r="H206" s="134"/>
      <c r="I206" s="134"/>
      <c r="J206" s="6"/>
      <c r="K206" s="849"/>
    </row>
    <row r="207" spans="1:14" x14ac:dyDescent="0.25">
      <c r="A207" s="71"/>
      <c r="B207" s="76" t="s">
        <v>95</v>
      </c>
      <c r="C207" s="806">
        <f>SUM(C204:C206)</f>
        <v>2555640000</v>
      </c>
      <c r="D207" s="141">
        <f>SUM(D204:D205)</f>
        <v>8.9605734767025089E-2</v>
      </c>
      <c r="E207" s="134"/>
      <c r="F207" s="134"/>
      <c r="G207" s="181">
        <f>SUM(G204:G206)</f>
        <v>2188400000</v>
      </c>
      <c r="H207" s="134"/>
      <c r="I207" s="134"/>
      <c r="J207" s="56">
        <v>0</v>
      </c>
      <c r="K207" s="143"/>
    </row>
    <row r="208" spans="1:14" x14ac:dyDescent="0.25">
      <c r="A208" s="186"/>
      <c r="B208" s="2"/>
      <c r="C208" s="187"/>
      <c r="D208" s="188"/>
      <c r="E208" s="183"/>
      <c r="F208" s="183"/>
      <c r="G208" s="184"/>
      <c r="H208" s="183"/>
      <c r="I208" s="183"/>
      <c r="J208" s="189"/>
      <c r="K208" s="53"/>
    </row>
    <row r="209" spans="1:11" x14ac:dyDescent="0.25">
      <c r="A209" s="1080" t="s">
        <v>2</v>
      </c>
      <c r="B209" s="1081" t="s">
        <v>168</v>
      </c>
      <c r="C209" s="1080" t="s">
        <v>4</v>
      </c>
      <c r="D209" s="1075" t="s">
        <v>5</v>
      </c>
      <c r="E209" s="1076"/>
      <c r="F209" s="1076"/>
      <c r="G209" s="1077" t="s">
        <v>6</v>
      </c>
      <c r="H209" s="1076"/>
      <c r="I209" s="1076"/>
      <c r="J209" s="1080" t="s">
        <v>7</v>
      </c>
      <c r="K209" s="95" t="s">
        <v>8</v>
      </c>
    </row>
    <row r="210" spans="1:11" x14ac:dyDescent="0.25">
      <c r="A210" s="1080"/>
      <c r="B210" s="1081"/>
      <c r="C210" s="1080"/>
      <c r="D210" s="95" t="s">
        <v>9</v>
      </c>
      <c r="E210" s="294" t="s">
        <v>10</v>
      </c>
      <c r="F210" s="294" t="s">
        <v>11</v>
      </c>
      <c r="G210" s="299" t="s">
        <v>12</v>
      </c>
      <c r="H210" s="294" t="s">
        <v>13</v>
      </c>
      <c r="I210" s="294" t="s">
        <v>11</v>
      </c>
      <c r="J210" s="1078"/>
      <c r="K210" s="98"/>
    </row>
    <row r="211" spans="1:11" x14ac:dyDescent="0.25">
      <c r="A211" s="1080"/>
      <c r="B211" s="1081"/>
      <c r="C211" s="1080"/>
      <c r="D211" s="101" t="s">
        <v>14</v>
      </c>
      <c r="E211" s="100" t="s">
        <v>14</v>
      </c>
      <c r="F211" s="100" t="s">
        <v>14</v>
      </c>
      <c r="G211" s="99" t="s">
        <v>15</v>
      </c>
      <c r="H211" s="100" t="s">
        <v>14</v>
      </c>
      <c r="I211" s="100" t="s">
        <v>14</v>
      </c>
      <c r="J211" s="101" t="s">
        <v>15</v>
      </c>
      <c r="K211" s="101"/>
    </row>
    <row r="212" spans="1:11" x14ac:dyDescent="0.25">
      <c r="A212" s="79" t="s">
        <v>185</v>
      </c>
      <c r="B212" s="199" t="s">
        <v>146</v>
      </c>
      <c r="C212" s="24"/>
      <c r="D212" s="10"/>
      <c r="E212" s="34"/>
      <c r="F212" s="34"/>
      <c r="G212" s="6"/>
      <c r="H212" s="34"/>
      <c r="I212" s="34"/>
      <c r="J212" s="10"/>
      <c r="K212" s="10"/>
    </row>
    <row r="213" spans="1:11" x14ac:dyDescent="0.25">
      <c r="A213" s="125" t="s">
        <v>187</v>
      </c>
      <c r="B213" s="280" t="s">
        <v>150</v>
      </c>
      <c r="C213" s="252">
        <f>SUM(C214:C218)</f>
        <v>1635097968</v>
      </c>
      <c r="D213" s="10"/>
      <c r="E213" s="34"/>
      <c r="F213" s="34"/>
      <c r="G213" s="6"/>
      <c r="H213" s="34"/>
      <c r="I213" s="34"/>
      <c r="J213" s="10"/>
      <c r="K213" s="10"/>
    </row>
    <row r="214" spans="1:11" ht="25.5" x14ac:dyDescent="0.25">
      <c r="A214" s="313" t="s">
        <v>44</v>
      </c>
      <c r="B214" s="707" t="s">
        <v>384</v>
      </c>
      <c r="C214" s="253">
        <v>29600000</v>
      </c>
      <c r="D214" s="134">
        <f>C214/C213*100</f>
        <v>1.8102890823236593</v>
      </c>
      <c r="E214" s="134">
        <f t="shared" ref="E214:E217" si="82">G214/C214*100</f>
        <v>100</v>
      </c>
      <c r="F214" s="134">
        <f t="shared" ref="F214:F217" si="83">(D214*E214)/100</f>
        <v>1.8102890823236593</v>
      </c>
      <c r="G214" s="181">
        <f>29600000</f>
        <v>29600000</v>
      </c>
      <c r="H214" s="134">
        <f t="shared" ref="H214:H217" si="84">G214/C214*100</f>
        <v>100</v>
      </c>
      <c r="I214" s="134">
        <f t="shared" ref="I214:I217" si="85">(D214*H214)/100</f>
        <v>1.8102890823236593</v>
      </c>
      <c r="J214" s="6">
        <f t="shared" ref="J214:J218" si="86">G214-C214</f>
        <v>0</v>
      </c>
      <c r="K214" s="10"/>
    </row>
    <row r="215" spans="1:11" x14ac:dyDescent="0.25">
      <c r="A215" s="319" t="s">
        <v>59</v>
      </c>
      <c r="B215" s="707" t="s">
        <v>197</v>
      </c>
      <c r="C215" s="253">
        <v>1300000</v>
      </c>
      <c r="D215" s="134"/>
      <c r="E215" s="134"/>
      <c r="F215" s="134"/>
      <c r="G215" s="181">
        <f>1300000</f>
        <v>1300000</v>
      </c>
      <c r="H215" s="134"/>
      <c r="I215" s="134"/>
      <c r="J215" s="6">
        <f t="shared" si="86"/>
        <v>0</v>
      </c>
      <c r="K215" s="10"/>
    </row>
    <row r="216" spans="1:11" x14ac:dyDescent="0.25">
      <c r="A216" s="49" t="s">
        <v>148</v>
      </c>
      <c r="B216" s="133" t="s">
        <v>531</v>
      </c>
      <c r="C216" s="256">
        <f>1140000000</f>
        <v>1140000000</v>
      </c>
      <c r="D216" s="134">
        <f>C216/C213*100</f>
        <v>69.720593035438228</v>
      </c>
      <c r="E216" s="134">
        <f t="shared" si="82"/>
        <v>65.903508771929822</v>
      </c>
      <c r="F216" s="134">
        <f t="shared" si="83"/>
        <v>45.948317146951524</v>
      </c>
      <c r="G216" s="181">
        <f>542973600+208326400</f>
        <v>751300000</v>
      </c>
      <c r="H216" s="134">
        <f t="shared" si="84"/>
        <v>65.903508771929822</v>
      </c>
      <c r="I216" s="134">
        <f t="shared" si="85"/>
        <v>45.948317146951524</v>
      </c>
      <c r="J216" s="6">
        <f t="shared" si="86"/>
        <v>-388700000</v>
      </c>
      <c r="K216" s="10"/>
    </row>
    <row r="217" spans="1:11" s="84" customFormat="1" ht="25.5" x14ac:dyDescent="0.2">
      <c r="A217" s="49" t="s">
        <v>152</v>
      </c>
      <c r="B217" s="133" t="s">
        <v>153</v>
      </c>
      <c r="C217" s="256">
        <v>456000000</v>
      </c>
      <c r="D217" s="134">
        <f>C217/C213*100</f>
        <v>27.888237214175295</v>
      </c>
      <c r="E217" s="134">
        <f t="shared" si="82"/>
        <v>50</v>
      </c>
      <c r="F217" s="134">
        <f t="shared" si="83"/>
        <v>13.944118607087649</v>
      </c>
      <c r="G217" s="181">
        <f>228000000</f>
        <v>228000000</v>
      </c>
      <c r="H217" s="134">
        <f t="shared" si="84"/>
        <v>50</v>
      </c>
      <c r="I217" s="134">
        <f t="shared" si="85"/>
        <v>13.944118607087649</v>
      </c>
      <c r="J217" s="6">
        <f t="shared" si="86"/>
        <v>-228000000</v>
      </c>
      <c r="K217" s="38"/>
    </row>
    <row r="218" spans="1:11" s="84" customFormat="1" x14ac:dyDescent="0.2">
      <c r="A218" s="749" t="s">
        <v>234</v>
      </c>
      <c r="B218" s="133" t="s">
        <v>522</v>
      </c>
      <c r="C218" s="256">
        <v>8197968</v>
      </c>
      <c r="D218" s="804"/>
      <c r="E218" s="134"/>
      <c r="F218" s="134"/>
      <c r="G218" s="181">
        <f>8197968</f>
        <v>8197968</v>
      </c>
      <c r="H218" s="134"/>
      <c r="I218" s="134"/>
      <c r="J218" s="6">
        <f t="shared" si="86"/>
        <v>0</v>
      </c>
      <c r="K218" s="805"/>
    </row>
    <row r="219" spans="1:11" x14ac:dyDescent="0.25">
      <c r="A219" s="70"/>
      <c r="B219" s="129" t="s">
        <v>95</v>
      </c>
      <c r="C219" s="807">
        <f>SUM(C214:C218)</f>
        <v>1635097968</v>
      </c>
      <c r="D219" s="271">
        <f>SUM(D214:D217)</f>
        <v>99.419119331937182</v>
      </c>
      <c r="E219" s="134"/>
      <c r="F219" s="134"/>
      <c r="G219" s="181">
        <f>SUM(G214:G218)</f>
        <v>1018397968</v>
      </c>
      <c r="H219" s="134"/>
      <c r="I219" s="134"/>
      <c r="J219" s="56">
        <v>0</v>
      </c>
      <c r="K219" s="130"/>
    </row>
    <row r="220" spans="1:11" x14ac:dyDescent="0.25">
      <c r="A220" s="186"/>
      <c r="B220" s="2"/>
      <c r="C220" s="187"/>
      <c r="D220" s="188"/>
      <c r="E220" s="183"/>
      <c r="F220" s="183"/>
      <c r="G220" s="184"/>
      <c r="H220" s="183"/>
      <c r="I220" s="183"/>
      <c r="J220" s="189"/>
      <c r="K220" s="53"/>
    </row>
    <row r="221" spans="1:11" x14ac:dyDescent="0.25">
      <c r="A221" s="50"/>
      <c r="B221" s="5"/>
      <c r="C221" s="50"/>
      <c r="D221" s="9"/>
      <c r="E221" s="23"/>
      <c r="F221" s="23"/>
      <c r="G221" s="11"/>
      <c r="H221" s="23"/>
      <c r="I221" s="23"/>
      <c r="J221" s="9"/>
      <c r="K221" s="9"/>
    </row>
    <row r="222" spans="1:11" x14ac:dyDescent="0.25">
      <c r="A222" s="1088" t="s">
        <v>2</v>
      </c>
      <c r="B222" s="1094" t="s">
        <v>133</v>
      </c>
      <c r="C222" s="906"/>
      <c r="D222" s="1097" t="s">
        <v>5</v>
      </c>
      <c r="E222" s="1098"/>
      <c r="F222" s="1099"/>
      <c r="G222" s="1100" t="s">
        <v>6</v>
      </c>
      <c r="H222" s="1101"/>
      <c r="I222" s="1102"/>
      <c r="J222" s="1088" t="s">
        <v>7</v>
      </c>
      <c r="K222" s="108" t="s">
        <v>8</v>
      </c>
    </row>
    <row r="223" spans="1:11" x14ac:dyDescent="0.25">
      <c r="A223" s="1092"/>
      <c r="B223" s="1095"/>
      <c r="C223" s="907" t="s">
        <v>4</v>
      </c>
      <c r="D223" s="109" t="s">
        <v>9</v>
      </c>
      <c r="E223" s="110" t="s">
        <v>10</v>
      </c>
      <c r="F223" s="110" t="s">
        <v>11</v>
      </c>
      <c r="G223" s="111" t="s">
        <v>12</v>
      </c>
      <c r="H223" s="110" t="s">
        <v>13</v>
      </c>
      <c r="I223" s="110" t="s">
        <v>11</v>
      </c>
      <c r="J223" s="1092"/>
      <c r="K223" s="109"/>
    </row>
    <row r="224" spans="1:11" x14ac:dyDescent="0.25">
      <c r="A224" s="1093"/>
      <c r="B224" s="1096"/>
      <c r="C224" s="908"/>
      <c r="D224" s="112" t="s">
        <v>14</v>
      </c>
      <c r="E224" s="113" t="s">
        <v>14</v>
      </c>
      <c r="F224" s="113" t="s">
        <v>14</v>
      </c>
      <c r="G224" s="114" t="s">
        <v>15</v>
      </c>
      <c r="H224" s="113" t="s">
        <v>14</v>
      </c>
      <c r="I224" s="113" t="s">
        <v>14</v>
      </c>
      <c r="J224" s="112" t="s">
        <v>15</v>
      </c>
      <c r="K224" s="112"/>
    </row>
    <row r="225" spans="1:11" ht="25.5" x14ac:dyDescent="0.25">
      <c r="A225" s="79" t="s">
        <v>180</v>
      </c>
      <c r="B225" s="696" t="s">
        <v>379</v>
      </c>
      <c r="C225" s="291"/>
      <c r="D225" s="10"/>
      <c r="E225" s="34"/>
      <c r="F225" s="34"/>
      <c r="G225" s="6"/>
      <c r="H225" s="34"/>
      <c r="I225" s="34"/>
      <c r="J225" s="10"/>
      <c r="K225" s="10"/>
    </row>
    <row r="226" spans="1:11" ht="25.5" x14ac:dyDescent="0.25">
      <c r="A226" s="125" t="s">
        <v>181</v>
      </c>
      <c r="B226" s="697" t="s">
        <v>380</v>
      </c>
      <c r="C226" s="87">
        <f>SUM(C227:C238)</f>
        <v>185000000</v>
      </c>
      <c r="D226" s="10"/>
      <c r="E226" s="34"/>
      <c r="F226" s="34"/>
      <c r="G226" s="6"/>
      <c r="H226" s="34"/>
      <c r="I226" s="34"/>
      <c r="J226" s="10"/>
      <c r="K226" s="10"/>
    </row>
    <row r="227" spans="1:11" ht="25.5" x14ac:dyDescent="0.25">
      <c r="A227" s="49" t="s">
        <v>44</v>
      </c>
      <c r="B227" s="707" t="s">
        <v>384</v>
      </c>
      <c r="C227" s="172">
        <v>8580000</v>
      </c>
      <c r="D227" s="134">
        <f>C227/C226*100</f>
        <v>4.6378378378378375</v>
      </c>
      <c r="E227" s="134">
        <f t="shared" ref="E227:E236" si="87">G227/C227*100</f>
        <v>100</v>
      </c>
      <c r="F227" s="134">
        <f t="shared" ref="F227:F236" si="88">(D227*E227)/100</f>
        <v>4.6378378378378375</v>
      </c>
      <c r="G227" s="181">
        <f>8580000</f>
        <v>8580000</v>
      </c>
      <c r="H227" s="134">
        <f t="shared" ref="H227:H236" si="89">G227/C227*100</f>
        <v>100</v>
      </c>
      <c r="I227" s="134">
        <f t="shared" ref="I227:I236" si="90">(D227*H227)/100</f>
        <v>4.6378378378378375</v>
      </c>
      <c r="J227" s="6">
        <f t="shared" ref="J227:J238" si="91">G227-C227</f>
        <v>0</v>
      </c>
      <c r="K227" s="10"/>
    </row>
    <row r="228" spans="1:11" x14ac:dyDescent="0.25">
      <c r="A228" s="49" t="s">
        <v>59</v>
      </c>
      <c r="B228" s="707" t="s">
        <v>197</v>
      </c>
      <c r="C228" s="256">
        <v>9515700</v>
      </c>
      <c r="D228" s="134">
        <f>C228/C226*100</f>
        <v>5.1436216216216222</v>
      </c>
      <c r="E228" s="134">
        <f t="shared" si="87"/>
        <v>99.762497766848469</v>
      </c>
      <c r="F228" s="134">
        <f t="shared" si="88"/>
        <v>5.1314054054054052</v>
      </c>
      <c r="G228" s="181">
        <f>6993100+2500000</f>
        <v>9493100</v>
      </c>
      <c r="H228" s="134">
        <f t="shared" si="89"/>
        <v>99.762497766848469</v>
      </c>
      <c r="I228" s="134">
        <f t="shared" si="90"/>
        <v>5.1314054054054052</v>
      </c>
      <c r="J228" s="6">
        <f t="shared" si="91"/>
        <v>-22600</v>
      </c>
      <c r="K228" s="10"/>
    </row>
    <row r="229" spans="1:11" x14ac:dyDescent="0.25">
      <c r="A229" s="49" t="s">
        <v>62</v>
      </c>
      <c r="B229" s="707" t="s">
        <v>334</v>
      </c>
      <c r="C229" s="256">
        <v>4450000</v>
      </c>
      <c r="D229" s="134">
        <f>C229/C226*100</f>
        <v>2.4054054054054053</v>
      </c>
      <c r="E229" s="134">
        <f t="shared" si="87"/>
        <v>100</v>
      </c>
      <c r="F229" s="134">
        <f t="shared" si="88"/>
        <v>2.4054054054054053</v>
      </c>
      <c r="G229" s="181">
        <f>4450000</f>
        <v>4450000</v>
      </c>
      <c r="H229" s="134">
        <f t="shared" si="89"/>
        <v>100</v>
      </c>
      <c r="I229" s="134">
        <f t="shared" si="90"/>
        <v>2.4054054054054053</v>
      </c>
      <c r="J229" s="6">
        <f t="shared" si="91"/>
        <v>0</v>
      </c>
      <c r="K229" s="10"/>
    </row>
    <row r="230" spans="1:11" ht="25.5" x14ac:dyDescent="0.25">
      <c r="A230" s="49"/>
      <c r="B230" s="707" t="s">
        <v>532</v>
      </c>
      <c r="C230" s="256">
        <v>3500000</v>
      </c>
      <c r="D230" s="134"/>
      <c r="E230" s="134"/>
      <c r="F230" s="134"/>
      <c r="G230" s="181">
        <f>3500000</f>
        <v>3500000</v>
      </c>
      <c r="H230" s="134"/>
      <c r="I230" s="134"/>
      <c r="J230" s="6">
        <f t="shared" si="91"/>
        <v>0</v>
      </c>
      <c r="K230" s="10"/>
    </row>
    <row r="231" spans="1:11" x14ac:dyDescent="0.25">
      <c r="A231" s="49" t="s">
        <v>77</v>
      </c>
      <c r="B231" s="49" t="s">
        <v>135</v>
      </c>
      <c r="C231" s="174">
        <v>73080000</v>
      </c>
      <c r="D231" s="134">
        <f>C231/C226*100</f>
        <v>39.502702702702699</v>
      </c>
      <c r="E231" s="134">
        <f t="shared" si="87"/>
        <v>45.340722495894909</v>
      </c>
      <c r="F231" s="134">
        <f t="shared" si="88"/>
        <v>17.910810810810808</v>
      </c>
      <c r="G231" s="181">
        <f>17250000+15885000</f>
        <v>33135000</v>
      </c>
      <c r="H231" s="134">
        <f t="shared" si="89"/>
        <v>45.340722495894909</v>
      </c>
      <c r="I231" s="134">
        <f t="shared" si="90"/>
        <v>17.910810810810808</v>
      </c>
      <c r="J231" s="6">
        <f t="shared" si="91"/>
        <v>-39945000</v>
      </c>
      <c r="K231" s="10"/>
    </row>
    <row r="232" spans="1:11" x14ac:dyDescent="0.25">
      <c r="A232" s="49"/>
      <c r="B232" s="170" t="s">
        <v>178</v>
      </c>
      <c r="C232" s="174">
        <v>5125000</v>
      </c>
      <c r="D232" s="134"/>
      <c r="E232" s="134"/>
      <c r="F232" s="134"/>
      <c r="G232" s="181"/>
      <c r="H232" s="134"/>
      <c r="I232" s="134"/>
      <c r="J232" s="6">
        <f t="shared" si="91"/>
        <v>-5125000</v>
      </c>
      <c r="K232" s="10"/>
    </row>
    <row r="233" spans="1:11" x14ac:dyDescent="0.25">
      <c r="A233" s="49" t="s">
        <v>104</v>
      </c>
      <c r="B233" s="170" t="s">
        <v>179</v>
      </c>
      <c r="C233" s="172">
        <v>33400000</v>
      </c>
      <c r="D233" s="134">
        <f>C233/C226*100</f>
        <v>18.054054054054053</v>
      </c>
      <c r="E233" s="134">
        <f t="shared" si="87"/>
        <v>100</v>
      </c>
      <c r="F233" s="134">
        <f t="shared" si="88"/>
        <v>18.054054054054053</v>
      </c>
      <c r="G233" s="181">
        <f>33400000</f>
        <v>33400000</v>
      </c>
      <c r="H233" s="134">
        <f t="shared" si="89"/>
        <v>100</v>
      </c>
      <c r="I233" s="134">
        <f t="shared" si="90"/>
        <v>18.054054054054053</v>
      </c>
      <c r="J233" s="6">
        <f t="shared" si="91"/>
        <v>0</v>
      </c>
      <c r="K233" s="10"/>
    </row>
    <row r="234" spans="1:11" ht="25.5" x14ac:dyDescent="0.25">
      <c r="A234" s="49" t="s">
        <v>106</v>
      </c>
      <c r="B234" s="316" t="s">
        <v>375</v>
      </c>
      <c r="C234" s="178">
        <v>16500000</v>
      </c>
      <c r="D234" s="134">
        <f>C234/C226*100</f>
        <v>8.9189189189189193</v>
      </c>
      <c r="E234" s="134">
        <f t="shared" si="87"/>
        <v>74.545454545454547</v>
      </c>
      <c r="F234" s="134">
        <f t="shared" si="88"/>
        <v>6.6486486486486491</v>
      </c>
      <c r="G234" s="181">
        <f>12300000</f>
        <v>12300000</v>
      </c>
      <c r="H234" s="134">
        <f t="shared" si="89"/>
        <v>74.545454545454547</v>
      </c>
      <c r="I234" s="134">
        <f t="shared" si="90"/>
        <v>6.6486486486486491</v>
      </c>
      <c r="J234" s="6">
        <f t="shared" si="91"/>
        <v>-4200000</v>
      </c>
      <c r="K234" s="10"/>
    </row>
    <row r="235" spans="1:11" x14ac:dyDescent="0.25">
      <c r="A235" s="49"/>
      <c r="B235" s="316" t="s">
        <v>533</v>
      </c>
      <c r="C235" s="178">
        <v>2500000</v>
      </c>
      <c r="D235" s="134"/>
      <c r="E235" s="134"/>
      <c r="F235" s="134"/>
      <c r="G235" s="181">
        <f>2500000</f>
        <v>2500000</v>
      </c>
      <c r="H235" s="134"/>
      <c r="I235" s="134"/>
      <c r="J235" s="6">
        <f t="shared" si="91"/>
        <v>0</v>
      </c>
      <c r="K235" s="10"/>
    </row>
    <row r="236" spans="1:11" ht="25.5" x14ac:dyDescent="0.25">
      <c r="A236" s="49" t="s">
        <v>116</v>
      </c>
      <c r="B236" s="133" t="s">
        <v>371</v>
      </c>
      <c r="C236" s="178">
        <v>4824300</v>
      </c>
      <c r="D236" s="134">
        <f>C236/C226*100</f>
        <v>2.6077297297297299</v>
      </c>
      <c r="E236" s="134">
        <f t="shared" si="87"/>
        <v>100</v>
      </c>
      <c r="F236" s="134">
        <f t="shared" si="88"/>
        <v>2.6077297297297299</v>
      </c>
      <c r="G236" s="181">
        <f>2999800+1824500</f>
        <v>4824300</v>
      </c>
      <c r="H236" s="134">
        <f t="shared" si="89"/>
        <v>100</v>
      </c>
      <c r="I236" s="134">
        <f t="shared" si="90"/>
        <v>2.6077297297297299</v>
      </c>
      <c r="J236" s="6">
        <f t="shared" si="91"/>
        <v>0</v>
      </c>
      <c r="K236" s="10"/>
    </row>
    <row r="237" spans="1:11" x14ac:dyDescent="0.25">
      <c r="A237" s="749" t="s">
        <v>121</v>
      </c>
      <c r="B237" s="315" t="s">
        <v>191</v>
      </c>
      <c r="C237" s="178">
        <v>19400000</v>
      </c>
      <c r="D237" s="134"/>
      <c r="E237" s="134"/>
      <c r="F237" s="134"/>
      <c r="G237" s="181">
        <f>19400000</f>
        <v>19400000</v>
      </c>
      <c r="H237" s="134"/>
      <c r="I237" s="134"/>
      <c r="J237" s="6">
        <f t="shared" si="91"/>
        <v>0</v>
      </c>
      <c r="K237" s="10"/>
    </row>
    <row r="238" spans="1:11" x14ac:dyDescent="0.25">
      <c r="A238" s="749" t="s">
        <v>407</v>
      </c>
      <c r="B238" s="133" t="s">
        <v>424</v>
      </c>
      <c r="C238" s="178">
        <v>4125000</v>
      </c>
      <c r="D238" s="134"/>
      <c r="E238" s="134"/>
      <c r="F238" s="134"/>
      <c r="G238" s="181">
        <v>4125000</v>
      </c>
      <c r="H238" s="134"/>
      <c r="I238" s="134"/>
      <c r="J238" s="6">
        <f t="shared" si="91"/>
        <v>0</v>
      </c>
      <c r="K238" s="10"/>
    </row>
    <row r="239" spans="1:11" x14ac:dyDescent="0.25">
      <c r="A239" s="70"/>
      <c r="B239" s="910" t="s">
        <v>136</v>
      </c>
      <c r="C239" s="43">
        <f>SUM(C227:C238)</f>
        <v>185000000</v>
      </c>
      <c r="D239" s="12">
        <f>SUM(D227:D236)</f>
        <v>81.27027027027026</v>
      </c>
      <c r="E239" s="134"/>
      <c r="F239" s="134"/>
      <c r="G239" s="837">
        <f>SUM(G227:G238)</f>
        <v>135707400</v>
      </c>
      <c r="H239" s="134"/>
      <c r="I239" s="134"/>
      <c r="J239" s="734"/>
      <c r="K239" s="3"/>
    </row>
    <row r="240" spans="1:11" x14ac:dyDescent="0.25">
      <c r="A240" s="53"/>
      <c r="B240" s="5"/>
      <c r="C240" s="189"/>
      <c r="D240" s="29"/>
      <c r="E240" s="30"/>
      <c r="F240" s="23"/>
      <c r="G240" s="11"/>
      <c r="H240" s="32"/>
      <c r="I240" s="23"/>
      <c r="J240" s="15"/>
      <c r="K240" s="37"/>
    </row>
    <row r="241" spans="1:14" ht="31.5" x14ac:dyDescent="0.25">
      <c r="A241" s="55"/>
      <c r="B241" s="46" t="s">
        <v>145</v>
      </c>
      <c r="C241" s="155"/>
      <c r="D241" s="44"/>
      <c r="E241" s="45"/>
      <c r="F241" s="45"/>
      <c r="G241" s="48"/>
      <c r="H241" s="45"/>
      <c r="I241" s="45"/>
      <c r="J241" s="44"/>
      <c r="K241" s="44"/>
      <c r="L241" s="1"/>
      <c r="M241" s="1"/>
      <c r="N241" s="1"/>
    </row>
    <row r="242" spans="1:14" x14ac:dyDescent="0.25">
      <c r="A242" s="1087" t="s">
        <v>2</v>
      </c>
      <c r="B242" s="1089" t="s">
        <v>169</v>
      </c>
      <c r="C242" s="1087" t="s">
        <v>4</v>
      </c>
      <c r="D242" s="1090" t="s">
        <v>5</v>
      </c>
      <c r="E242" s="1090"/>
      <c r="F242" s="1090"/>
      <c r="G242" s="1091" t="s">
        <v>6</v>
      </c>
      <c r="H242" s="1091"/>
      <c r="I242" s="1091"/>
      <c r="J242" s="1087" t="s">
        <v>7</v>
      </c>
      <c r="K242" s="108" t="s">
        <v>8</v>
      </c>
    </row>
    <row r="243" spans="1:14" x14ac:dyDescent="0.25">
      <c r="A243" s="1087"/>
      <c r="B243" s="1089"/>
      <c r="C243" s="1087"/>
      <c r="D243" s="108" t="s">
        <v>9</v>
      </c>
      <c r="E243" s="300" t="s">
        <v>10</v>
      </c>
      <c r="F243" s="300" t="s">
        <v>11</v>
      </c>
      <c r="G243" s="301" t="s">
        <v>12</v>
      </c>
      <c r="H243" s="300" t="s">
        <v>13</v>
      </c>
      <c r="I243" s="300" t="s">
        <v>11</v>
      </c>
      <c r="J243" s="1088"/>
      <c r="K243" s="109"/>
    </row>
    <row r="244" spans="1:14" x14ac:dyDescent="0.25">
      <c r="A244" s="1087"/>
      <c r="B244" s="1089"/>
      <c r="C244" s="1087"/>
      <c r="D244" s="112" t="s">
        <v>14</v>
      </c>
      <c r="E244" s="113" t="s">
        <v>14</v>
      </c>
      <c r="F244" s="113" t="s">
        <v>14</v>
      </c>
      <c r="G244" s="114" t="s">
        <v>15</v>
      </c>
      <c r="H244" s="113" t="s">
        <v>14</v>
      </c>
      <c r="I244" s="113" t="s">
        <v>14</v>
      </c>
      <c r="J244" s="112" t="s">
        <v>15</v>
      </c>
      <c r="K244" s="112"/>
    </row>
    <row r="245" spans="1:14" x14ac:dyDescent="0.25">
      <c r="A245" s="79" t="s">
        <v>185</v>
      </c>
      <c r="B245" s="199" t="s">
        <v>146</v>
      </c>
      <c r="C245" s="24"/>
      <c r="D245" s="10"/>
      <c r="E245" s="34"/>
      <c r="F245" s="34"/>
      <c r="G245" s="6"/>
      <c r="H245" s="34"/>
      <c r="I245" s="34"/>
      <c r="J245" s="10"/>
      <c r="K245" s="10"/>
    </row>
    <row r="246" spans="1:14" x14ac:dyDescent="0.25">
      <c r="A246" s="125" t="s">
        <v>184</v>
      </c>
      <c r="B246" s="280" t="s">
        <v>147</v>
      </c>
      <c r="C246" s="252">
        <f>SUM(C247:C248)</f>
        <v>2905640000</v>
      </c>
      <c r="D246" s="10"/>
      <c r="E246" s="34"/>
      <c r="F246" s="34"/>
      <c r="G246" s="6"/>
      <c r="H246" s="34"/>
      <c r="I246" s="34"/>
      <c r="J246" s="10"/>
      <c r="K246" s="10"/>
    </row>
    <row r="247" spans="1:14" ht="25.5" x14ac:dyDescent="0.25">
      <c r="A247" s="313" t="s">
        <v>44</v>
      </c>
      <c r="B247" s="707" t="s">
        <v>384</v>
      </c>
      <c r="C247" s="253">
        <v>35640000</v>
      </c>
      <c r="D247" s="134">
        <f>C247/C246*100</f>
        <v>1.2265800305612533</v>
      </c>
      <c r="E247" s="134">
        <f t="shared" ref="E247:E248" si="92">G247/C247*100</f>
        <v>50</v>
      </c>
      <c r="F247" s="134">
        <f t="shared" ref="F247:F248" si="93">(D247*E247)/100</f>
        <v>0.61329001528062665</v>
      </c>
      <c r="G247" s="181">
        <f>17820000</f>
        <v>17820000</v>
      </c>
      <c r="H247" s="134">
        <f t="shared" ref="H247:H248" si="94">G247/C247*100</f>
        <v>50</v>
      </c>
      <c r="I247" s="134">
        <f t="shared" ref="I247:I248" si="95">(D247*H247)/100</f>
        <v>0.61329001528062665</v>
      </c>
      <c r="J247" s="6">
        <f t="shared" ref="J247:J248" si="96">G247-C247</f>
        <v>-17820000</v>
      </c>
      <c r="K247" s="10"/>
    </row>
    <row r="248" spans="1:14" x14ac:dyDescent="0.25">
      <c r="A248" s="49" t="s">
        <v>148</v>
      </c>
      <c r="B248" s="133" t="s">
        <v>534</v>
      </c>
      <c r="C248" s="256">
        <v>2870000000</v>
      </c>
      <c r="D248" s="268">
        <f>C248/C246*100</f>
        <v>98.773419969438748</v>
      </c>
      <c r="E248" s="134">
        <f t="shared" si="92"/>
        <v>37.161222996515683</v>
      </c>
      <c r="F248" s="134">
        <f t="shared" si="93"/>
        <v>36.70541085612809</v>
      </c>
      <c r="G248" s="181">
        <f>1066527100</f>
        <v>1066527100</v>
      </c>
      <c r="H248" s="134">
        <f t="shared" si="94"/>
        <v>37.161222996515683</v>
      </c>
      <c r="I248" s="134">
        <f t="shared" si="95"/>
        <v>36.70541085612809</v>
      </c>
      <c r="J248" s="6">
        <f t="shared" si="96"/>
        <v>-1803472900</v>
      </c>
      <c r="K248" s="3"/>
    </row>
    <row r="249" spans="1:14" x14ac:dyDescent="0.25">
      <c r="A249" s="71"/>
      <c r="B249" s="76" t="s">
        <v>95</v>
      </c>
      <c r="C249" s="808">
        <f>SUM(C247:C248)</f>
        <v>2905640000</v>
      </c>
      <c r="D249" s="274">
        <f>SUM(D247:D248)</f>
        <v>100</v>
      </c>
      <c r="E249" s="134"/>
      <c r="F249" s="134"/>
      <c r="G249" s="181">
        <f>SUM(G247:G248)</f>
        <v>1084347100</v>
      </c>
      <c r="H249" s="134"/>
      <c r="I249" s="134"/>
      <c r="J249" s="734"/>
      <c r="K249" s="40"/>
    </row>
    <row r="250" spans="1:14" x14ac:dyDescent="0.25">
      <c r="A250" s="53"/>
      <c r="B250" s="5"/>
      <c r="C250" s="189"/>
      <c r="D250" s="29"/>
      <c r="E250" s="30"/>
      <c r="F250" s="23"/>
      <c r="G250" s="11"/>
      <c r="H250" s="32"/>
      <c r="I250" s="23"/>
      <c r="J250" s="15"/>
      <c r="K250" s="37"/>
    </row>
    <row r="251" spans="1:14" x14ac:dyDescent="0.25">
      <c r="A251" s="1087" t="s">
        <v>2</v>
      </c>
      <c r="B251" s="1089" t="s">
        <v>169</v>
      </c>
      <c r="C251" s="1087" t="s">
        <v>4</v>
      </c>
      <c r="D251" s="1090" t="s">
        <v>5</v>
      </c>
      <c r="E251" s="1090"/>
      <c r="F251" s="1090"/>
      <c r="G251" s="1091" t="s">
        <v>6</v>
      </c>
      <c r="H251" s="1091"/>
      <c r="I251" s="1091"/>
      <c r="J251" s="1087" t="s">
        <v>7</v>
      </c>
      <c r="K251" s="108" t="s">
        <v>8</v>
      </c>
    </row>
    <row r="252" spans="1:14" x14ac:dyDescent="0.25">
      <c r="A252" s="1087"/>
      <c r="B252" s="1089"/>
      <c r="C252" s="1087"/>
      <c r="D252" s="108" t="s">
        <v>9</v>
      </c>
      <c r="E252" s="300" t="s">
        <v>10</v>
      </c>
      <c r="F252" s="300" t="s">
        <v>11</v>
      </c>
      <c r="G252" s="301" t="s">
        <v>12</v>
      </c>
      <c r="H252" s="300" t="s">
        <v>13</v>
      </c>
      <c r="I252" s="300" t="s">
        <v>11</v>
      </c>
      <c r="J252" s="1088"/>
      <c r="K252" s="109"/>
    </row>
    <row r="253" spans="1:14" x14ac:dyDescent="0.25">
      <c r="A253" s="1087"/>
      <c r="B253" s="1089"/>
      <c r="C253" s="1087"/>
      <c r="D253" s="112" t="s">
        <v>14</v>
      </c>
      <c r="E253" s="113" t="s">
        <v>14</v>
      </c>
      <c r="F253" s="113" t="s">
        <v>14</v>
      </c>
      <c r="G253" s="114" t="s">
        <v>15</v>
      </c>
      <c r="H253" s="113" t="s">
        <v>14</v>
      </c>
      <c r="I253" s="113" t="s">
        <v>14</v>
      </c>
      <c r="J253" s="112" t="s">
        <v>15</v>
      </c>
      <c r="K253" s="112"/>
    </row>
    <row r="254" spans="1:14" x14ac:dyDescent="0.25">
      <c r="A254" s="79" t="s">
        <v>185</v>
      </c>
      <c r="B254" s="199" t="s">
        <v>146</v>
      </c>
      <c r="C254" s="24"/>
      <c r="D254" s="10"/>
      <c r="E254" s="34"/>
      <c r="F254" s="34"/>
      <c r="G254" s="6"/>
      <c r="H254" s="34"/>
      <c r="I254" s="34"/>
      <c r="J254" s="10"/>
      <c r="K254" s="10"/>
    </row>
    <row r="255" spans="1:14" x14ac:dyDescent="0.25">
      <c r="A255" s="125" t="s">
        <v>187</v>
      </c>
      <c r="B255" s="280" t="s">
        <v>150</v>
      </c>
      <c r="C255" s="252">
        <f>SUM(C256:C260)</f>
        <v>1761745176</v>
      </c>
      <c r="D255" s="10"/>
      <c r="E255" s="34"/>
      <c r="F255" s="34"/>
      <c r="G255" s="6"/>
      <c r="H255" s="34"/>
      <c r="I255" s="34"/>
      <c r="J255" s="10"/>
      <c r="K255" s="10"/>
    </row>
    <row r="256" spans="1:14" ht="25.5" x14ac:dyDescent="0.25">
      <c r="A256" s="313" t="s">
        <v>44</v>
      </c>
      <c r="B256" s="707" t="s">
        <v>384</v>
      </c>
      <c r="C256" s="253">
        <v>30210000</v>
      </c>
      <c r="D256" s="134">
        <f>C256/C255*100</f>
        <v>1.7147769388868757</v>
      </c>
      <c r="E256" s="134">
        <f t="shared" ref="E256:E259" si="97">G256/C256*100</f>
        <v>66.666666666666657</v>
      </c>
      <c r="F256" s="134">
        <f t="shared" ref="F256:F259" si="98">(D256*E256)/100</f>
        <v>1.1431846259245837</v>
      </c>
      <c r="G256" s="181">
        <f>20140000</f>
        <v>20140000</v>
      </c>
      <c r="H256" s="134">
        <f t="shared" ref="H256:H259" si="99">G256/C256*100</f>
        <v>66.666666666666657</v>
      </c>
      <c r="I256" s="134">
        <f t="shared" ref="I256:I259" si="100">(D256*H256)/100</f>
        <v>1.1431846259245837</v>
      </c>
      <c r="J256" s="6">
        <f t="shared" ref="J256:J260" si="101">G256-C256</f>
        <v>-10070000</v>
      </c>
      <c r="K256" s="10"/>
    </row>
    <row r="257" spans="1:11" x14ac:dyDescent="0.25">
      <c r="A257" s="313" t="s">
        <v>59</v>
      </c>
      <c r="B257" s="707" t="s">
        <v>197</v>
      </c>
      <c r="C257" s="253">
        <v>690000</v>
      </c>
      <c r="D257" s="134">
        <f>C257/C255*100</f>
        <v>3.9165709627009077E-2</v>
      </c>
      <c r="E257" s="134">
        <f t="shared" si="97"/>
        <v>100</v>
      </c>
      <c r="F257" s="134">
        <f t="shared" si="98"/>
        <v>3.9165709627009077E-2</v>
      </c>
      <c r="G257" s="181">
        <f>690000</f>
        <v>690000</v>
      </c>
      <c r="H257" s="134">
        <f t="shared" si="99"/>
        <v>100</v>
      </c>
      <c r="I257" s="134">
        <f t="shared" si="100"/>
        <v>3.9165709627009077E-2</v>
      </c>
      <c r="J257" s="6">
        <f t="shared" si="101"/>
        <v>0</v>
      </c>
      <c r="K257" s="10"/>
    </row>
    <row r="258" spans="1:11" x14ac:dyDescent="0.25">
      <c r="A258" s="312" t="s">
        <v>157</v>
      </c>
      <c r="B258" s="133" t="s">
        <v>534</v>
      </c>
      <c r="C258" s="256">
        <v>1230000000</v>
      </c>
      <c r="D258" s="134">
        <f>C258/C255*100</f>
        <v>69.817134552494437</v>
      </c>
      <c r="E258" s="134">
        <f t="shared" si="97"/>
        <v>33.014016260162606</v>
      </c>
      <c r="F258" s="134">
        <f t="shared" si="98"/>
        <v>23.049440153540118</v>
      </c>
      <c r="G258" s="181">
        <f>402072400+4000000</f>
        <v>406072400</v>
      </c>
      <c r="H258" s="134">
        <f t="shared" si="99"/>
        <v>33.014016260162606</v>
      </c>
      <c r="I258" s="134">
        <f t="shared" si="100"/>
        <v>23.049440153540118</v>
      </c>
      <c r="J258" s="6">
        <f t="shared" si="101"/>
        <v>-823927600</v>
      </c>
      <c r="K258" s="10"/>
    </row>
    <row r="259" spans="1:11" s="84" customFormat="1" ht="25.5" x14ac:dyDescent="0.2">
      <c r="A259" s="312" t="s">
        <v>152</v>
      </c>
      <c r="B259" s="133" t="s">
        <v>159</v>
      </c>
      <c r="C259" s="256">
        <v>492000000</v>
      </c>
      <c r="D259" s="134">
        <f>C259/C255*100</f>
        <v>27.926853820997778</v>
      </c>
      <c r="E259" s="134">
        <f t="shared" si="97"/>
        <v>66.666666666666657</v>
      </c>
      <c r="F259" s="134">
        <f t="shared" si="98"/>
        <v>18.617902547331848</v>
      </c>
      <c r="G259" s="181">
        <f>328000000</f>
        <v>328000000</v>
      </c>
      <c r="H259" s="134">
        <f t="shared" si="99"/>
        <v>66.666666666666657</v>
      </c>
      <c r="I259" s="134">
        <f t="shared" si="100"/>
        <v>18.617902547331848</v>
      </c>
      <c r="J259" s="6">
        <f t="shared" si="101"/>
        <v>-164000000</v>
      </c>
      <c r="K259" s="38"/>
    </row>
    <row r="260" spans="1:11" s="84" customFormat="1" x14ac:dyDescent="0.2">
      <c r="A260" s="749" t="s">
        <v>234</v>
      </c>
      <c r="B260" s="133" t="s">
        <v>522</v>
      </c>
      <c r="C260" s="256">
        <v>8845176</v>
      </c>
      <c r="D260" s="804"/>
      <c r="E260" s="134"/>
      <c r="F260" s="134"/>
      <c r="G260" s="181">
        <f>8197968</f>
        <v>8197968</v>
      </c>
      <c r="H260" s="134"/>
      <c r="I260" s="134"/>
      <c r="J260" s="6">
        <f t="shared" si="101"/>
        <v>-647208</v>
      </c>
      <c r="K260" s="805"/>
    </row>
    <row r="261" spans="1:11" x14ac:dyDescent="0.25">
      <c r="A261" s="70"/>
      <c r="B261" s="129" t="s">
        <v>95</v>
      </c>
      <c r="C261" s="807">
        <f>SUM(C256:C260)</f>
        <v>1761745176</v>
      </c>
      <c r="D261" s="271">
        <f>SUM(D256:D259)</f>
        <v>99.4979310220061</v>
      </c>
      <c r="E261" s="134"/>
      <c r="F261" s="134"/>
      <c r="G261" s="181">
        <f>SUM(G256:G260)</f>
        <v>763100368</v>
      </c>
      <c r="H261" s="134"/>
      <c r="I261" s="134"/>
      <c r="J261" s="56">
        <v>0</v>
      </c>
      <c r="K261" s="130"/>
    </row>
    <row r="262" spans="1:11" x14ac:dyDescent="0.25">
      <c r="A262" s="53"/>
      <c r="B262" s="5"/>
      <c r="C262" s="189"/>
      <c r="D262" s="29"/>
      <c r="E262" s="30"/>
      <c r="F262" s="23"/>
      <c r="G262" s="11"/>
      <c r="H262" s="32"/>
      <c r="I262" s="23"/>
      <c r="J262" s="15"/>
      <c r="K262" s="37"/>
    </row>
    <row r="263" spans="1:11" x14ac:dyDescent="0.25">
      <c r="A263" s="50"/>
      <c r="B263" s="5"/>
      <c r="C263" s="50"/>
      <c r="D263" s="9"/>
      <c r="E263" s="23"/>
      <c r="F263" s="23"/>
      <c r="G263" s="11"/>
      <c r="H263" s="23"/>
      <c r="I263" s="23"/>
      <c r="J263" s="9"/>
      <c r="K263" s="9"/>
    </row>
    <row r="264" spans="1:11" x14ac:dyDescent="0.25">
      <c r="A264" s="50"/>
      <c r="B264" s="5"/>
      <c r="C264" s="50"/>
      <c r="D264" s="9"/>
      <c r="E264" s="23"/>
      <c r="F264" s="23"/>
      <c r="G264" s="11"/>
      <c r="H264" s="23"/>
      <c r="I264" s="23"/>
      <c r="J264" s="9"/>
      <c r="K264" s="9"/>
    </row>
    <row r="265" spans="1:11" x14ac:dyDescent="0.25">
      <c r="A265" s="1103" t="s">
        <v>2</v>
      </c>
      <c r="B265" s="1116" t="s">
        <v>137</v>
      </c>
      <c r="C265" s="1103" t="s">
        <v>4</v>
      </c>
      <c r="D265" s="1105" t="s">
        <v>5</v>
      </c>
      <c r="E265" s="1106"/>
      <c r="F265" s="1106"/>
      <c r="G265" s="1107" t="s">
        <v>6</v>
      </c>
      <c r="H265" s="1106"/>
      <c r="I265" s="1106"/>
      <c r="J265" s="1108" t="s">
        <v>7</v>
      </c>
      <c r="K265" s="1108" t="s">
        <v>8</v>
      </c>
    </row>
    <row r="266" spans="1:11" x14ac:dyDescent="0.25">
      <c r="A266" s="1103"/>
      <c r="B266" s="1117"/>
      <c r="C266" s="1103"/>
      <c r="D266" s="102" t="s">
        <v>9</v>
      </c>
      <c r="E266" s="103" t="s">
        <v>10</v>
      </c>
      <c r="F266" s="103" t="s">
        <v>11</v>
      </c>
      <c r="G266" s="104" t="s">
        <v>12</v>
      </c>
      <c r="H266" s="103" t="s">
        <v>13</v>
      </c>
      <c r="I266" s="103" t="s">
        <v>11</v>
      </c>
      <c r="J266" s="1109"/>
      <c r="K266" s="1109"/>
    </row>
    <row r="267" spans="1:11" x14ac:dyDescent="0.25">
      <c r="A267" s="1103"/>
      <c r="B267" s="1118"/>
      <c r="C267" s="1103"/>
      <c r="D267" s="105" t="s">
        <v>14</v>
      </c>
      <c r="E267" s="106" t="s">
        <v>14</v>
      </c>
      <c r="F267" s="106" t="s">
        <v>14</v>
      </c>
      <c r="G267" s="107" t="s">
        <v>15</v>
      </c>
      <c r="H267" s="106" t="s">
        <v>14</v>
      </c>
      <c r="I267" s="106" t="s">
        <v>14</v>
      </c>
      <c r="J267" s="105" t="s">
        <v>15</v>
      </c>
      <c r="K267" s="1110"/>
    </row>
    <row r="268" spans="1:11" ht="25.5" x14ac:dyDescent="0.25">
      <c r="A268" s="79" t="s">
        <v>180</v>
      </c>
      <c r="B268" s="696" t="s">
        <v>379</v>
      </c>
      <c r="C268" s="64"/>
      <c r="D268" s="10"/>
      <c r="E268" s="34"/>
      <c r="F268" s="34"/>
      <c r="G268" s="6"/>
      <c r="H268" s="34"/>
      <c r="I268" s="34"/>
      <c r="J268" s="10"/>
      <c r="K268" s="10"/>
    </row>
    <row r="269" spans="1:11" ht="25.5" x14ac:dyDescent="0.25">
      <c r="A269" s="140" t="s">
        <v>181</v>
      </c>
      <c r="B269" s="697" t="s">
        <v>380</v>
      </c>
      <c r="C269" s="86">
        <f>SUM(C270:C282)</f>
        <v>185000000</v>
      </c>
      <c r="D269" s="179"/>
      <c r="E269" s="168"/>
      <c r="F269" s="168"/>
      <c r="G269" s="169"/>
      <c r="H269" s="168"/>
      <c r="I269" s="168"/>
      <c r="J269" s="167"/>
      <c r="K269" s="167"/>
    </row>
    <row r="270" spans="1:11" ht="25.5" x14ac:dyDescent="0.25">
      <c r="A270" s="170" t="s">
        <v>44</v>
      </c>
      <c r="B270" s="707" t="s">
        <v>384</v>
      </c>
      <c r="C270" s="58">
        <v>8580000</v>
      </c>
      <c r="D270" s="180">
        <f>C270/C269*100</f>
        <v>4.6378378378378375</v>
      </c>
      <c r="E270" s="134">
        <f t="shared" ref="E270:E281" si="102">G270/C270*100</f>
        <v>100</v>
      </c>
      <c r="F270" s="134">
        <f t="shared" ref="F270:F281" si="103">(D270*E270)/100</f>
        <v>4.6378378378378375</v>
      </c>
      <c r="G270" s="181">
        <f>8580000</f>
        <v>8580000</v>
      </c>
      <c r="H270" s="134">
        <f t="shared" ref="H270:H281" si="104">G270/C270*100</f>
        <v>100</v>
      </c>
      <c r="I270" s="134">
        <f t="shared" ref="I270:I281" si="105">(D270*H270)/100</f>
        <v>4.6378378378378375</v>
      </c>
      <c r="J270" s="6">
        <f t="shared" ref="J270:J282" si="106">G270-C270</f>
        <v>0</v>
      </c>
      <c r="K270" s="167"/>
    </row>
    <row r="271" spans="1:11" x14ac:dyDescent="0.25">
      <c r="A271" s="170" t="s">
        <v>221</v>
      </c>
      <c r="B271" s="707" t="s">
        <v>530</v>
      </c>
      <c r="C271" s="58">
        <v>1350000</v>
      </c>
      <c r="D271" s="180"/>
      <c r="E271" s="134"/>
      <c r="F271" s="134"/>
      <c r="G271" s="181">
        <f>1350000</f>
        <v>1350000</v>
      </c>
      <c r="H271" s="134"/>
      <c r="I271" s="134"/>
      <c r="J271" s="6">
        <f t="shared" si="106"/>
        <v>0</v>
      </c>
      <c r="K271" s="167"/>
    </row>
    <row r="272" spans="1:11" x14ac:dyDescent="0.25">
      <c r="A272" s="170" t="s">
        <v>59</v>
      </c>
      <c r="B272" s="707" t="s">
        <v>197</v>
      </c>
      <c r="C272" s="58">
        <v>14728000</v>
      </c>
      <c r="D272" s="729">
        <f>C272/C269*100</f>
        <v>7.9610810810810815</v>
      </c>
      <c r="E272" s="134">
        <f t="shared" si="102"/>
        <v>88.267246061922862</v>
      </c>
      <c r="F272" s="134">
        <f t="shared" si="103"/>
        <v>7.0270270270270272</v>
      </c>
      <c r="G272" s="181">
        <f>8000000+5000000</f>
        <v>13000000</v>
      </c>
      <c r="H272" s="134">
        <f t="shared" si="104"/>
        <v>88.267246061922862</v>
      </c>
      <c r="I272" s="134">
        <f t="shared" si="105"/>
        <v>7.0270270270270272</v>
      </c>
      <c r="J272" s="6">
        <f t="shared" si="106"/>
        <v>-1728000</v>
      </c>
      <c r="K272" s="167"/>
    </row>
    <row r="273" spans="1:14" x14ac:dyDescent="0.25">
      <c r="A273" s="170" t="s">
        <v>62</v>
      </c>
      <c r="B273" s="707" t="s">
        <v>334</v>
      </c>
      <c r="C273" s="58">
        <v>8500000</v>
      </c>
      <c r="D273" s="729">
        <f>C273/C269*100</f>
        <v>4.5945945945945947</v>
      </c>
      <c r="E273" s="134">
        <f t="shared" si="102"/>
        <v>94.117647058823522</v>
      </c>
      <c r="F273" s="134">
        <f t="shared" si="103"/>
        <v>4.3243243243243237</v>
      </c>
      <c r="G273" s="181">
        <f>5000000+3000000</f>
        <v>8000000</v>
      </c>
      <c r="H273" s="134">
        <f t="shared" si="104"/>
        <v>94.117647058823522</v>
      </c>
      <c r="I273" s="134">
        <f t="shared" si="105"/>
        <v>4.3243243243243237</v>
      </c>
      <c r="J273" s="6">
        <f t="shared" si="106"/>
        <v>-500000</v>
      </c>
      <c r="K273" s="167"/>
    </row>
    <row r="274" spans="1:14" x14ac:dyDescent="0.25">
      <c r="A274" s="49" t="s">
        <v>148</v>
      </c>
      <c r="B274" s="133" t="s">
        <v>534</v>
      </c>
      <c r="C274" s="58">
        <v>10500000</v>
      </c>
      <c r="D274" s="729"/>
      <c r="E274" s="134"/>
      <c r="F274" s="134"/>
      <c r="G274" s="181">
        <f>10500000</f>
        <v>10500000</v>
      </c>
      <c r="H274" s="134"/>
      <c r="I274" s="134"/>
      <c r="J274" s="6">
        <f t="shared" si="106"/>
        <v>0</v>
      </c>
      <c r="K274" s="167"/>
    </row>
    <row r="275" spans="1:14" x14ac:dyDescent="0.25">
      <c r="A275" s="170" t="s">
        <v>77</v>
      </c>
      <c r="B275" s="49" t="s">
        <v>135</v>
      </c>
      <c r="C275" s="58">
        <v>72860000</v>
      </c>
      <c r="D275" s="729">
        <f>C275/C269*100</f>
        <v>39.383783783783784</v>
      </c>
      <c r="E275" s="134">
        <f t="shared" si="102"/>
        <v>57.318144386494652</v>
      </c>
      <c r="F275" s="134">
        <f t="shared" si="103"/>
        <v>22.574054054054056</v>
      </c>
      <c r="G275" s="181">
        <f>41762000</f>
        <v>41762000</v>
      </c>
      <c r="H275" s="134">
        <f t="shared" si="104"/>
        <v>57.318144386494652</v>
      </c>
      <c r="I275" s="134">
        <f t="shared" si="105"/>
        <v>22.574054054054056</v>
      </c>
      <c r="J275" s="6">
        <f t="shared" si="106"/>
        <v>-31098000</v>
      </c>
      <c r="K275" s="167"/>
    </row>
    <row r="276" spans="1:14" x14ac:dyDescent="0.25">
      <c r="A276" s="170" t="s">
        <v>104</v>
      </c>
      <c r="B276" s="170" t="s">
        <v>179</v>
      </c>
      <c r="C276" s="58">
        <v>34200000</v>
      </c>
      <c r="D276" s="729">
        <f>C276/C269*100</f>
        <v>18.486486486486488</v>
      </c>
      <c r="E276" s="134">
        <f t="shared" si="102"/>
        <v>100</v>
      </c>
      <c r="F276" s="134">
        <f t="shared" si="103"/>
        <v>18.486486486486488</v>
      </c>
      <c r="G276" s="181">
        <f>34200000</f>
        <v>34200000</v>
      </c>
      <c r="H276" s="134">
        <f t="shared" si="104"/>
        <v>100</v>
      </c>
      <c r="I276" s="134">
        <f t="shared" si="105"/>
        <v>18.486486486486488</v>
      </c>
      <c r="J276" s="6">
        <f t="shared" si="106"/>
        <v>0</v>
      </c>
      <c r="K276" s="167"/>
    </row>
    <row r="277" spans="1:14" x14ac:dyDescent="0.25">
      <c r="A277" s="170" t="s">
        <v>130</v>
      </c>
      <c r="B277" s="170" t="s">
        <v>131</v>
      </c>
      <c r="C277" s="58">
        <v>3000000</v>
      </c>
      <c r="D277" s="729">
        <f>C277/C269*100</f>
        <v>1.6216216216216217</v>
      </c>
      <c r="E277" s="134">
        <f t="shared" si="102"/>
        <v>0</v>
      </c>
      <c r="F277" s="134">
        <f t="shared" si="103"/>
        <v>0</v>
      </c>
      <c r="G277" s="181">
        <v>0</v>
      </c>
      <c r="H277" s="134">
        <f t="shared" si="104"/>
        <v>0</v>
      </c>
      <c r="I277" s="134">
        <f t="shared" si="105"/>
        <v>0</v>
      </c>
      <c r="J277" s="6">
        <f t="shared" si="106"/>
        <v>-3000000</v>
      </c>
      <c r="K277" s="167"/>
    </row>
    <row r="278" spans="1:14" ht="25.5" x14ac:dyDescent="0.25">
      <c r="A278" s="170" t="s">
        <v>106</v>
      </c>
      <c r="B278" s="316" t="s">
        <v>375</v>
      </c>
      <c r="C278" s="58">
        <v>13950000</v>
      </c>
      <c r="D278" s="180">
        <f>C278/C269*100</f>
        <v>7.5405405405405395</v>
      </c>
      <c r="E278" s="134">
        <f t="shared" si="102"/>
        <v>82.795698924731184</v>
      </c>
      <c r="F278" s="134">
        <f t="shared" si="103"/>
        <v>6.243243243243243</v>
      </c>
      <c r="G278" s="181">
        <f>11550000</f>
        <v>11550000</v>
      </c>
      <c r="H278" s="134">
        <f t="shared" si="104"/>
        <v>82.795698924731184</v>
      </c>
      <c r="I278" s="134">
        <f t="shared" si="105"/>
        <v>6.243243243243243</v>
      </c>
      <c r="J278" s="6">
        <f t="shared" si="106"/>
        <v>-2400000</v>
      </c>
      <c r="K278" s="167"/>
    </row>
    <row r="279" spans="1:14" x14ac:dyDescent="0.25">
      <c r="A279" s="170" t="s">
        <v>162</v>
      </c>
      <c r="B279" s="170" t="s">
        <v>535</v>
      </c>
      <c r="C279" s="178">
        <v>2800000</v>
      </c>
      <c r="D279" s="729">
        <f>C279/C269*100</f>
        <v>1.5135135135135136</v>
      </c>
      <c r="E279" s="134">
        <f t="shared" si="102"/>
        <v>100</v>
      </c>
      <c r="F279" s="134">
        <f t="shared" si="103"/>
        <v>1.5135135135135136</v>
      </c>
      <c r="G279" s="181">
        <f>2800000</f>
        <v>2800000</v>
      </c>
      <c r="H279" s="134">
        <f t="shared" si="104"/>
        <v>100</v>
      </c>
      <c r="I279" s="134">
        <f t="shared" si="105"/>
        <v>1.5135135135135136</v>
      </c>
      <c r="J279" s="6">
        <f t="shared" si="106"/>
        <v>0</v>
      </c>
      <c r="K279" s="167"/>
    </row>
    <row r="280" spans="1:14" ht="25.5" x14ac:dyDescent="0.25">
      <c r="A280" s="170" t="s">
        <v>116</v>
      </c>
      <c r="B280" s="750" t="s">
        <v>420</v>
      </c>
      <c r="C280" s="178">
        <v>1057000</v>
      </c>
      <c r="D280" s="729">
        <f>C280/C270*100</f>
        <v>12.319347319347319</v>
      </c>
      <c r="E280" s="134"/>
      <c r="F280" s="134"/>
      <c r="G280" s="181">
        <f>1057000</f>
        <v>1057000</v>
      </c>
      <c r="H280" s="134"/>
      <c r="I280" s="134"/>
      <c r="J280" s="6">
        <f t="shared" si="106"/>
        <v>0</v>
      </c>
      <c r="K280" s="167"/>
    </row>
    <row r="281" spans="1:14" x14ac:dyDescent="0.25">
      <c r="A281" s="170" t="s">
        <v>65</v>
      </c>
      <c r="B281" s="170" t="s">
        <v>190</v>
      </c>
      <c r="C281" s="178">
        <v>7000000</v>
      </c>
      <c r="D281" s="729">
        <f>C281/C269*100</f>
        <v>3.7837837837837842</v>
      </c>
      <c r="E281" s="134">
        <f t="shared" si="102"/>
        <v>99.033714285714282</v>
      </c>
      <c r="F281" s="134">
        <f t="shared" si="103"/>
        <v>3.7472216216216219</v>
      </c>
      <c r="G281" s="181">
        <f>6932360</f>
        <v>6932360</v>
      </c>
      <c r="H281" s="134">
        <f t="shared" si="104"/>
        <v>99.033714285714282</v>
      </c>
      <c r="I281" s="134">
        <f t="shared" si="105"/>
        <v>3.7472216216216219</v>
      </c>
      <c r="J281" s="6">
        <f t="shared" si="106"/>
        <v>-67640</v>
      </c>
      <c r="K281" s="167"/>
    </row>
    <row r="282" spans="1:14" x14ac:dyDescent="0.25">
      <c r="A282" s="68" t="s">
        <v>301</v>
      </c>
      <c r="B282" s="170" t="s">
        <v>409</v>
      </c>
      <c r="C282" s="58">
        <v>6475000</v>
      </c>
      <c r="D282" s="269"/>
      <c r="E282" s="134"/>
      <c r="F282" s="134"/>
      <c r="G282" s="181">
        <f>6475000</f>
        <v>6475000</v>
      </c>
      <c r="H282" s="134"/>
      <c r="I282" s="134"/>
      <c r="J282" s="6">
        <f t="shared" si="106"/>
        <v>0</v>
      </c>
      <c r="K282" s="167"/>
    </row>
    <row r="283" spans="1:14" x14ac:dyDescent="0.25">
      <c r="A283" s="68"/>
      <c r="B283" s="67" t="s">
        <v>128</v>
      </c>
      <c r="C283" s="60">
        <f>SUM(C270:C282)</f>
        <v>185000000</v>
      </c>
      <c r="D283" s="270">
        <f>SUM(D270:D281)</f>
        <v>101.84259056259057</v>
      </c>
      <c r="E283" s="134"/>
      <c r="F283" s="134"/>
      <c r="G283" s="837">
        <f>SUM(G270:G282)</f>
        <v>146206360</v>
      </c>
      <c r="H283" s="134"/>
      <c r="I283" s="134"/>
      <c r="J283" s="56">
        <v>0</v>
      </c>
      <c r="K283" s="3"/>
    </row>
    <row r="284" spans="1:14" x14ac:dyDescent="0.25">
      <c r="A284" s="190"/>
      <c r="B284" s="2"/>
      <c r="C284" s="59"/>
      <c r="D284" s="41"/>
      <c r="E284" s="31"/>
      <c r="F284" s="31"/>
      <c r="G284" s="36"/>
      <c r="H284" s="31"/>
      <c r="I284" s="31"/>
      <c r="J284" s="33"/>
      <c r="K284" s="37"/>
    </row>
    <row r="285" spans="1:14" ht="31.5" x14ac:dyDescent="0.25">
      <c r="A285" s="55"/>
      <c r="B285" s="46" t="s">
        <v>145</v>
      </c>
      <c r="C285" s="155"/>
      <c r="D285" s="44"/>
      <c r="E285" s="45"/>
      <c r="F285" s="45"/>
      <c r="G285" s="48"/>
      <c r="H285" s="45"/>
      <c r="I285" s="45"/>
      <c r="J285" s="44"/>
      <c r="K285" s="44"/>
      <c r="L285" s="1"/>
      <c r="M285" s="1"/>
      <c r="N285" s="1"/>
    </row>
    <row r="286" spans="1:14" x14ac:dyDescent="0.25">
      <c r="A286" s="1111" t="s">
        <v>2</v>
      </c>
      <c r="B286" s="1104" t="s">
        <v>170</v>
      </c>
      <c r="C286" s="1111" t="s">
        <v>4</v>
      </c>
      <c r="D286" s="1112" t="s">
        <v>5</v>
      </c>
      <c r="E286" s="1113"/>
      <c r="F286" s="1113"/>
      <c r="G286" s="1114" t="s">
        <v>6</v>
      </c>
      <c r="H286" s="1113"/>
      <c r="I286" s="1113"/>
      <c r="J286" s="1111" t="s">
        <v>7</v>
      </c>
      <c r="K286" s="285" t="s">
        <v>8</v>
      </c>
    </row>
    <row r="287" spans="1:14" x14ac:dyDescent="0.25">
      <c r="A287" s="1111"/>
      <c r="B287" s="1104"/>
      <c r="C287" s="1111"/>
      <c r="D287" s="285" t="s">
        <v>9</v>
      </c>
      <c r="E287" s="304" t="s">
        <v>10</v>
      </c>
      <c r="F287" s="304" t="s">
        <v>11</v>
      </c>
      <c r="G287" s="305" t="s">
        <v>12</v>
      </c>
      <c r="H287" s="304" t="s">
        <v>13</v>
      </c>
      <c r="I287" s="304" t="s">
        <v>11</v>
      </c>
      <c r="J287" s="1115"/>
      <c r="K287" s="287"/>
    </row>
    <row r="288" spans="1:14" x14ac:dyDescent="0.25">
      <c r="A288" s="1111"/>
      <c r="B288" s="1104"/>
      <c r="C288" s="1111"/>
      <c r="D288" s="286" t="s">
        <v>14</v>
      </c>
      <c r="E288" s="302" t="s">
        <v>14</v>
      </c>
      <c r="F288" s="302" t="s">
        <v>14</v>
      </c>
      <c r="G288" s="303" t="s">
        <v>15</v>
      </c>
      <c r="H288" s="302" t="s">
        <v>14</v>
      </c>
      <c r="I288" s="302" t="s">
        <v>14</v>
      </c>
      <c r="J288" s="286" t="s">
        <v>15</v>
      </c>
      <c r="K288" s="286"/>
    </row>
    <row r="289" spans="1:11" x14ac:dyDescent="0.25">
      <c r="A289" s="144" t="s">
        <v>185</v>
      </c>
      <c r="B289" s="199" t="s">
        <v>146</v>
      </c>
      <c r="C289" s="145"/>
      <c r="D289" s="146"/>
      <c r="E289" s="147"/>
      <c r="F289" s="147"/>
      <c r="G289" s="148"/>
      <c r="H289" s="147"/>
      <c r="I289" s="147"/>
      <c r="J289" s="146"/>
      <c r="K289" s="146"/>
    </row>
    <row r="290" spans="1:11" x14ac:dyDescent="0.25">
      <c r="A290" s="318" t="s">
        <v>184</v>
      </c>
      <c r="B290" s="280" t="s">
        <v>147</v>
      </c>
      <c r="C290" s="257">
        <f>SUM(C291:C292)</f>
        <v>2480900000</v>
      </c>
      <c r="D290" s="146"/>
      <c r="E290" s="147"/>
      <c r="F290" s="147"/>
      <c r="G290" s="148"/>
      <c r="H290" s="147"/>
      <c r="I290" s="147"/>
      <c r="J290" s="146"/>
      <c r="K290" s="146"/>
    </row>
    <row r="291" spans="1:11" ht="25.5" x14ac:dyDescent="0.25">
      <c r="A291" s="319" t="s">
        <v>44</v>
      </c>
      <c r="B291" s="707" t="s">
        <v>384</v>
      </c>
      <c r="C291" s="149">
        <v>30900000</v>
      </c>
      <c r="D291" s="267">
        <f>C291/C290*100</f>
        <v>1.2455157402555526</v>
      </c>
      <c r="E291" s="134">
        <f t="shared" ref="E291:E292" si="107">G291/C291*100</f>
        <v>41.666666666666671</v>
      </c>
      <c r="F291" s="134">
        <f t="shared" ref="F291:F292" si="108">(D291*E291)/100</f>
        <v>0.51896489177314697</v>
      </c>
      <c r="G291" s="181">
        <f>12875000</f>
        <v>12875000</v>
      </c>
      <c r="H291" s="134">
        <f t="shared" ref="H291:H292" si="109">G291/C291*100</f>
        <v>41.666666666666671</v>
      </c>
      <c r="I291" s="134">
        <f t="shared" ref="I291:I292" si="110">(D291*H291)/100</f>
        <v>0.51896489177314697</v>
      </c>
      <c r="J291" s="6">
        <f t="shared" ref="J291:J292" si="111">G291-C291</f>
        <v>-18025000</v>
      </c>
      <c r="K291" s="146"/>
    </row>
    <row r="292" spans="1:11" x14ac:dyDescent="0.25">
      <c r="A292" s="49" t="s">
        <v>148</v>
      </c>
      <c r="B292" s="133" t="s">
        <v>534</v>
      </c>
      <c r="C292" s="149">
        <v>2450000000</v>
      </c>
      <c r="D292" s="267">
        <f>C292/C290*100</f>
        <v>98.754484259744444</v>
      </c>
      <c r="E292" s="134">
        <f t="shared" si="107"/>
        <v>94.693877551020407</v>
      </c>
      <c r="F292" s="134">
        <f t="shared" si="108"/>
        <v>93.514450401064138</v>
      </c>
      <c r="G292" s="181">
        <f>695250000+1624750000</f>
        <v>2320000000</v>
      </c>
      <c r="H292" s="134">
        <f t="shared" si="109"/>
        <v>94.693877551020407</v>
      </c>
      <c r="I292" s="134">
        <f t="shared" si="110"/>
        <v>93.514450401064138</v>
      </c>
      <c r="J292" s="6">
        <f t="shared" si="111"/>
        <v>-130000000</v>
      </c>
      <c r="K292" s="146"/>
    </row>
    <row r="293" spans="1:11" x14ac:dyDescent="0.25">
      <c r="A293" s="71"/>
      <c r="B293" s="76" t="s">
        <v>95</v>
      </c>
      <c r="C293" s="809">
        <f>SUM(C291:C292)</f>
        <v>2480900000</v>
      </c>
      <c r="D293" s="141">
        <f>SUM(D291:D292)</f>
        <v>100</v>
      </c>
      <c r="E293" s="134"/>
      <c r="F293" s="134"/>
      <c r="G293" s="181">
        <f>SUM(G291:G292)</f>
        <v>2332875000</v>
      </c>
      <c r="H293" s="134"/>
      <c r="I293" s="134"/>
      <c r="J293" s="56">
        <v>0</v>
      </c>
      <c r="K293" s="143"/>
    </row>
    <row r="294" spans="1:11" x14ac:dyDescent="0.25">
      <c r="A294" s="190"/>
      <c r="B294" s="2"/>
      <c r="C294" s="59"/>
      <c r="D294" s="41"/>
      <c r="E294" s="31"/>
      <c r="F294" s="31"/>
      <c r="G294" s="36"/>
      <c r="H294" s="31"/>
      <c r="I294" s="31"/>
      <c r="J294" s="33"/>
      <c r="K294" s="37"/>
    </row>
    <row r="295" spans="1:11" x14ac:dyDescent="0.25">
      <c r="A295" s="1103" t="s">
        <v>2</v>
      </c>
      <c r="B295" s="1104" t="s">
        <v>170</v>
      </c>
      <c r="C295" s="1103" t="s">
        <v>4</v>
      </c>
      <c r="D295" s="1105" t="s">
        <v>5</v>
      </c>
      <c r="E295" s="1106"/>
      <c r="F295" s="1106"/>
      <c r="G295" s="1107" t="s">
        <v>6</v>
      </c>
      <c r="H295" s="1106"/>
      <c r="I295" s="1106"/>
      <c r="J295" s="1103" t="s">
        <v>7</v>
      </c>
      <c r="K295" s="288" t="s">
        <v>8</v>
      </c>
    </row>
    <row r="296" spans="1:11" x14ac:dyDescent="0.25">
      <c r="A296" s="1103"/>
      <c r="B296" s="1104"/>
      <c r="C296" s="1103"/>
      <c r="D296" s="288" t="s">
        <v>9</v>
      </c>
      <c r="E296" s="306" t="s">
        <v>10</v>
      </c>
      <c r="F296" s="306" t="s">
        <v>11</v>
      </c>
      <c r="G296" s="307" t="s">
        <v>12</v>
      </c>
      <c r="H296" s="306" t="s">
        <v>13</v>
      </c>
      <c r="I296" s="306" t="s">
        <v>11</v>
      </c>
      <c r="J296" s="1108"/>
      <c r="K296" s="102"/>
    </row>
    <row r="297" spans="1:11" x14ac:dyDescent="0.25">
      <c r="A297" s="1103"/>
      <c r="B297" s="1104"/>
      <c r="C297" s="1103"/>
      <c r="D297" s="105" t="s">
        <v>14</v>
      </c>
      <c r="E297" s="106" t="s">
        <v>14</v>
      </c>
      <c r="F297" s="106" t="s">
        <v>14</v>
      </c>
      <c r="G297" s="107" t="s">
        <v>15</v>
      </c>
      <c r="H297" s="106" t="s">
        <v>14</v>
      </c>
      <c r="I297" s="106" t="s">
        <v>14</v>
      </c>
      <c r="J297" s="105" t="s">
        <v>15</v>
      </c>
      <c r="K297" s="105"/>
    </row>
    <row r="298" spans="1:11" x14ac:dyDescent="0.25">
      <c r="A298" s="79" t="s">
        <v>185</v>
      </c>
      <c r="B298" s="199" t="s">
        <v>146</v>
      </c>
      <c r="C298" s="24"/>
      <c r="D298" s="10"/>
      <c r="E298" s="34"/>
      <c r="F298" s="34"/>
      <c r="G298" s="6"/>
      <c r="H298" s="34"/>
      <c r="I298" s="34"/>
      <c r="J298" s="10"/>
      <c r="K298" s="10"/>
    </row>
    <row r="299" spans="1:11" x14ac:dyDescent="0.25">
      <c r="A299" s="125" t="s">
        <v>187</v>
      </c>
      <c r="B299" s="280" t="s">
        <v>150</v>
      </c>
      <c r="C299" s="131">
        <f>SUM(C300:C303)</f>
        <v>1508450760</v>
      </c>
      <c r="D299" s="10"/>
      <c r="E299" s="34"/>
      <c r="F299" s="34"/>
      <c r="G299" s="6"/>
      <c r="H299" s="34"/>
      <c r="I299" s="34"/>
      <c r="J299" s="10"/>
      <c r="K299" s="10"/>
    </row>
    <row r="300" spans="1:11" ht="25.5" x14ac:dyDescent="0.25">
      <c r="A300" s="124" t="s">
        <v>44</v>
      </c>
      <c r="B300" s="707" t="s">
        <v>384</v>
      </c>
      <c r="C300" s="253">
        <v>30900000</v>
      </c>
      <c r="D300" s="134">
        <f>C300/C299*100</f>
        <v>2.0484593080121489</v>
      </c>
      <c r="E300" s="134">
        <f t="shared" ref="E300:E302" si="112">G300/C300*100</f>
        <v>41.666666666666671</v>
      </c>
      <c r="F300" s="134">
        <f t="shared" ref="F300:F302" si="113">(D300*E300)/100</f>
        <v>0.85352471167172883</v>
      </c>
      <c r="G300" s="181">
        <f>12875000</f>
        <v>12875000</v>
      </c>
      <c r="H300" s="134">
        <f t="shared" ref="H300:H302" si="114">G300/C300*100</f>
        <v>41.666666666666671</v>
      </c>
      <c r="I300" s="134">
        <f t="shared" ref="I300:I302" si="115">(D300*H300)/100</f>
        <v>0.85352471167172883</v>
      </c>
      <c r="J300" s="6">
        <f t="shared" ref="J300:J303" si="116">G300-C300</f>
        <v>-18025000</v>
      </c>
      <c r="K300" s="10"/>
    </row>
    <row r="301" spans="1:11" x14ac:dyDescent="0.25">
      <c r="A301" s="49" t="s">
        <v>148</v>
      </c>
      <c r="B301" s="133" t="s">
        <v>534</v>
      </c>
      <c r="C301" s="256">
        <v>1050000000</v>
      </c>
      <c r="D301" s="134">
        <f>C301/C299*100</f>
        <v>69.607840563519616</v>
      </c>
      <c r="E301" s="134">
        <f t="shared" si="112"/>
        <v>96.481504761904759</v>
      </c>
      <c r="F301" s="134">
        <f t="shared" si="113"/>
        <v>67.158692007951245</v>
      </c>
      <c r="G301" s="181">
        <f>975805800+37250000</f>
        <v>1013055800</v>
      </c>
      <c r="H301" s="134">
        <f t="shared" si="114"/>
        <v>96.481504761904759</v>
      </c>
      <c r="I301" s="134">
        <f t="shared" si="115"/>
        <v>67.158692007951245</v>
      </c>
      <c r="J301" s="6">
        <f t="shared" si="116"/>
        <v>-36944200</v>
      </c>
      <c r="K301" s="10"/>
    </row>
    <row r="302" spans="1:11" s="84" customFormat="1" ht="25.5" x14ac:dyDescent="0.2">
      <c r="A302" s="49" t="s">
        <v>152</v>
      </c>
      <c r="B302" s="133" t="s">
        <v>153</v>
      </c>
      <c r="C302" s="256">
        <v>420000000</v>
      </c>
      <c r="D302" s="134">
        <f>C302/C299*100</f>
        <v>27.84313622540785</v>
      </c>
      <c r="E302" s="134">
        <f t="shared" si="112"/>
        <v>58.333333333333336</v>
      </c>
      <c r="F302" s="134">
        <f t="shared" si="113"/>
        <v>16.241829464821247</v>
      </c>
      <c r="G302" s="181">
        <f>245000000</f>
        <v>245000000</v>
      </c>
      <c r="H302" s="134">
        <f t="shared" si="114"/>
        <v>58.333333333333336</v>
      </c>
      <c r="I302" s="134">
        <f t="shared" si="115"/>
        <v>16.241829464821247</v>
      </c>
      <c r="J302" s="6">
        <f t="shared" si="116"/>
        <v>-175000000</v>
      </c>
      <c r="K302" s="38"/>
    </row>
    <row r="303" spans="1:11" s="84" customFormat="1" x14ac:dyDescent="0.2">
      <c r="A303" s="749" t="s">
        <v>234</v>
      </c>
      <c r="B303" s="133" t="s">
        <v>522</v>
      </c>
      <c r="C303" s="256">
        <v>7550760</v>
      </c>
      <c r="D303" s="804"/>
      <c r="E303" s="134"/>
      <c r="F303" s="134"/>
      <c r="G303" s="181">
        <f>7550760</f>
        <v>7550760</v>
      </c>
      <c r="H303" s="134"/>
      <c r="I303" s="134"/>
      <c r="J303" s="6">
        <f t="shared" si="116"/>
        <v>0</v>
      </c>
      <c r="K303" s="805"/>
    </row>
    <row r="304" spans="1:11" x14ac:dyDescent="0.25">
      <c r="A304" s="70"/>
      <c r="B304" s="129" t="s">
        <v>95</v>
      </c>
      <c r="C304" s="807">
        <f>SUM(C300:C303)</f>
        <v>1508450760</v>
      </c>
      <c r="D304" s="271">
        <f>SUM(D300:D302)</f>
        <v>99.499436096939618</v>
      </c>
      <c r="E304" s="134"/>
      <c r="F304" s="134"/>
      <c r="G304" s="181">
        <f>SUM(G300:G303)</f>
        <v>1278481560</v>
      </c>
      <c r="H304" s="134"/>
      <c r="I304" s="134"/>
      <c r="J304" s="56">
        <v>0</v>
      </c>
      <c r="K304" s="130"/>
    </row>
    <row r="305" spans="1:15" x14ac:dyDescent="0.25">
      <c r="A305" s="190"/>
      <c r="B305" s="2"/>
      <c r="C305" s="59"/>
      <c r="D305" s="41"/>
      <c r="E305" s="31"/>
      <c r="F305" s="31"/>
      <c r="G305" s="36"/>
      <c r="H305" s="31"/>
      <c r="I305" s="31"/>
      <c r="J305" s="33"/>
      <c r="K305" s="37"/>
    </row>
    <row r="306" spans="1:15" x14ac:dyDescent="0.25">
      <c r="A306" s="50"/>
      <c r="B306" s="5"/>
      <c r="C306" s="50"/>
      <c r="D306" s="9"/>
      <c r="E306" s="23"/>
      <c r="F306" s="23"/>
      <c r="G306" s="11"/>
      <c r="H306" s="23"/>
      <c r="I306" s="23"/>
      <c r="J306" s="9"/>
      <c r="K306" s="9"/>
    </row>
    <row r="307" spans="1:15" x14ac:dyDescent="0.25">
      <c r="A307" s="1123" t="s">
        <v>2</v>
      </c>
      <c r="B307" s="1126" t="s">
        <v>138</v>
      </c>
      <c r="C307" s="1129" t="s">
        <v>4</v>
      </c>
      <c r="D307" s="1121" t="s">
        <v>5</v>
      </c>
      <c r="E307" s="1132"/>
      <c r="F307" s="1132"/>
      <c r="G307" s="1122" t="s">
        <v>6</v>
      </c>
      <c r="H307" s="1132"/>
      <c r="I307" s="1132"/>
      <c r="J307" s="1123" t="s">
        <v>7</v>
      </c>
      <c r="K307" s="1123" t="s">
        <v>8</v>
      </c>
    </row>
    <row r="308" spans="1:15" x14ac:dyDescent="0.25">
      <c r="A308" s="1124"/>
      <c r="B308" s="1127"/>
      <c r="C308" s="1130"/>
      <c r="D308" s="289" t="s">
        <v>9</v>
      </c>
      <c r="E308" s="308" t="s">
        <v>10</v>
      </c>
      <c r="F308" s="308" t="s">
        <v>11</v>
      </c>
      <c r="G308" s="117" t="s">
        <v>12</v>
      </c>
      <c r="H308" s="116" t="s">
        <v>13</v>
      </c>
      <c r="I308" s="116" t="s">
        <v>11</v>
      </c>
      <c r="J308" s="1124"/>
      <c r="K308" s="1124"/>
    </row>
    <row r="309" spans="1:15" x14ac:dyDescent="0.25">
      <c r="A309" s="1125"/>
      <c r="B309" s="1128"/>
      <c r="C309" s="1131"/>
      <c r="D309" s="115" t="s">
        <v>14</v>
      </c>
      <c r="E309" s="119" t="s">
        <v>14</v>
      </c>
      <c r="F309" s="119" t="s">
        <v>14</v>
      </c>
      <c r="G309" s="120" t="s">
        <v>15</v>
      </c>
      <c r="H309" s="119" t="s">
        <v>14</v>
      </c>
      <c r="I309" s="119" t="s">
        <v>14</v>
      </c>
      <c r="J309" s="118" t="s">
        <v>15</v>
      </c>
      <c r="K309" s="1125"/>
    </row>
    <row r="310" spans="1:15" ht="25.5" x14ac:dyDescent="0.25">
      <c r="A310" s="79" t="s">
        <v>180</v>
      </c>
      <c r="B310" s="696" t="s">
        <v>379</v>
      </c>
      <c r="C310" s="127"/>
      <c r="D310" s="121"/>
      <c r="E310" s="34"/>
      <c r="F310" s="34"/>
      <c r="G310" s="6"/>
      <c r="H310" s="34"/>
      <c r="I310" s="34"/>
      <c r="J310" s="10"/>
      <c r="K310" s="85"/>
    </row>
    <row r="311" spans="1:15" ht="25.5" x14ac:dyDescent="0.25">
      <c r="A311" s="125" t="s">
        <v>181</v>
      </c>
      <c r="B311" s="697" t="s">
        <v>380</v>
      </c>
      <c r="C311" s="88">
        <f>SUM(C312:C329)</f>
        <v>185000000</v>
      </c>
      <c r="D311" s="121"/>
      <c r="E311" s="34"/>
      <c r="F311" s="34"/>
      <c r="G311" s="6"/>
      <c r="H311" s="34"/>
      <c r="I311" s="34"/>
      <c r="J311" s="10"/>
      <c r="K311" s="156"/>
    </row>
    <row r="312" spans="1:15" ht="25.5" x14ac:dyDescent="0.25">
      <c r="A312" s="49" t="s">
        <v>44</v>
      </c>
      <c r="B312" s="707" t="s">
        <v>384</v>
      </c>
      <c r="C312" s="39">
        <v>8730000</v>
      </c>
      <c r="D312" s="727">
        <f>C312/C311*100</f>
        <v>4.7189189189189191</v>
      </c>
      <c r="E312" s="134">
        <f t="shared" ref="E312:E320" si="117">G312/C312*100</f>
        <v>100</v>
      </c>
      <c r="F312" s="134">
        <f t="shared" ref="F312:F320" si="118">(D312*E312)/100</f>
        <v>4.7189189189189191</v>
      </c>
      <c r="G312" s="181">
        <f>8730000</f>
        <v>8730000</v>
      </c>
      <c r="H312" s="134">
        <f t="shared" ref="H312:H320" si="119">G312/C312*100</f>
        <v>100</v>
      </c>
      <c r="I312" s="134">
        <f t="shared" ref="I312:I320" si="120">(D312*H312)/100</f>
        <v>4.7189189189189191</v>
      </c>
      <c r="J312" s="6">
        <f t="shared" ref="J312:J329" si="121">G312-C312</f>
        <v>0</v>
      </c>
      <c r="K312" s="10"/>
      <c r="O312" s="717"/>
    </row>
    <row r="313" spans="1:15" x14ac:dyDescent="0.25">
      <c r="A313" s="49" t="s">
        <v>59</v>
      </c>
      <c r="B313" s="707" t="s">
        <v>197</v>
      </c>
      <c r="C313" s="39">
        <v>13887500</v>
      </c>
      <c r="D313" s="727">
        <f>C313/C311*100</f>
        <v>7.5067567567567561</v>
      </c>
      <c r="E313" s="134">
        <f t="shared" si="117"/>
        <v>86.408640864086408</v>
      </c>
      <c r="F313" s="134">
        <f t="shared" si="118"/>
        <v>6.4864864864864868</v>
      </c>
      <c r="G313" s="181">
        <f>12000000</f>
        <v>12000000</v>
      </c>
      <c r="H313" s="134">
        <f t="shared" si="119"/>
        <v>86.408640864086408</v>
      </c>
      <c r="I313" s="134">
        <f t="shared" si="120"/>
        <v>6.4864864864864868</v>
      </c>
      <c r="J313" s="6">
        <f t="shared" si="121"/>
        <v>-1887500</v>
      </c>
      <c r="K313" s="10"/>
    </row>
    <row r="314" spans="1:15" x14ac:dyDescent="0.25">
      <c r="A314" s="49" t="s">
        <v>62</v>
      </c>
      <c r="B314" s="707" t="s">
        <v>414</v>
      </c>
      <c r="C314" s="39">
        <v>7970500</v>
      </c>
      <c r="D314" s="727"/>
      <c r="E314" s="134"/>
      <c r="F314" s="134"/>
      <c r="G314" s="181">
        <f>1485000</f>
        <v>1485000</v>
      </c>
      <c r="H314" s="134"/>
      <c r="I314" s="134"/>
      <c r="J314" s="6">
        <f t="shared" si="121"/>
        <v>-6485500</v>
      </c>
      <c r="K314" s="10"/>
    </row>
    <row r="315" spans="1:15" x14ac:dyDescent="0.25">
      <c r="A315" s="49" t="s">
        <v>54</v>
      </c>
      <c r="B315" s="707" t="s">
        <v>536</v>
      </c>
      <c r="C315" s="39">
        <v>800000</v>
      </c>
      <c r="D315" s="727"/>
      <c r="E315" s="134"/>
      <c r="F315" s="134"/>
      <c r="G315" s="181">
        <f>800000</f>
        <v>800000</v>
      </c>
      <c r="H315" s="134"/>
      <c r="I315" s="134"/>
      <c r="J315" s="6">
        <f t="shared" si="121"/>
        <v>0</v>
      </c>
      <c r="K315" s="10"/>
    </row>
    <row r="316" spans="1:15" ht="25.5" x14ac:dyDescent="0.25">
      <c r="A316" s="49" t="s">
        <v>193</v>
      </c>
      <c r="B316" s="707" t="s">
        <v>537</v>
      </c>
      <c r="C316" s="39">
        <v>8750000</v>
      </c>
      <c r="D316" s="727"/>
      <c r="E316" s="134"/>
      <c r="F316" s="134"/>
      <c r="G316" s="181">
        <f>8750000</f>
        <v>8750000</v>
      </c>
      <c r="H316" s="134"/>
      <c r="I316" s="134"/>
      <c r="J316" s="6">
        <f t="shared" si="121"/>
        <v>0</v>
      </c>
      <c r="K316" s="10"/>
    </row>
    <row r="317" spans="1:15" x14ac:dyDescent="0.25">
      <c r="A317" s="49" t="s">
        <v>148</v>
      </c>
      <c r="B317" s="133" t="s">
        <v>534</v>
      </c>
      <c r="C317" s="39">
        <v>10000000</v>
      </c>
      <c r="D317" s="727"/>
      <c r="E317" s="134"/>
      <c r="F317" s="134"/>
      <c r="G317" s="181">
        <f>10000000</f>
        <v>10000000</v>
      </c>
      <c r="H317" s="134"/>
      <c r="I317" s="134"/>
      <c r="J317" s="6">
        <f t="shared" si="121"/>
        <v>0</v>
      </c>
      <c r="K317" s="10"/>
    </row>
    <row r="318" spans="1:15" x14ac:dyDescent="0.25">
      <c r="A318" s="49" t="s">
        <v>77</v>
      </c>
      <c r="B318" s="49" t="s">
        <v>139</v>
      </c>
      <c r="C318" s="39">
        <v>82680000</v>
      </c>
      <c r="D318" s="727">
        <f>C318/C311*100</f>
        <v>44.691891891891892</v>
      </c>
      <c r="E318" s="134">
        <f t="shared" si="117"/>
        <v>72.895500725689402</v>
      </c>
      <c r="F318" s="134">
        <f t="shared" si="118"/>
        <v>32.578378378378382</v>
      </c>
      <c r="G318" s="181">
        <f>60270000</f>
        <v>60270000</v>
      </c>
      <c r="H318" s="134">
        <f t="shared" si="119"/>
        <v>72.895500725689402</v>
      </c>
      <c r="I318" s="134">
        <f t="shared" si="120"/>
        <v>32.578378378378382</v>
      </c>
      <c r="J318" s="6">
        <f t="shared" si="121"/>
        <v>-22410000</v>
      </c>
      <c r="K318" s="10"/>
    </row>
    <row r="319" spans="1:15" x14ac:dyDescent="0.25">
      <c r="A319" s="49" t="s">
        <v>104</v>
      </c>
      <c r="B319" s="170" t="s">
        <v>418</v>
      </c>
      <c r="C319" s="39">
        <v>7300000</v>
      </c>
      <c r="D319" s="727">
        <f>C319/C311*100</f>
        <v>3.9459459459459461</v>
      </c>
      <c r="E319" s="134">
        <f t="shared" si="117"/>
        <v>100</v>
      </c>
      <c r="F319" s="134">
        <f t="shared" si="118"/>
        <v>3.9459459459459456</v>
      </c>
      <c r="G319" s="181">
        <f>7300000</f>
        <v>7300000</v>
      </c>
      <c r="H319" s="134">
        <f t="shared" si="119"/>
        <v>100</v>
      </c>
      <c r="I319" s="134">
        <f t="shared" si="120"/>
        <v>3.9459459459459456</v>
      </c>
      <c r="J319" s="6">
        <f t="shared" si="121"/>
        <v>0</v>
      </c>
      <c r="K319" s="10"/>
    </row>
    <row r="320" spans="1:15" ht="25.5" x14ac:dyDescent="0.25">
      <c r="A320" s="49" t="s">
        <v>192</v>
      </c>
      <c r="B320" s="316" t="s">
        <v>375</v>
      </c>
      <c r="C320" s="39">
        <v>13050000</v>
      </c>
      <c r="D320" s="727">
        <f>C320/C311*100</f>
        <v>7.0540540540540544</v>
      </c>
      <c r="E320" s="134">
        <f t="shared" si="117"/>
        <v>55.172413793103445</v>
      </c>
      <c r="F320" s="134">
        <f t="shared" si="118"/>
        <v>3.8918918918918917</v>
      </c>
      <c r="G320" s="181">
        <f>7200000</f>
        <v>7200000</v>
      </c>
      <c r="H320" s="134">
        <f t="shared" si="119"/>
        <v>55.172413793103445</v>
      </c>
      <c r="I320" s="134">
        <f t="shared" si="120"/>
        <v>3.8918918918918917</v>
      </c>
      <c r="J320" s="6">
        <f t="shared" si="121"/>
        <v>-5850000</v>
      </c>
      <c r="K320" s="10"/>
    </row>
    <row r="321" spans="1:14" x14ac:dyDescent="0.25">
      <c r="A321" s="749" t="s">
        <v>162</v>
      </c>
      <c r="B321" s="316" t="s">
        <v>538</v>
      </c>
      <c r="C321" s="751">
        <v>2000000</v>
      </c>
      <c r="D321" s="727"/>
      <c r="E321" s="134"/>
      <c r="F321" s="134"/>
      <c r="G321" s="181">
        <f>2000000</f>
        <v>2000000</v>
      </c>
      <c r="H321" s="134"/>
      <c r="I321" s="134"/>
      <c r="J321" s="6">
        <f t="shared" si="121"/>
        <v>0</v>
      </c>
      <c r="K321" s="130"/>
    </row>
    <row r="322" spans="1:14" x14ac:dyDescent="0.25">
      <c r="A322" s="749" t="s">
        <v>527</v>
      </c>
      <c r="B322" s="316" t="s">
        <v>523</v>
      </c>
      <c r="C322" s="751">
        <v>1150000</v>
      </c>
      <c r="D322" s="727"/>
      <c r="E322" s="134"/>
      <c r="F322" s="134"/>
      <c r="G322" s="181">
        <f>1150000</f>
        <v>1150000</v>
      </c>
      <c r="H322" s="134"/>
      <c r="I322" s="134"/>
      <c r="J322" s="6">
        <f t="shared" si="121"/>
        <v>0</v>
      </c>
      <c r="K322" s="130"/>
    </row>
    <row r="323" spans="1:14" x14ac:dyDescent="0.25">
      <c r="A323" s="749" t="s">
        <v>112</v>
      </c>
      <c r="B323" s="316" t="s">
        <v>525</v>
      </c>
      <c r="C323" s="751">
        <v>800000</v>
      </c>
      <c r="D323" s="727"/>
      <c r="E323" s="134"/>
      <c r="F323" s="134"/>
      <c r="G323" s="181">
        <f>800000</f>
        <v>800000</v>
      </c>
      <c r="H323" s="134"/>
      <c r="I323" s="134"/>
      <c r="J323" s="6">
        <f t="shared" si="121"/>
        <v>0</v>
      </c>
      <c r="K323" s="130"/>
    </row>
    <row r="324" spans="1:14" x14ac:dyDescent="0.25">
      <c r="A324" s="749" t="s">
        <v>521</v>
      </c>
      <c r="B324" s="316" t="s">
        <v>539</v>
      </c>
      <c r="C324" s="751">
        <v>1000000</v>
      </c>
      <c r="D324" s="727"/>
      <c r="E324" s="134"/>
      <c r="F324" s="134"/>
      <c r="G324" s="181">
        <f>1000000</f>
        <v>1000000</v>
      </c>
      <c r="H324" s="134"/>
      <c r="I324" s="134"/>
      <c r="J324" s="6">
        <f t="shared" si="121"/>
        <v>0</v>
      </c>
      <c r="K324" s="130"/>
    </row>
    <row r="325" spans="1:14" ht="25.5" x14ac:dyDescent="0.25">
      <c r="A325" s="749" t="s">
        <v>116</v>
      </c>
      <c r="B325" s="316" t="s">
        <v>420</v>
      </c>
      <c r="C325" s="751">
        <v>1382000</v>
      </c>
      <c r="D325" s="727">
        <f>C325/C312*100</f>
        <v>15.830469644902633</v>
      </c>
      <c r="E325" s="134"/>
      <c r="F325" s="134"/>
      <c r="G325" s="181">
        <f>1382000</f>
        <v>1382000</v>
      </c>
      <c r="H325" s="134"/>
      <c r="I325" s="134"/>
      <c r="J325" s="6">
        <f t="shared" si="121"/>
        <v>0</v>
      </c>
      <c r="K325" s="130"/>
    </row>
    <row r="326" spans="1:14" x14ac:dyDescent="0.25">
      <c r="A326" s="749" t="s">
        <v>65</v>
      </c>
      <c r="B326" s="754" t="s">
        <v>190</v>
      </c>
      <c r="C326" s="751">
        <v>7000000</v>
      </c>
      <c r="D326" s="727" t="e">
        <f>C326/#REF!*100</f>
        <v>#REF!</v>
      </c>
      <c r="E326" s="134"/>
      <c r="F326" s="134"/>
      <c r="G326" s="181">
        <f>6932360</f>
        <v>6932360</v>
      </c>
      <c r="H326" s="134"/>
      <c r="I326" s="134"/>
      <c r="J326" s="6">
        <f t="shared" si="121"/>
        <v>-67640</v>
      </c>
      <c r="K326" s="130"/>
    </row>
    <row r="327" spans="1:14" x14ac:dyDescent="0.25">
      <c r="A327" s="749" t="s">
        <v>541</v>
      </c>
      <c r="B327" s="754" t="s">
        <v>401</v>
      </c>
      <c r="C327" s="751">
        <v>3900000</v>
      </c>
      <c r="D327" s="727" t="e">
        <f>C327/#REF!*100</f>
        <v>#REF!</v>
      </c>
      <c r="E327" s="134"/>
      <c r="F327" s="134"/>
      <c r="G327" s="181">
        <f>3900000</f>
        <v>3900000</v>
      </c>
      <c r="H327" s="134"/>
      <c r="I327" s="134"/>
      <c r="J327" s="6">
        <f t="shared" si="121"/>
        <v>0</v>
      </c>
      <c r="K327" s="130"/>
    </row>
    <row r="328" spans="1:14" x14ac:dyDescent="0.25">
      <c r="A328" s="749" t="s">
        <v>275</v>
      </c>
      <c r="B328" s="754" t="s">
        <v>421</v>
      </c>
      <c r="C328" s="751">
        <v>5000000</v>
      </c>
      <c r="D328" s="727" t="e">
        <f>C328/#REF!*100</f>
        <v>#REF!</v>
      </c>
      <c r="E328" s="134"/>
      <c r="F328" s="134"/>
      <c r="G328" s="181">
        <f>5000000</f>
        <v>5000000</v>
      </c>
      <c r="H328" s="134"/>
      <c r="I328" s="134"/>
      <c r="J328" s="6">
        <f t="shared" si="121"/>
        <v>0</v>
      </c>
      <c r="K328" s="130"/>
    </row>
    <row r="329" spans="1:14" x14ac:dyDescent="0.25">
      <c r="A329" s="749" t="s">
        <v>542</v>
      </c>
      <c r="B329" s="316" t="s">
        <v>540</v>
      </c>
      <c r="C329" s="751">
        <v>9600000</v>
      </c>
      <c r="D329" s="752"/>
      <c r="E329" s="134"/>
      <c r="F329" s="134"/>
      <c r="G329" s="181"/>
      <c r="H329" s="134"/>
      <c r="I329" s="134"/>
      <c r="J329" s="6">
        <f t="shared" si="121"/>
        <v>-9600000</v>
      </c>
      <c r="K329" s="130"/>
    </row>
    <row r="330" spans="1:14" x14ac:dyDescent="0.25">
      <c r="A330" s="70"/>
      <c r="B330" s="164" t="s">
        <v>140</v>
      </c>
      <c r="C330" s="165">
        <f>SUM(C312:C329)</f>
        <v>185000000</v>
      </c>
      <c r="D330" s="166">
        <f>SUM(D312:D320)</f>
        <v>67.917567567567559</v>
      </c>
      <c r="E330" s="134"/>
      <c r="F330" s="134"/>
      <c r="G330" s="837">
        <f>SUM(G312:G329)</f>
        <v>138699360</v>
      </c>
      <c r="H330" s="134"/>
      <c r="I330" s="134"/>
      <c r="J330" s="734"/>
      <c r="K330" s="40"/>
    </row>
    <row r="331" spans="1:14" x14ac:dyDescent="0.25">
      <c r="A331" s="53"/>
      <c r="B331" s="5"/>
      <c r="C331" s="191"/>
      <c r="D331" s="41"/>
      <c r="E331" s="30"/>
      <c r="F331" s="31"/>
      <c r="G331" s="36"/>
      <c r="H331" s="23"/>
      <c r="I331" s="23"/>
      <c r="J331" s="33"/>
      <c r="K331" s="37"/>
    </row>
    <row r="332" spans="1:14" ht="31.5" x14ac:dyDescent="0.25">
      <c r="A332" s="55"/>
      <c r="B332" s="46" t="s">
        <v>145</v>
      </c>
      <c r="C332" s="155"/>
      <c r="D332" s="44"/>
      <c r="E332" s="45"/>
      <c r="F332" s="45"/>
      <c r="G332" s="48"/>
      <c r="H332" s="45"/>
      <c r="I332" s="45"/>
      <c r="J332" s="44"/>
      <c r="K332" s="44"/>
      <c r="L332" s="1"/>
      <c r="M332" s="1"/>
      <c r="N332" s="1"/>
    </row>
    <row r="333" spans="1:14" x14ac:dyDescent="0.25">
      <c r="A333" s="1119" t="s">
        <v>2</v>
      </c>
      <c r="B333" s="1120" t="s">
        <v>177</v>
      </c>
      <c r="C333" s="1119" t="s">
        <v>4</v>
      </c>
      <c r="D333" s="1121" t="s">
        <v>5</v>
      </c>
      <c r="E333" s="1121"/>
      <c r="F333" s="1121"/>
      <c r="G333" s="1122" t="s">
        <v>6</v>
      </c>
      <c r="H333" s="1122"/>
      <c r="I333" s="1122"/>
      <c r="J333" s="1119" t="s">
        <v>7</v>
      </c>
      <c r="K333" s="289" t="s">
        <v>8</v>
      </c>
    </row>
    <row r="334" spans="1:14" x14ac:dyDescent="0.25">
      <c r="A334" s="1119"/>
      <c r="B334" s="1120"/>
      <c r="C334" s="1119"/>
      <c r="D334" s="289" t="s">
        <v>9</v>
      </c>
      <c r="E334" s="308" t="s">
        <v>10</v>
      </c>
      <c r="F334" s="308" t="s">
        <v>11</v>
      </c>
      <c r="G334" s="309" t="s">
        <v>12</v>
      </c>
      <c r="H334" s="308" t="s">
        <v>13</v>
      </c>
      <c r="I334" s="308" t="s">
        <v>11</v>
      </c>
      <c r="J334" s="1123"/>
      <c r="K334" s="115"/>
    </row>
    <row r="335" spans="1:14" x14ac:dyDescent="0.25">
      <c r="A335" s="1119"/>
      <c r="B335" s="1120"/>
      <c r="C335" s="1119"/>
      <c r="D335" s="118" t="s">
        <v>14</v>
      </c>
      <c r="E335" s="119" t="s">
        <v>14</v>
      </c>
      <c r="F335" s="119" t="s">
        <v>14</v>
      </c>
      <c r="G335" s="120" t="s">
        <v>15</v>
      </c>
      <c r="H335" s="119" t="s">
        <v>14</v>
      </c>
      <c r="I335" s="119" t="s">
        <v>14</v>
      </c>
      <c r="J335" s="118" t="s">
        <v>15</v>
      </c>
      <c r="K335" s="118"/>
    </row>
    <row r="336" spans="1:14" x14ac:dyDescent="0.25">
      <c r="A336" s="79" t="s">
        <v>185</v>
      </c>
      <c r="B336" s="199" t="s">
        <v>146</v>
      </c>
      <c r="C336" s="260"/>
      <c r="D336" s="10"/>
      <c r="E336" s="34"/>
      <c r="F336" s="34"/>
      <c r="G336" s="6"/>
      <c r="H336" s="34"/>
      <c r="I336" s="34"/>
      <c r="J336" s="10"/>
      <c r="K336" s="10"/>
    </row>
    <row r="337" spans="1:11" x14ac:dyDescent="0.25">
      <c r="A337" s="125" t="s">
        <v>184</v>
      </c>
      <c r="B337" s="280" t="s">
        <v>147</v>
      </c>
      <c r="C337" s="131">
        <f>SUM(C338:C339)</f>
        <v>3395640000</v>
      </c>
      <c r="D337" s="10"/>
      <c r="E337" s="34"/>
      <c r="F337" s="34"/>
      <c r="G337" s="6"/>
      <c r="H337" s="34"/>
      <c r="I337" s="34"/>
      <c r="J337" s="10"/>
      <c r="K337" s="10"/>
    </row>
    <row r="338" spans="1:11" ht="25.5" x14ac:dyDescent="0.25">
      <c r="A338" s="313" t="s">
        <v>44</v>
      </c>
      <c r="B338" s="707" t="s">
        <v>384</v>
      </c>
      <c r="C338" s="253">
        <v>35640000</v>
      </c>
      <c r="D338" s="134">
        <f>C338/C337*100</f>
        <v>1.0495812276919816</v>
      </c>
      <c r="E338" s="134">
        <f t="shared" ref="E338:E339" si="122">G338/C338*100</f>
        <v>66.666666666666657</v>
      </c>
      <c r="F338" s="134">
        <f t="shared" ref="F338:F339" si="123">(D338*E338)/100</f>
        <v>0.69972081846132095</v>
      </c>
      <c r="G338" s="181">
        <f>23760000</f>
        <v>23760000</v>
      </c>
      <c r="H338" s="134">
        <f t="shared" ref="H338:H339" si="124">G338/C338*100</f>
        <v>66.666666666666657</v>
      </c>
      <c r="I338" s="134">
        <f t="shared" ref="I338:I339" si="125">(D338*H338)/100</f>
        <v>0.69972081846132095</v>
      </c>
      <c r="J338" s="6">
        <f t="shared" ref="J338:J339" si="126">G338-C338</f>
        <v>-11880000</v>
      </c>
      <c r="K338" s="10"/>
    </row>
    <row r="339" spans="1:11" x14ac:dyDescent="0.25">
      <c r="A339" s="49" t="s">
        <v>148</v>
      </c>
      <c r="B339" s="133" t="s">
        <v>534</v>
      </c>
      <c r="C339" s="256">
        <v>3360000000</v>
      </c>
      <c r="D339" s="134">
        <f>C339/C337*100</f>
        <v>98.950418772308012</v>
      </c>
      <c r="E339" s="134">
        <f t="shared" si="122"/>
        <v>100</v>
      </c>
      <c r="F339" s="134">
        <f t="shared" si="123"/>
        <v>98.950418772307998</v>
      </c>
      <c r="G339" s="181">
        <f>2220557000+1139443000</f>
        <v>3360000000</v>
      </c>
      <c r="H339" s="134">
        <f t="shared" si="124"/>
        <v>100</v>
      </c>
      <c r="I339" s="134">
        <f t="shared" si="125"/>
        <v>98.950418772307998</v>
      </c>
      <c r="J339" s="6">
        <f t="shared" si="126"/>
        <v>0</v>
      </c>
      <c r="K339" s="10"/>
    </row>
    <row r="340" spans="1:11" x14ac:dyDescent="0.25">
      <c r="A340" s="70"/>
      <c r="B340" s="129" t="s">
        <v>95</v>
      </c>
      <c r="C340" s="807">
        <f>SUM(C338:C339)</f>
        <v>3395640000</v>
      </c>
      <c r="D340" s="271">
        <f>SUM(D338:D339)</f>
        <v>100</v>
      </c>
      <c r="E340" s="134"/>
      <c r="F340" s="134"/>
      <c r="G340" s="181">
        <f>SUM(G338:G339)</f>
        <v>3383760000</v>
      </c>
      <c r="H340" s="134"/>
      <c r="I340" s="134"/>
      <c r="J340" s="734"/>
      <c r="K340" s="130"/>
    </row>
    <row r="341" spans="1:11" x14ac:dyDescent="0.25">
      <c r="A341" s="230"/>
      <c r="B341" s="231"/>
      <c r="C341" s="232"/>
      <c r="D341" s="23"/>
      <c r="E341" s="23"/>
      <c r="F341" s="23"/>
      <c r="G341" s="11"/>
      <c r="H341" s="23"/>
      <c r="I341" s="23"/>
      <c r="J341" s="9"/>
      <c r="K341" s="9"/>
    </row>
    <row r="342" spans="1:11" x14ac:dyDescent="0.25">
      <c r="A342" s="1119" t="s">
        <v>2</v>
      </c>
      <c r="B342" s="1120" t="s">
        <v>177</v>
      </c>
      <c r="C342" s="1119" t="s">
        <v>4</v>
      </c>
      <c r="D342" s="1121" t="s">
        <v>5</v>
      </c>
      <c r="E342" s="1121"/>
      <c r="F342" s="1121"/>
      <c r="G342" s="1122" t="s">
        <v>6</v>
      </c>
      <c r="H342" s="1122"/>
      <c r="I342" s="1122"/>
      <c r="J342" s="1119" t="s">
        <v>7</v>
      </c>
      <c r="K342" s="289" t="s">
        <v>8</v>
      </c>
    </row>
    <row r="343" spans="1:11" x14ac:dyDescent="0.25">
      <c r="A343" s="1119"/>
      <c r="B343" s="1120"/>
      <c r="C343" s="1119"/>
      <c r="D343" s="289" t="s">
        <v>9</v>
      </c>
      <c r="E343" s="308" t="s">
        <v>10</v>
      </c>
      <c r="F343" s="308" t="s">
        <v>11</v>
      </c>
      <c r="G343" s="309" t="s">
        <v>12</v>
      </c>
      <c r="H343" s="308" t="s">
        <v>13</v>
      </c>
      <c r="I343" s="308" t="s">
        <v>11</v>
      </c>
      <c r="J343" s="1123"/>
      <c r="K343" s="115"/>
    </row>
    <row r="344" spans="1:11" x14ac:dyDescent="0.25">
      <c r="A344" s="1119"/>
      <c r="B344" s="1120"/>
      <c r="C344" s="1119"/>
      <c r="D344" s="118" t="s">
        <v>14</v>
      </c>
      <c r="E344" s="119" t="s">
        <v>14</v>
      </c>
      <c r="F344" s="119" t="s">
        <v>14</v>
      </c>
      <c r="G344" s="120" t="s">
        <v>15</v>
      </c>
      <c r="H344" s="119" t="s">
        <v>14</v>
      </c>
      <c r="I344" s="119" t="s">
        <v>14</v>
      </c>
      <c r="J344" s="118" t="s">
        <v>15</v>
      </c>
      <c r="K344" s="118"/>
    </row>
    <row r="345" spans="1:11" x14ac:dyDescent="0.25">
      <c r="A345" s="139" t="s">
        <v>185</v>
      </c>
      <c r="B345" s="199" t="s">
        <v>146</v>
      </c>
      <c r="C345" s="24"/>
      <c r="D345" s="10"/>
      <c r="E345" s="34"/>
      <c r="F345" s="34"/>
      <c r="G345" s="6"/>
      <c r="H345" s="34"/>
      <c r="I345" s="34"/>
      <c r="J345" s="10"/>
      <c r="K345" s="10"/>
    </row>
    <row r="346" spans="1:11" x14ac:dyDescent="0.25">
      <c r="A346" s="140" t="s">
        <v>187</v>
      </c>
      <c r="B346" s="280" t="s">
        <v>150</v>
      </c>
      <c r="C346" s="252">
        <f>SUM(C347:C351)</f>
        <v>2057255328</v>
      </c>
      <c r="D346" s="10"/>
      <c r="E346" s="34"/>
      <c r="F346" s="34"/>
      <c r="G346" s="6"/>
      <c r="H346" s="34"/>
      <c r="I346" s="34"/>
      <c r="J346" s="10"/>
      <c r="K346" s="10"/>
    </row>
    <row r="347" spans="1:11" ht="25.5" x14ac:dyDescent="0.25">
      <c r="A347" s="159" t="s">
        <v>44</v>
      </c>
      <c r="B347" s="707" t="s">
        <v>384</v>
      </c>
      <c r="C347" s="253">
        <v>30210000</v>
      </c>
      <c r="D347" s="134">
        <f>C347/C346*100</f>
        <v>1.4684613809880966</v>
      </c>
      <c r="E347" s="134">
        <f t="shared" ref="E347:E350" si="127">G347/C347*100</f>
        <v>64.200595829195635</v>
      </c>
      <c r="F347" s="134">
        <f t="shared" ref="F347:F350" si="128">(D347*E347)/100</f>
        <v>0.94276095611599264</v>
      </c>
      <c r="G347" s="181">
        <f>19395000</f>
        <v>19395000</v>
      </c>
      <c r="H347" s="134">
        <f t="shared" ref="H347:H350" si="129">G347/C347*100</f>
        <v>64.200595829195635</v>
      </c>
      <c r="I347" s="134">
        <f t="shared" ref="I347:I350" si="130">(D347*H347)/100</f>
        <v>0.94276095611599264</v>
      </c>
      <c r="J347" s="6">
        <f t="shared" ref="J347:J351" si="131">G347-C347</f>
        <v>-10815000</v>
      </c>
      <c r="K347" s="10"/>
    </row>
    <row r="348" spans="1:11" x14ac:dyDescent="0.25">
      <c r="A348" s="313" t="s">
        <v>59</v>
      </c>
      <c r="B348" s="707" t="s">
        <v>197</v>
      </c>
      <c r="C348" s="253">
        <v>690000</v>
      </c>
      <c r="D348" s="134">
        <f>C348/C346*100</f>
        <v>3.3539832932200815E-2</v>
      </c>
      <c r="E348" s="134">
        <f t="shared" si="127"/>
        <v>100</v>
      </c>
      <c r="F348" s="134">
        <f t="shared" si="128"/>
        <v>3.3539832932200815E-2</v>
      </c>
      <c r="G348" s="181">
        <f>690000</f>
        <v>690000</v>
      </c>
      <c r="H348" s="134">
        <f t="shared" si="129"/>
        <v>100</v>
      </c>
      <c r="I348" s="134">
        <f t="shared" si="130"/>
        <v>3.3539832932200815E-2</v>
      </c>
      <c r="J348" s="6">
        <f t="shared" si="131"/>
        <v>0</v>
      </c>
      <c r="K348" s="10"/>
    </row>
    <row r="349" spans="1:11" x14ac:dyDescent="0.25">
      <c r="A349" s="313" t="s">
        <v>62</v>
      </c>
      <c r="B349" s="133" t="s">
        <v>534</v>
      </c>
      <c r="C349" s="253">
        <v>1440000000</v>
      </c>
      <c r="D349" s="134">
        <f>C349/C346*100</f>
        <v>69.99617307589736</v>
      </c>
      <c r="E349" s="134">
        <f t="shared" si="127"/>
        <v>33.149305555555557</v>
      </c>
      <c r="F349" s="134">
        <f t="shared" si="128"/>
        <v>23.203245290124727</v>
      </c>
      <c r="G349" s="181">
        <f>365350000+112000000</f>
        <v>477350000</v>
      </c>
      <c r="H349" s="134">
        <f t="shared" si="129"/>
        <v>33.149305555555557</v>
      </c>
      <c r="I349" s="134">
        <f t="shared" si="130"/>
        <v>23.203245290124727</v>
      </c>
      <c r="J349" s="6">
        <f t="shared" si="131"/>
        <v>-962650000</v>
      </c>
      <c r="K349" s="10"/>
    </row>
    <row r="350" spans="1:11" s="725" customFormat="1" ht="25.5" x14ac:dyDescent="0.2">
      <c r="A350" s="723" t="s">
        <v>152</v>
      </c>
      <c r="B350" s="133" t="s">
        <v>153</v>
      </c>
      <c r="C350" s="724">
        <v>576000000</v>
      </c>
      <c r="D350" s="728">
        <f>C350/C346*100</f>
        <v>27.998469230358946</v>
      </c>
      <c r="E350" s="728">
        <f t="shared" si="127"/>
        <v>50</v>
      </c>
      <c r="F350" s="728">
        <f t="shared" si="128"/>
        <v>13.999234615179473</v>
      </c>
      <c r="G350" s="181">
        <f>288000000</f>
        <v>288000000</v>
      </c>
      <c r="H350" s="728">
        <f t="shared" si="129"/>
        <v>50</v>
      </c>
      <c r="I350" s="728">
        <f t="shared" si="130"/>
        <v>13.999234615179473</v>
      </c>
      <c r="J350" s="6">
        <f t="shared" si="131"/>
        <v>-288000000</v>
      </c>
      <c r="K350" s="313"/>
    </row>
    <row r="351" spans="1:11" s="725" customFormat="1" x14ac:dyDescent="0.2">
      <c r="A351" s="749" t="s">
        <v>234</v>
      </c>
      <c r="B351" s="133" t="s">
        <v>522</v>
      </c>
      <c r="C351" s="724">
        <v>10355328</v>
      </c>
      <c r="D351" s="820"/>
      <c r="E351" s="728"/>
      <c r="F351" s="728"/>
      <c r="G351" s="181">
        <f>10085658</f>
        <v>10085658</v>
      </c>
      <c r="H351" s="728"/>
      <c r="I351" s="728"/>
      <c r="J351" s="6">
        <f t="shared" si="131"/>
        <v>-269670</v>
      </c>
      <c r="K351" s="821"/>
    </row>
    <row r="352" spans="1:11" x14ac:dyDescent="0.25">
      <c r="A352" s="70"/>
      <c r="B352" s="129" t="s">
        <v>95</v>
      </c>
      <c r="C352" s="807">
        <f>SUM(C347:C351)</f>
        <v>2057255328</v>
      </c>
      <c r="D352" s="271">
        <f>SUM(D347:D350)</f>
        <v>99.496643520176605</v>
      </c>
      <c r="E352" s="134"/>
      <c r="F352" s="134"/>
      <c r="G352" s="181">
        <f>SUM(G347:G351)</f>
        <v>795520658</v>
      </c>
      <c r="H352" s="134"/>
      <c r="I352" s="134"/>
      <c r="J352" s="734"/>
      <c r="K352" s="130"/>
    </row>
    <row r="353" spans="1:11" x14ac:dyDescent="0.25">
      <c r="A353" s="50"/>
      <c r="B353" s="5"/>
      <c r="C353" s="50"/>
      <c r="D353" s="9"/>
      <c r="E353" s="23"/>
      <c r="F353" s="23"/>
      <c r="G353" s="11"/>
      <c r="H353" s="23"/>
      <c r="I353" s="23"/>
      <c r="J353" s="9"/>
      <c r="K353" s="9"/>
    </row>
    <row r="354" spans="1:11" x14ac:dyDescent="0.25">
      <c r="A354" s="50"/>
      <c r="B354" s="5"/>
      <c r="C354" s="50"/>
      <c r="D354" s="9"/>
      <c r="E354" s="23"/>
      <c r="F354" s="23"/>
      <c r="G354" s="11"/>
      <c r="H354" s="23"/>
      <c r="I354" s="23"/>
      <c r="J354" s="9"/>
      <c r="K354" s="9"/>
    </row>
    <row r="355" spans="1:11" x14ac:dyDescent="0.25">
      <c r="A355" s="1139" t="s">
        <v>2</v>
      </c>
      <c r="B355" s="1142" t="s">
        <v>175</v>
      </c>
      <c r="C355" s="290"/>
      <c r="D355" s="1145" t="s">
        <v>5</v>
      </c>
      <c r="E355" s="1146"/>
      <c r="F355" s="1147"/>
      <c r="G355" s="1148" t="s">
        <v>6</v>
      </c>
      <c r="H355" s="1149"/>
      <c r="I355" s="1150"/>
      <c r="J355" s="1138" t="s">
        <v>7</v>
      </c>
      <c r="K355" s="198" t="s">
        <v>8</v>
      </c>
    </row>
    <row r="356" spans="1:11" x14ac:dyDescent="0.25">
      <c r="A356" s="1140"/>
      <c r="B356" s="1143"/>
      <c r="C356" s="909" t="s">
        <v>4</v>
      </c>
      <c r="D356" s="198" t="s">
        <v>9</v>
      </c>
      <c r="E356" s="310" t="s">
        <v>10</v>
      </c>
      <c r="F356" s="310" t="s">
        <v>11</v>
      </c>
      <c r="G356" s="194" t="s">
        <v>12</v>
      </c>
      <c r="H356" s="193" t="s">
        <v>13</v>
      </c>
      <c r="I356" s="193" t="s">
        <v>11</v>
      </c>
      <c r="J356" s="1151"/>
      <c r="K356" s="192"/>
    </row>
    <row r="357" spans="1:11" x14ac:dyDescent="0.25">
      <c r="A357" s="1141"/>
      <c r="B357" s="1144"/>
      <c r="C357" s="229"/>
      <c r="D357" s="197" t="s">
        <v>14</v>
      </c>
      <c r="E357" s="195" t="s">
        <v>14</v>
      </c>
      <c r="F357" s="195" t="s">
        <v>14</v>
      </c>
      <c r="G357" s="196" t="s">
        <v>15</v>
      </c>
      <c r="H357" s="195" t="s">
        <v>14</v>
      </c>
      <c r="I357" s="195" t="s">
        <v>14</v>
      </c>
      <c r="J357" s="197" t="s">
        <v>15</v>
      </c>
      <c r="K357" s="197"/>
    </row>
    <row r="358" spans="1:11" ht="25.5" x14ac:dyDescent="0.25">
      <c r="A358" s="321" t="s">
        <v>180</v>
      </c>
      <c r="B358" s="696" t="s">
        <v>379</v>
      </c>
      <c r="C358" s="291"/>
      <c r="D358" s="121"/>
      <c r="E358" s="122"/>
      <c r="F358" s="122"/>
      <c r="G358" s="123"/>
      <c r="H358" s="122"/>
      <c r="I358" s="122"/>
      <c r="J358" s="121"/>
      <c r="K358" s="121"/>
    </row>
    <row r="359" spans="1:11" ht="25.5" x14ac:dyDescent="0.25">
      <c r="A359" s="160" t="s">
        <v>181</v>
      </c>
      <c r="B359" s="697" t="s">
        <v>380</v>
      </c>
      <c r="C359" s="261">
        <f>SUM(C360:C375)</f>
        <v>185000000</v>
      </c>
      <c r="D359" s="161"/>
      <c r="E359" s="161"/>
      <c r="F359" s="161"/>
      <c r="G359" s="82"/>
      <c r="H359" s="161"/>
      <c r="I359" s="161"/>
      <c r="J359" s="162"/>
      <c r="K359" s="162"/>
    </row>
    <row r="360" spans="1:11" ht="25.5" x14ac:dyDescent="0.25">
      <c r="A360" s="314" t="s">
        <v>44</v>
      </c>
      <c r="B360" s="707" t="s">
        <v>384</v>
      </c>
      <c r="C360" s="262">
        <v>8580000</v>
      </c>
      <c r="D360" s="134">
        <f>C360/C359*100</f>
        <v>4.6378378378378375</v>
      </c>
      <c r="E360" s="134">
        <f t="shared" ref="E360:E368" si="132">G360/C360*100</f>
        <v>89.16083916083916</v>
      </c>
      <c r="F360" s="134">
        <f t="shared" ref="F360:F368" si="133">(D360*E360)/100</f>
        <v>4.1351351351351351</v>
      </c>
      <c r="G360" s="181">
        <f>7650000</f>
        <v>7650000</v>
      </c>
      <c r="H360" s="134">
        <f t="shared" ref="H360:H368" si="134">G360/C360*100</f>
        <v>89.16083916083916</v>
      </c>
      <c r="I360" s="134">
        <f t="shared" ref="I360:I368" si="135">(D360*H360)/100</f>
        <v>4.1351351351351351</v>
      </c>
      <c r="J360" s="6">
        <f t="shared" ref="J360:J375" si="136">G360-C360</f>
        <v>-930000</v>
      </c>
      <c r="K360" s="10"/>
    </row>
    <row r="361" spans="1:11" x14ac:dyDescent="0.25">
      <c r="A361" s="314" t="s">
        <v>59</v>
      </c>
      <c r="B361" s="707" t="s">
        <v>197</v>
      </c>
      <c r="C361" s="262">
        <v>12218350</v>
      </c>
      <c r="D361" s="134">
        <f>C361/C359*100</f>
        <v>6.6045135135135133</v>
      </c>
      <c r="E361" s="134">
        <f t="shared" si="132"/>
        <v>49.106466912471816</v>
      </c>
      <c r="F361" s="134">
        <f t="shared" si="133"/>
        <v>3.2432432432432434</v>
      </c>
      <c r="G361" s="181">
        <f>6000000</f>
        <v>6000000</v>
      </c>
      <c r="H361" s="134">
        <f t="shared" si="134"/>
        <v>49.106466912471816</v>
      </c>
      <c r="I361" s="134">
        <f t="shared" si="135"/>
        <v>3.2432432432432434</v>
      </c>
      <c r="J361" s="6">
        <f t="shared" si="136"/>
        <v>-6218350</v>
      </c>
      <c r="K361" s="10"/>
    </row>
    <row r="362" spans="1:11" x14ac:dyDescent="0.25">
      <c r="A362" s="314" t="s">
        <v>62</v>
      </c>
      <c r="B362" s="707" t="s">
        <v>334</v>
      </c>
      <c r="C362" s="262">
        <v>9787450</v>
      </c>
      <c r="D362" s="134">
        <f>C362/C359*100</f>
        <v>5.2905135135135142</v>
      </c>
      <c r="E362" s="134">
        <f t="shared" si="132"/>
        <v>0</v>
      </c>
      <c r="F362" s="134">
        <f t="shared" si="133"/>
        <v>0</v>
      </c>
      <c r="G362" s="181">
        <v>0</v>
      </c>
      <c r="H362" s="134">
        <f t="shared" si="134"/>
        <v>0</v>
      </c>
      <c r="I362" s="134">
        <f t="shared" si="135"/>
        <v>0</v>
      </c>
      <c r="J362" s="6">
        <f t="shared" si="136"/>
        <v>-9787450</v>
      </c>
      <c r="K362" s="10"/>
    </row>
    <row r="363" spans="1:11" x14ac:dyDescent="0.25">
      <c r="A363" s="314" t="s">
        <v>148</v>
      </c>
      <c r="B363" s="133" t="s">
        <v>534</v>
      </c>
      <c r="C363" s="262">
        <v>8000000</v>
      </c>
      <c r="D363" s="134"/>
      <c r="E363" s="134"/>
      <c r="F363" s="134"/>
      <c r="G363" s="181">
        <f>8000000</f>
        <v>8000000</v>
      </c>
      <c r="H363" s="134"/>
      <c r="I363" s="134"/>
      <c r="J363" s="6">
        <f t="shared" si="136"/>
        <v>0</v>
      </c>
      <c r="K363" s="10"/>
    </row>
    <row r="364" spans="1:11" x14ac:dyDescent="0.25">
      <c r="A364" s="314" t="s">
        <v>194</v>
      </c>
      <c r="B364" s="49" t="s">
        <v>139</v>
      </c>
      <c r="C364" s="263">
        <v>42400000</v>
      </c>
      <c r="D364" s="134">
        <f>C364/C359*100</f>
        <v>22.918918918918919</v>
      </c>
      <c r="E364" s="134">
        <f t="shared" si="132"/>
        <v>82.523584905660371</v>
      </c>
      <c r="F364" s="134">
        <f t="shared" si="133"/>
        <v>18.913513513513511</v>
      </c>
      <c r="G364" s="181">
        <f>34990000</f>
        <v>34990000</v>
      </c>
      <c r="H364" s="134">
        <f t="shared" si="134"/>
        <v>82.523584905660371</v>
      </c>
      <c r="I364" s="134">
        <f t="shared" si="135"/>
        <v>18.913513513513511</v>
      </c>
      <c r="J364" s="6">
        <f t="shared" si="136"/>
        <v>-7410000</v>
      </c>
      <c r="K364" s="10"/>
    </row>
    <row r="365" spans="1:11" x14ac:dyDescent="0.25">
      <c r="A365" s="314" t="s">
        <v>183</v>
      </c>
      <c r="B365" s="49" t="s">
        <v>417</v>
      </c>
      <c r="C365" s="263">
        <v>4500000</v>
      </c>
      <c r="D365" s="134"/>
      <c r="E365" s="134">
        <f t="shared" si="132"/>
        <v>100</v>
      </c>
      <c r="F365" s="134"/>
      <c r="G365" s="181">
        <f>4500000</f>
        <v>4500000</v>
      </c>
      <c r="H365" s="134">
        <f t="shared" si="134"/>
        <v>100</v>
      </c>
      <c r="I365" s="134"/>
      <c r="J365" s="6">
        <f t="shared" si="136"/>
        <v>0</v>
      </c>
      <c r="K365" s="10"/>
    </row>
    <row r="366" spans="1:11" x14ac:dyDescent="0.25">
      <c r="A366" s="322" t="s">
        <v>195</v>
      </c>
      <c r="B366" s="170" t="s">
        <v>179</v>
      </c>
      <c r="C366" s="178">
        <v>24500000</v>
      </c>
      <c r="D366" s="134">
        <f>C366/C359*100</f>
        <v>13.243243243243244</v>
      </c>
      <c r="E366" s="134">
        <f t="shared" si="132"/>
        <v>100</v>
      </c>
      <c r="F366" s="134">
        <f t="shared" si="133"/>
        <v>13.243243243243244</v>
      </c>
      <c r="G366" s="181">
        <f>24500000</f>
        <v>24500000</v>
      </c>
      <c r="H366" s="134">
        <f t="shared" si="134"/>
        <v>100</v>
      </c>
      <c r="I366" s="134">
        <f t="shared" si="135"/>
        <v>13.243243243243244</v>
      </c>
      <c r="J366" s="6">
        <f t="shared" si="136"/>
        <v>0</v>
      </c>
      <c r="K366" s="10"/>
    </row>
    <row r="367" spans="1:11" x14ac:dyDescent="0.25">
      <c r="A367" s="322" t="s">
        <v>62</v>
      </c>
      <c r="B367" s="170" t="s">
        <v>418</v>
      </c>
      <c r="C367" s="178">
        <v>7500000</v>
      </c>
      <c r="D367" s="134"/>
      <c r="E367" s="134"/>
      <c r="F367" s="134"/>
      <c r="G367" s="181">
        <v>0</v>
      </c>
      <c r="H367" s="134"/>
      <c r="I367" s="134"/>
      <c r="J367" s="6">
        <f t="shared" si="136"/>
        <v>-7500000</v>
      </c>
      <c r="K367" s="10"/>
    </row>
    <row r="368" spans="1:11" ht="25.5" x14ac:dyDescent="0.25">
      <c r="A368" s="314" t="s">
        <v>106</v>
      </c>
      <c r="B368" s="316" t="s">
        <v>375</v>
      </c>
      <c r="C368" s="263">
        <v>16650000</v>
      </c>
      <c r="D368" s="134">
        <f>C368/C359*100</f>
        <v>9</v>
      </c>
      <c r="E368" s="134">
        <f t="shared" si="132"/>
        <v>92.792792792792795</v>
      </c>
      <c r="F368" s="134">
        <f t="shared" si="133"/>
        <v>8.3513513513513526</v>
      </c>
      <c r="G368" s="181">
        <f>15450000</f>
        <v>15450000</v>
      </c>
      <c r="H368" s="134">
        <f t="shared" si="134"/>
        <v>92.792792792792795</v>
      </c>
      <c r="I368" s="134">
        <f t="shared" si="135"/>
        <v>8.3513513513513526</v>
      </c>
      <c r="J368" s="6">
        <f t="shared" si="136"/>
        <v>-1200000</v>
      </c>
      <c r="K368" s="10"/>
    </row>
    <row r="369" spans="1:14" x14ac:dyDescent="0.25">
      <c r="A369" s="745" t="s">
        <v>162</v>
      </c>
      <c r="B369" s="746" t="s">
        <v>538</v>
      </c>
      <c r="C369" s="263">
        <v>3000000</v>
      </c>
      <c r="D369" s="134"/>
      <c r="E369" s="134"/>
      <c r="F369" s="134"/>
      <c r="G369" s="181">
        <f>3000000</f>
        <v>3000000</v>
      </c>
      <c r="H369" s="134"/>
      <c r="I369" s="134"/>
      <c r="J369" s="6">
        <f t="shared" si="136"/>
        <v>0</v>
      </c>
      <c r="K369" s="10"/>
    </row>
    <row r="370" spans="1:14" x14ac:dyDescent="0.25">
      <c r="A370" s="745" t="s">
        <v>521</v>
      </c>
      <c r="B370" s="746" t="s">
        <v>539</v>
      </c>
      <c r="C370" s="263">
        <v>3000000</v>
      </c>
      <c r="D370" s="134"/>
      <c r="E370" s="134"/>
      <c r="F370" s="134"/>
      <c r="G370" s="181">
        <f>3000000</f>
        <v>3000000</v>
      </c>
      <c r="H370" s="134"/>
      <c r="I370" s="134"/>
      <c r="J370" s="6">
        <f t="shared" si="136"/>
        <v>0</v>
      </c>
      <c r="K370" s="10"/>
    </row>
    <row r="371" spans="1:14" ht="25.5" x14ac:dyDescent="0.25">
      <c r="A371" s="745" t="s">
        <v>116</v>
      </c>
      <c r="B371" s="316" t="s">
        <v>420</v>
      </c>
      <c r="C371" s="263">
        <v>5464200</v>
      </c>
      <c r="D371" s="134"/>
      <c r="E371" s="134"/>
      <c r="F371" s="134"/>
      <c r="G371" s="181">
        <f>3000000</f>
        <v>3000000</v>
      </c>
      <c r="H371" s="134"/>
      <c r="I371" s="134"/>
      <c r="J371" s="6">
        <f t="shared" si="136"/>
        <v>-2464200</v>
      </c>
      <c r="K371" s="10"/>
    </row>
    <row r="372" spans="1:14" x14ac:dyDescent="0.25">
      <c r="A372" s="745" t="s">
        <v>65</v>
      </c>
      <c r="B372" s="754" t="s">
        <v>190</v>
      </c>
      <c r="C372" s="263">
        <v>7000000</v>
      </c>
      <c r="D372" s="134"/>
      <c r="E372" s="134"/>
      <c r="F372" s="134"/>
      <c r="G372" s="181">
        <f>6932360</f>
        <v>6932360</v>
      </c>
      <c r="H372" s="134"/>
      <c r="I372" s="134"/>
      <c r="J372" s="6">
        <f t="shared" si="136"/>
        <v>-67640</v>
      </c>
      <c r="K372" s="10"/>
    </row>
    <row r="373" spans="1:14" x14ac:dyDescent="0.25">
      <c r="A373" s="745" t="s">
        <v>400</v>
      </c>
      <c r="B373" s="754" t="s">
        <v>401</v>
      </c>
      <c r="C373" s="263">
        <v>7000000</v>
      </c>
      <c r="D373" s="134"/>
      <c r="E373" s="134"/>
      <c r="F373" s="134"/>
      <c r="G373" s="181">
        <f>7000000</f>
        <v>7000000</v>
      </c>
      <c r="H373" s="134"/>
      <c r="I373" s="134"/>
      <c r="J373" s="6">
        <f t="shared" si="136"/>
        <v>0</v>
      </c>
      <c r="K373" s="10"/>
    </row>
    <row r="374" spans="1:14" x14ac:dyDescent="0.25">
      <c r="A374" s="745" t="s">
        <v>301</v>
      </c>
      <c r="B374" s="746" t="s">
        <v>409</v>
      </c>
      <c r="C374" s="263">
        <v>20400000</v>
      </c>
      <c r="D374" s="134">
        <f>C374/C360*100</f>
        <v>237.76223776223776</v>
      </c>
      <c r="E374" s="134"/>
      <c r="F374" s="134"/>
      <c r="G374" s="181">
        <f>20400000</f>
        <v>20400000</v>
      </c>
      <c r="H374" s="134"/>
      <c r="I374" s="134"/>
      <c r="J374" s="6">
        <f t="shared" si="136"/>
        <v>0</v>
      </c>
      <c r="K374" s="10"/>
    </row>
    <row r="375" spans="1:14" x14ac:dyDescent="0.25">
      <c r="A375" s="745" t="s">
        <v>275</v>
      </c>
      <c r="B375" s="316" t="s">
        <v>543</v>
      </c>
      <c r="C375" s="263">
        <v>5000000</v>
      </c>
      <c r="D375" s="134"/>
      <c r="E375" s="134"/>
      <c r="F375" s="134"/>
      <c r="G375" s="181">
        <f>5000000</f>
        <v>5000000</v>
      </c>
      <c r="H375" s="134"/>
      <c r="I375" s="134"/>
      <c r="J375" s="6">
        <f t="shared" si="136"/>
        <v>0</v>
      </c>
      <c r="K375" s="10"/>
    </row>
    <row r="376" spans="1:14" x14ac:dyDescent="0.25">
      <c r="A376" s="1152" t="s">
        <v>95</v>
      </c>
      <c r="B376" s="1154"/>
      <c r="C376" s="822">
        <f>SUM(C360:C375)</f>
        <v>185000000</v>
      </c>
      <c r="D376" s="12">
        <f>SUM(D360:D368)</f>
        <v>61.695027027027024</v>
      </c>
      <c r="E376" s="134"/>
      <c r="F376" s="134"/>
      <c r="G376" s="837">
        <f>SUM(G360:G375)</f>
        <v>149422360</v>
      </c>
      <c r="H376" s="134"/>
      <c r="I376" s="134"/>
      <c r="J376" s="56">
        <v>0</v>
      </c>
      <c r="K376" s="3">
        <v>0</v>
      </c>
    </row>
    <row r="377" spans="1:14" x14ac:dyDescent="0.25">
      <c r="A377" s="5"/>
      <c r="B377" s="5"/>
      <c r="C377" s="5"/>
      <c r="D377" s="29"/>
      <c r="E377" s="30"/>
      <c r="F377" s="31"/>
      <c r="G377" s="36"/>
      <c r="H377" s="32"/>
      <c r="I377" s="31"/>
      <c r="J377" s="36"/>
      <c r="K377" s="37"/>
    </row>
    <row r="378" spans="1:14" ht="31.5" x14ac:dyDescent="0.25">
      <c r="A378" s="55"/>
      <c r="B378" s="46" t="s">
        <v>145</v>
      </c>
      <c r="C378" s="155"/>
      <c r="D378" s="44"/>
      <c r="E378" s="45"/>
      <c r="F378" s="45"/>
      <c r="G378" s="48"/>
      <c r="H378" s="45"/>
      <c r="I378" s="45"/>
      <c r="J378" s="44"/>
      <c r="K378" s="44"/>
      <c r="L378" s="1"/>
      <c r="M378" s="1"/>
      <c r="N378" s="1"/>
    </row>
    <row r="379" spans="1:14" x14ac:dyDescent="0.25">
      <c r="A379" s="1133" t="s">
        <v>2</v>
      </c>
      <c r="B379" s="1134" t="s">
        <v>175</v>
      </c>
      <c r="C379" s="1133" t="s">
        <v>4</v>
      </c>
      <c r="D379" s="1135" t="s">
        <v>5</v>
      </c>
      <c r="E379" s="1136"/>
      <c r="F379" s="1136"/>
      <c r="G379" s="1137" t="s">
        <v>6</v>
      </c>
      <c r="H379" s="1136"/>
      <c r="I379" s="1136"/>
      <c r="J379" s="1133" t="s">
        <v>7</v>
      </c>
      <c r="K379" s="198" t="s">
        <v>8</v>
      </c>
    </row>
    <row r="380" spans="1:14" x14ac:dyDescent="0.25">
      <c r="A380" s="1133"/>
      <c r="B380" s="1134"/>
      <c r="C380" s="1133"/>
      <c r="D380" s="198" t="s">
        <v>9</v>
      </c>
      <c r="E380" s="310" t="s">
        <v>10</v>
      </c>
      <c r="F380" s="310" t="s">
        <v>11</v>
      </c>
      <c r="G380" s="311" t="s">
        <v>12</v>
      </c>
      <c r="H380" s="310" t="s">
        <v>13</v>
      </c>
      <c r="I380" s="310" t="s">
        <v>11</v>
      </c>
      <c r="J380" s="1138"/>
      <c r="K380" s="192"/>
    </row>
    <row r="381" spans="1:14" x14ac:dyDescent="0.25">
      <c r="A381" s="1133"/>
      <c r="B381" s="1134"/>
      <c r="C381" s="1133"/>
      <c r="D381" s="197" t="s">
        <v>14</v>
      </c>
      <c r="E381" s="195" t="s">
        <v>14</v>
      </c>
      <c r="F381" s="195" t="s">
        <v>14</v>
      </c>
      <c r="G381" s="196" t="s">
        <v>15</v>
      </c>
      <c r="H381" s="195" t="s">
        <v>14</v>
      </c>
      <c r="I381" s="195" t="s">
        <v>14</v>
      </c>
      <c r="J381" s="197" t="s">
        <v>15</v>
      </c>
      <c r="K381" s="197"/>
    </row>
    <row r="382" spans="1:14" x14ac:dyDescent="0.25">
      <c r="A382" s="79" t="s">
        <v>185</v>
      </c>
      <c r="B382" s="199" t="s">
        <v>146</v>
      </c>
      <c r="C382" s="24"/>
      <c r="D382" s="10"/>
      <c r="E382" s="34"/>
      <c r="F382" s="34"/>
      <c r="G382" s="6"/>
      <c r="H382" s="34"/>
      <c r="I382" s="34"/>
      <c r="J382" s="10"/>
      <c r="K382" s="10"/>
    </row>
    <row r="383" spans="1:14" x14ac:dyDescent="0.25">
      <c r="A383" s="125" t="s">
        <v>184</v>
      </c>
      <c r="B383" s="280" t="s">
        <v>147</v>
      </c>
      <c r="C383" s="252">
        <f>SUM(C384:C385)</f>
        <v>1430900000</v>
      </c>
      <c r="D383" s="10"/>
      <c r="E383" s="34"/>
      <c r="F383" s="34"/>
      <c r="G383" s="6"/>
      <c r="H383" s="34"/>
      <c r="I383" s="34"/>
      <c r="J383" s="10"/>
      <c r="K383" s="10"/>
    </row>
    <row r="384" spans="1:14" ht="25.5" x14ac:dyDescent="0.25">
      <c r="A384" s="154" t="s">
        <v>44</v>
      </c>
      <c r="B384" s="707" t="s">
        <v>384</v>
      </c>
      <c r="C384" s="253">
        <v>30900000</v>
      </c>
      <c r="D384" s="134">
        <f>C384/C383*100</f>
        <v>2.1594800475225382</v>
      </c>
      <c r="E384" s="134">
        <f t="shared" ref="E384:E385" si="137">G384/C384*100</f>
        <v>50</v>
      </c>
      <c r="F384" s="134">
        <f t="shared" ref="F384:F385" si="138">(D384*E384)/100</f>
        <v>1.0797400237612691</v>
      </c>
      <c r="G384" s="181">
        <f>15450000</f>
        <v>15450000</v>
      </c>
      <c r="H384" s="134">
        <f t="shared" ref="H384:H385" si="139">G384/C384*100</f>
        <v>50</v>
      </c>
      <c r="I384" s="134">
        <f t="shared" ref="I384:I385" si="140">(D384*H384)/100</f>
        <v>1.0797400237612691</v>
      </c>
      <c r="J384" s="6">
        <f t="shared" ref="J384:J385" si="141">G384-C384</f>
        <v>-15450000</v>
      </c>
      <c r="K384" s="10"/>
    </row>
    <row r="385" spans="1:11" x14ac:dyDescent="0.25">
      <c r="A385" s="124" t="s">
        <v>148</v>
      </c>
      <c r="B385" s="133" t="s">
        <v>534</v>
      </c>
      <c r="C385" s="256">
        <v>1400000000</v>
      </c>
      <c r="D385" s="134">
        <f>C385/C383*100</f>
        <v>97.840519952477464</v>
      </c>
      <c r="E385" s="134">
        <f t="shared" si="137"/>
        <v>99.555000000000007</v>
      </c>
      <c r="F385" s="134">
        <f t="shared" si="138"/>
        <v>97.405129638688948</v>
      </c>
      <c r="G385" s="181">
        <f>425559463+968210537</f>
        <v>1393770000</v>
      </c>
      <c r="H385" s="134">
        <f t="shared" si="139"/>
        <v>99.555000000000007</v>
      </c>
      <c r="I385" s="134">
        <f t="shared" si="140"/>
        <v>97.405129638688948</v>
      </c>
      <c r="J385" s="6">
        <f t="shared" si="141"/>
        <v>-6230000</v>
      </c>
      <c r="K385" s="10"/>
    </row>
    <row r="386" spans="1:11" x14ac:dyDescent="0.25">
      <c r="A386" s="70"/>
      <c r="B386" s="129" t="s">
        <v>95</v>
      </c>
      <c r="C386" s="807">
        <f>SUM(C384:C385)</f>
        <v>1430900000</v>
      </c>
      <c r="D386" s="271">
        <f>SUM(D384:D385)</f>
        <v>100</v>
      </c>
      <c r="E386" s="134"/>
      <c r="F386" s="134"/>
      <c r="G386" s="181">
        <f>SUM(G384:G385)</f>
        <v>1409220000</v>
      </c>
      <c r="H386" s="134"/>
      <c r="I386" s="134"/>
      <c r="J386" s="56">
        <v>0</v>
      </c>
      <c r="K386" s="130"/>
    </row>
    <row r="387" spans="1:11" x14ac:dyDescent="0.25">
      <c r="A387" s="5"/>
      <c r="B387" s="5"/>
      <c r="C387" s="5"/>
      <c r="D387" s="29"/>
      <c r="E387" s="30"/>
      <c r="F387" s="31"/>
      <c r="G387" s="36"/>
      <c r="H387" s="32"/>
      <c r="I387" s="31"/>
      <c r="J387" s="36"/>
      <c r="K387" s="37"/>
    </row>
    <row r="388" spans="1:11" x14ac:dyDescent="0.25">
      <c r="A388" s="1133" t="s">
        <v>2</v>
      </c>
      <c r="B388" s="1134" t="s">
        <v>175</v>
      </c>
      <c r="C388" s="1133" t="s">
        <v>4</v>
      </c>
      <c r="D388" s="1135" t="s">
        <v>5</v>
      </c>
      <c r="E388" s="1136"/>
      <c r="F388" s="1136"/>
      <c r="G388" s="1137" t="s">
        <v>6</v>
      </c>
      <c r="H388" s="1136"/>
      <c r="I388" s="1136"/>
      <c r="J388" s="1133" t="s">
        <v>7</v>
      </c>
      <c r="K388" s="198" t="s">
        <v>8</v>
      </c>
    </row>
    <row r="389" spans="1:11" x14ac:dyDescent="0.25">
      <c r="A389" s="1133"/>
      <c r="B389" s="1134"/>
      <c r="C389" s="1133"/>
      <c r="D389" s="198" t="s">
        <v>9</v>
      </c>
      <c r="E389" s="310" t="s">
        <v>10</v>
      </c>
      <c r="F389" s="310" t="s">
        <v>11</v>
      </c>
      <c r="G389" s="311" t="s">
        <v>12</v>
      </c>
      <c r="H389" s="310" t="s">
        <v>13</v>
      </c>
      <c r="I389" s="310" t="s">
        <v>11</v>
      </c>
      <c r="J389" s="1138"/>
      <c r="K389" s="192"/>
    </row>
    <row r="390" spans="1:11" x14ac:dyDescent="0.25">
      <c r="A390" s="1133"/>
      <c r="B390" s="1134"/>
      <c r="C390" s="1133"/>
      <c r="D390" s="197" t="s">
        <v>14</v>
      </c>
      <c r="E390" s="195" t="s">
        <v>14</v>
      </c>
      <c r="F390" s="195" t="s">
        <v>14</v>
      </c>
      <c r="G390" s="196" t="s">
        <v>15</v>
      </c>
      <c r="H390" s="195" t="s">
        <v>14</v>
      </c>
      <c r="I390" s="195" t="s">
        <v>14</v>
      </c>
      <c r="J390" s="197" t="s">
        <v>15</v>
      </c>
      <c r="K390" s="197"/>
    </row>
    <row r="391" spans="1:11" x14ac:dyDescent="0.25">
      <c r="A391" s="79" t="s">
        <v>185</v>
      </c>
      <c r="B391" s="199" t="s">
        <v>146</v>
      </c>
      <c r="C391" s="24"/>
      <c r="D391" s="10"/>
      <c r="E391" s="34"/>
      <c r="F391" s="34"/>
      <c r="G391" s="6"/>
      <c r="H391" s="34"/>
      <c r="I391" s="34"/>
      <c r="J391" s="10"/>
      <c r="K391" s="10"/>
    </row>
    <row r="392" spans="1:11" x14ac:dyDescent="0.25">
      <c r="A392" s="125" t="s">
        <v>187</v>
      </c>
      <c r="B392" s="280" t="s">
        <v>156</v>
      </c>
      <c r="C392" s="252">
        <f>SUM(C393:C396)</f>
        <v>870474720</v>
      </c>
      <c r="D392" s="10"/>
      <c r="E392" s="14"/>
      <c r="F392" s="34"/>
      <c r="G392" s="6"/>
      <c r="H392" s="34"/>
      <c r="I392" s="34"/>
      <c r="J392" s="35"/>
      <c r="K392" s="10"/>
    </row>
    <row r="393" spans="1:11" ht="25.5" x14ac:dyDescent="0.25">
      <c r="A393" s="49" t="s">
        <v>59</v>
      </c>
      <c r="B393" s="707" t="s">
        <v>384</v>
      </c>
      <c r="C393" s="256">
        <v>26160000</v>
      </c>
      <c r="D393" s="34">
        <f>C393/C392*100</f>
        <v>3.0052567178516112</v>
      </c>
      <c r="E393" s="134">
        <f t="shared" ref="E393:E395" si="142">G393/C393*100</f>
        <v>50</v>
      </c>
      <c r="F393" s="134">
        <f t="shared" ref="F393:F395" si="143">(D393*E393)/100</f>
        <v>1.5026283589258056</v>
      </c>
      <c r="G393" s="181">
        <f>13080000</f>
        <v>13080000</v>
      </c>
      <c r="H393" s="134">
        <f t="shared" ref="H393:H395" si="144">G393/C393*100</f>
        <v>50</v>
      </c>
      <c r="I393" s="134">
        <f t="shared" ref="I393:I395" si="145">(D393*H393)/100</f>
        <v>1.5026283589258056</v>
      </c>
      <c r="J393" s="6">
        <f t="shared" ref="J393:J396" si="146">G393-C393</f>
        <v>-13080000</v>
      </c>
      <c r="K393" s="10"/>
    </row>
    <row r="394" spans="1:11" x14ac:dyDescent="0.25">
      <c r="A394" s="49" t="s">
        <v>148</v>
      </c>
      <c r="B394" s="133" t="s">
        <v>534</v>
      </c>
      <c r="C394" s="264">
        <v>600000000</v>
      </c>
      <c r="D394" s="134">
        <f>C394/C392*100</f>
        <v>68.927906372743365</v>
      </c>
      <c r="E394" s="134">
        <f t="shared" si="142"/>
        <v>77.332033333333342</v>
      </c>
      <c r="F394" s="134">
        <f t="shared" si="143"/>
        <v>53.303351532138691</v>
      </c>
      <c r="G394" s="181">
        <f>451742200+12250000</f>
        <v>463992200</v>
      </c>
      <c r="H394" s="134">
        <f t="shared" si="144"/>
        <v>77.332033333333342</v>
      </c>
      <c r="I394" s="134">
        <f t="shared" si="145"/>
        <v>53.303351532138691</v>
      </c>
      <c r="J394" s="6">
        <f t="shared" si="146"/>
        <v>-136007800</v>
      </c>
      <c r="K394" s="3"/>
    </row>
    <row r="395" spans="1:11" s="84" customFormat="1" ht="25.5" x14ac:dyDescent="0.2">
      <c r="A395" s="723" t="s">
        <v>152</v>
      </c>
      <c r="B395" s="133" t="s">
        <v>153</v>
      </c>
      <c r="C395" s="264">
        <v>240000000</v>
      </c>
      <c r="D395" s="134">
        <f>C395/C392*100</f>
        <v>27.571162549097352</v>
      </c>
      <c r="E395" s="134">
        <f t="shared" si="142"/>
        <v>66.666666666666657</v>
      </c>
      <c r="F395" s="134">
        <f t="shared" si="143"/>
        <v>18.380775032731563</v>
      </c>
      <c r="G395" s="181">
        <f>160000000</f>
        <v>160000000</v>
      </c>
      <c r="H395" s="134">
        <f t="shared" si="144"/>
        <v>66.666666666666657</v>
      </c>
      <c r="I395" s="134">
        <f t="shared" si="145"/>
        <v>18.380775032731563</v>
      </c>
      <c r="J395" s="6">
        <f t="shared" si="146"/>
        <v>-80000000</v>
      </c>
      <c r="K395" s="85"/>
    </row>
    <row r="396" spans="1:11" s="84" customFormat="1" x14ac:dyDescent="0.2">
      <c r="A396" s="749" t="s">
        <v>234</v>
      </c>
      <c r="B396" s="133" t="s">
        <v>522</v>
      </c>
      <c r="C396" s="264">
        <v>4314720</v>
      </c>
      <c r="D396" s="804"/>
      <c r="E396" s="134"/>
      <c r="F396" s="134"/>
      <c r="G396" s="181">
        <f>4314720</f>
        <v>4314720</v>
      </c>
      <c r="H396" s="134"/>
      <c r="I396" s="134"/>
      <c r="J396" s="6">
        <f t="shared" si="146"/>
        <v>0</v>
      </c>
      <c r="K396" s="823"/>
    </row>
    <row r="397" spans="1:11" x14ac:dyDescent="0.25">
      <c r="A397" s="73"/>
      <c r="B397" s="136" t="s">
        <v>154</v>
      </c>
      <c r="C397" s="824">
        <f>SUM(C393:C396)</f>
        <v>870474720</v>
      </c>
      <c r="D397" s="272">
        <f>SUM(D393:D395)</f>
        <v>99.504325639692325</v>
      </c>
      <c r="E397" s="134"/>
      <c r="F397" s="134"/>
      <c r="G397" s="181">
        <f>SUM(G393:G396)</f>
        <v>641386920</v>
      </c>
      <c r="H397" s="134"/>
      <c r="I397" s="134"/>
      <c r="J397" s="56">
        <v>0</v>
      </c>
      <c r="K397" s="40"/>
    </row>
    <row r="398" spans="1:11" x14ac:dyDescent="0.25">
      <c r="A398" s="50"/>
      <c r="B398" s="5"/>
      <c r="C398" s="50" t="s">
        <v>141</v>
      </c>
      <c r="D398" s="9"/>
      <c r="E398" s="23"/>
      <c r="F398" s="23"/>
      <c r="G398" s="11"/>
      <c r="H398" s="23"/>
      <c r="I398" s="23"/>
      <c r="J398" s="9"/>
      <c r="K398" s="9"/>
    </row>
    <row r="399" spans="1:11" x14ac:dyDescent="0.25">
      <c r="A399" s="50"/>
      <c r="B399" s="5"/>
      <c r="C399" s="50"/>
      <c r="D399" s="9"/>
      <c r="E399" s="23"/>
      <c r="F399" s="23"/>
      <c r="G399" s="11"/>
      <c r="H399" s="23"/>
      <c r="I399" s="23"/>
      <c r="J399" s="9"/>
      <c r="K399" s="9"/>
    </row>
    <row r="400" spans="1:11" x14ac:dyDescent="0.25">
      <c r="A400" s="1123" t="s">
        <v>2</v>
      </c>
      <c r="B400" s="1126" t="s">
        <v>171</v>
      </c>
      <c r="C400" s="1123" t="s">
        <v>4</v>
      </c>
      <c r="D400" s="1155" t="s">
        <v>5</v>
      </c>
      <c r="E400" s="1156"/>
      <c r="F400" s="1157"/>
      <c r="G400" s="1158" t="s">
        <v>6</v>
      </c>
      <c r="H400" s="1159"/>
      <c r="I400" s="1160"/>
      <c r="J400" s="1123" t="s">
        <v>7</v>
      </c>
      <c r="K400" s="289" t="s">
        <v>8</v>
      </c>
    </row>
    <row r="401" spans="1:14" x14ac:dyDescent="0.25">
      <c r="A401" s="1124"/>
      <c r="B401" s="1127"/>
      <c r="C401" s="1124"/>
      <c r="D401" s="289" t="s">
        <v>9</v>
      </c>
      <c r="E401" s="308" t="s">
        <v>10</v>
      </c>
      <c r="F401" s="308" t="s">
        <v>11</v>
      </c>
      <c r="G401" s="309" t="s">
        <v>12</v>
      </c>
      <c r="H401" s="308" t="s">
        <v>13</v>
      </c>
      <c r="I401" s="308" t="s">
        <v>11</v>
      </c>
      <c r="J401" s="1124"/>
      <c r="K401" s="115"/>
    </row>
    <row r="402" spans="1:14" x14ac:dyDescent="0.25">
      <c r="A402" s="1125"/>
      <c r="B402" s="1128"/>
      <c r="C402" s="1125"/>
      <c r="D402" s="118" t="s">
        <v>14</v>
      </c>
      <c r="E402" s="119" t="s">
        <v>14</v>
      </c>
      <c r="F402" s="119" t="s">
        <v>14</v>
      </c>
      <c r="G402" s="120" t="s">
        <v>15</v>
      </c>
      <c r="H402" s="119" t="s">
        <v>14</v>
      </c>
      <c r="I402" s="119" t="s">
        <v>14</v>
      </c>
      <c r="J402" s="118" t="s">
        <v>15</v>
      </c>
      <c r="K402" s="118"/>
    </row>
    <row r="403" spans="1:14" ht="25.5" x14ac:dyDescent="0.25">
      <c r="A403" s="79" t="s">
        <v>180</v>
      </c>
      <c r="B403" s="696" t="s">
        <v>379</v>
      </c>
      <c r="C403" s="128"/>
      <c r="D403" s="10"/>
      <c r="E403" s="34"/>
      <c r="F403" s="34"/>
      <c r="G403" s="6"/>
      <c r="H403" s="34"/>
      <c r="I403" s="34"/>
      <c r="J403" s="10"/>
      <c r="K403" s="10"/>
    </row>
    <row r="404" spans="1:14" ht="25.5" x14ac:dyDescent="0.25">
      <c r="A404" s="158" t="s">
        <v>181</v>
      </c>
      <c r="B404" s="697" t="s">
        <v>380</v>
      </c>
      <c r="C404" s="265">
        <f>SUM(C405:C416)</f>
        <v>185000000</v>
      </c>
      <c r="D404" s="10"/>
      <c r="E404" s="34"/>
      <c r="F404" s="34"/>
      <c r="G404" s="6"/>
      <c r="H404" s="34"/>
      <c r="I404" s="34"/>
      <c r="J404" s="10"/>
      <c r="K404" s="10"/>
    </row>
    <row r="405" spans="1:14" ht="25.5" x14ac:dyDescent="0.25">
      <c r="A405" s="74" t="s">
        <v>44</v>
      </c>
      <c r="B405" s="707" t="s">
        <v>384</v>
      </c>
      <c r="C405" s="266">
        <v>8580000</v>
      </c>
      <c r="D405" s="134">
        <f>C405/C404*100</f>
        <v>4.6378378378378375</v>
      </c>
      <c r="E405" s="134">
        <f t="shared" ref="E405:E413" si="147">G405/C405*100</f>
        <v>100</v>
      </c>
      <c r="F405" s="134">
        <f t="shared" ref="F405:F413" si="148">(D405*E405)/100</f>
        <v>4.6378378378378375</v>
      </c>
      <c r="G405" s="181">
        <f>8580000</f>
        <v>8580000</v>
      </c>
      <c r="H405" s="134">
        <f t="shared" ref="H405:H413" si="149">G405/C405*100</f>
        <v>100</v>
      </c>
      <c r="I405" s="134">
        <f t="shared" ref="I405:I413" si="150">(D405*H405)/100</f>
        <v>4.6378378378378375</v>
      </c>
      <c r="J405" s="6">
        <f t="shared" ref="J405:J416" si="151">G405-C405</f>
        <v>0</v>
      </c>
      <c r="K405" s="10"/>
      <c r="L405" s="1"/>
      <c r="M405" s="1"/>
      <c r="N405" s="25"/>
    </row>
    <row r="406" spans="1:14" x14ac:dyDescent="0.25">
      <c r="A406" s="74" t="s">
        <v>59</v>
      </c>
      <c r="B406" s="707" t="s">
        <v>197</v>
      </c>
      <c r="C406" s="266">
        <v>12180000</v>
      </c>
      <c r="D406" s="134">
        <f>C406/C404*100</f>
        <v>6.583783783783784</v>
      </c>
      <c r="E406" s="134">
        <f t="shared" si="147"/>
        <v>53.362479474548444</v>
      </c>
      <c r="F406" s="134">
        <f t="shared" si="148"/>
        <v>3.5132702702702705</v>
      </c>
      <c r="G406" s="181">
        <f>6499550</f>
        <v>6499550</v>
      </c>
      <c r="H406" s="134">
        <f t="shared" si="149"/>
        <v>53.362479474548444</v>
      </c>
      <c r="I406" s="134">
        <f t="shared" si="150"/>
        <v>3.5132702702702705</v>
      </c>
      <c r="J406" s="6">
        <f t="shared" si="151"/>
        <v>-5680450</v>
      </c>
      <c r="K406" s="10"/>
      <c r="L406" s="1"/>
      <c r="M406" s="1"/>
      <c r="N406" s="1"/>
    </row>
    <row r="407" spans="1:14" x14ac:dyDescent="0.25">
      <c r="A407" s="74" t="s">
        <v>62</v>
      </c>
      <c r="B407" s="707" t="s">
        <v>334</v>
      </c>
      <c r="C407" s="266">
        <v>9590000</v>
      </c>
      <c r="D407" s="134">
        <f>C407/C404*100</f>
        <v>5.1837837837837837</v>
      </c>
      <c r="E407" s="134">
        <f t="shared" si="147"/>
        <v>40.667361835245046</v>
      </c>
      <c r="F407" s="134">
        <f t="shared" si="148"/>
        <v>2.1081081081081079</v>
      </c>
      <c r="G407" s="181">
        <f>3900000</f>
        <v>3900000</v>
      </c>
      <c r="H407" s="134">
        <f t="shared" si="149"/>
        <v>40.667361835245046</v>
      </c>
      <c r="I407" s="134">
        <f t="shared" si="150"/>
        <v>2.1081081081081079</v>
      </c>
      <c r="J407" s="6">
        <f t="shared" si="151"/>
        <v>-5690000</v>
      </c>
      <c r="K407" s="10"/>
      <c r="L407" s="1"/>
      <c r="M407" s="1"/>
      <c r="N407" s="1"/>
    </row>
    <row r="408" spans="1:14" ht="25.5" x14ac:dyDescent="0.25">
      <c r="A408" s="49" t="s">
        <v>193</v>
      </c>
      <c r="B408" s="707" t="s">
        <v>537</v>
      </c>
      <c r="C408" s="266">
        <v>5250000</v>
      </c>
      <c r="D408" s="134"/>
      <c r="E408" s="134"/>
      <c r="F408" s="134"/>
      <c r="G408" s="181">
        <f>5250000</f>
        <v>5250000</v>
      </c>
      <c r="H408" s="134"/>
      <c r="I408" s="134"/>
      <c r="J408" s="6">
        <f t="shared" si="151"/>
        <v>0</v>
      </c>
      <c r="K408" s="10"/>
      <c r="L408" s="1"/>
      <c r="M408" s="1"/>
      <c r="N408" s="1"/>
    </row>
    <row r="409" spans="1:14" x14ac:dyDescent="0.25">
      <c r="A409" s="49" t="s">
        <v>148</v>
      </c>
      <c r="B409" s="133" t="s">
        <v>534</v>
      </c>
      <c r="C409" s="266">
        <v>8000000</v>
      </c>
      <c r="D409" s="134"/>
      <c r="E409" s="134"/>
      <c r="F409" s="134"/>
      <c r="G409" s="181">
        <f>8000000</f>
        <v>8000000</v>
      </c>
      <c r="H409" s="134"/>
      <c r="I409" s="134"/>
      <c r="J409" s="6">
        <f t="shared" si="151"/>
        <v>0</v>
      </c>
      <c r="K409" s="10"/>
      <c r="L409" s="1"/>
      <c r="M409" s="1"/>
      <c r="N409" s="1"/>
    </row>
    <row r="410" spans="1:14" x14ac:dyDescent="0.25">
      <c r="A410" s="74" t="s">
        <v>77</v>
      </c>
      <c r="B410" s="49" t="s">
        <v>143</v>
      </c>
      <c r="C410" s="266">
        <v>69700000</v>
      </c>
      <c r="D410" s="134">
        <f>C410/C404*100</f>
        <v>37.675675675675677</v>
      </c>
      <c r="E410" s="134">
        <f t="shared" si="147"/>
        <v>67.137733142037305</v>
      </c>
      <c r="F410" s="134">
        <f t="shared" si="148"/>
        <v>25.294594594594596</v>
      </c>
      <c r="G410" s="181">
        <f>46795000</f>
        <v>46795000</v>
      </c>
      <c r="H410" s="134">
        <f t="shared" si="149"/>
        <v>67.137733142037305</v>
      </c>
      <c r="I410" s="134">
        <f t="shared" si="150"/>
        <v>25.294594594594596</v>
      </c>
      <c r="J410" s="6">
        <f t="shared" si="151"/>
        <v>-22905000</v>
      </c>
      <c r="K410" s="10"/>
      <c r="L410" s="1"/>
      <c r="M410" s="1"/>
      <c r="N410" s="1"/>
    </row>
    <row r="411" spans="1:14" x14ac:dyDescent="0.25">
      <c r="A411" s="314" t="s">
        <v>183</v>
      </c>
      <c r="B411" s="49" t="s">
        <v>417</v>
      </c>
      <c r="C411" s="266">
        <v>14400000</v>
      </c>
      <c r="D411" s="134"/>
      <c r="E411" s="134"/>
      <c r="F411" s="134"/>
      <c r="G411" s="181">
        <f>4600000</f>
        <v>4600000</v>
      </c>
      <c r="H411" s="134"/>
      <c r="I411" s="134"/>
      <c r="J411" s="6">
        <f t="shared" si="151"/>
        <v>-9800000</v>
      </c>
      <c r="K411" s="10"/>
      <c r="L411" s="1"/>
      <c r="M411" s="1"/>
      <c r="N411" s="1"/>
    </row>
    <row r="412" spans="1:14" x14ac:dyDescent="0.25">
      <c r="A412" s="74" t="s">
        <v>186</v>
      </c>
      <c r="B412" s="170" t="s">
        <v>182</v>
      </c>
      <c r="C412" s="266">
        <v>31000000</v>
      </c>
      <c r="D412" s="134">
        <f>C412/C404*100</f>
        <v>16.756756756756758</v>
      </c>
      <c r="E412" s="134">
        <f t="shared" si="147"/>
        <v>100</v>
      </c>
      <c r="F412" s="134">
        <f t="shared" si="148"/>
        <v>16.756756756756758</v>
      </c>
      <c r="G412" s="181">
        <f>31000000</f>
        <v>31000000</v>
      </c>
      <c r="H412" s="134">
        <f t="shared" si="149"/>
        <v>100</v>
      </c>
      <c r="I412" s="134">
        <f t="shared" si="150"/>
        <v>16.756756756756758</v>
      </c>
      <c r="J412" s="6">
        <f t="shared" si="151"/>
        <v>0</v>
      </c>
      <c r="K412" s="10"/>
      <c r="L412" s="1"/>
      <c r="M412" s="1"/>
      <c r="N412" s="1"/>
    </row>
    <row r="413" spans="1:14" ht="25.5" x14ac:dyDescent="0.25">
      <c r="A413" s="74" t="s">
        <v>106</v>
      </c>
      <c r="B413" s="316" t="s">
        <v>375</v>
      </c>
      <c r="C413" s="266">
        <v>15300000</v>
      </c>
      <c r="D413" s="134">
        <f>C413/C404*100</f>
        <v>8.2702702702702702</v>
      </c>
      <c r="E413" s="134">
        <f t="shared" si="147"/>
        <v>86.928104575163403</v>
      </c>
      <c r="F413" s="134">
        <f t="shared" si="148"/>
        <v>7.1891891891891895</v>
      </c>
      <c r="G413" s="181">
        <f>13300000</f>
        <v>13300000</v>
      </c>
      <c r="H413" s="134">
        <f t="shared" si="149"/>
        <v>86.928104575163403</v>
      </c>
      <c r="I413" s="134">
        <f t="shared" si="150"/>
        <v>7.1891891891891895</v>
      </c>
      <c r="J413" s="6">
        <f t="shared" si="151"/>
        <v>-2000000</v>
      </c>
      <c r="K413" s="10"/>
      <c r="L413" s="1"/>
      <c r="M413" s="1"/>
      <c r="N413" s="1"/>
    </row>
    <row r="414" spans="1:14" x14ac:dyDescent="0.25">
      <c r="A414" s="755" t="s">
        <v>116</v>
      </c>
      <c r="B414" s="316" t="s">
        <v>538</v>
      </c>
      <c r="C414" s="266">
        <v>2000000</v>
      </c>
      <c r="D414" s="134">
        <f>C414/C405*100</f>
        <v>23.310023310023308</v>
      </c>
      <c r="E414" s="134"/>
      <c r="F414" s="134"/>
      <c r="G414" s="181">
        <f>2000000</f>
        <v>2000000</v>
      </c>
      <c r="H414" s="134"/>
      <c r="I414" s="134"/>
      <c r="J414" s="6">
        <f t="shared" si="151"/>
        <v>0</v>
      </c>
      <c r="K414" s="10"/>
      <c r="L414" s="1"/>
      <c r="M414" s="1"/>
      <c r="N414" s="1"/>
    </row>
    <row r="415" spans="1:14" x14ac:dyDescent="0.25">
      <c r="A415" s="755" t="s">
        <v>521</v>
      </c>
      <c r="B415" s="316" t="s">
        <v>539</v>
      </c>
      <c r="C415" s="266">
        <v>2000000</v>
      </c>
      <c r="D415" s="134"/>
      <c r="E415" s="134"/>
      <c r="F415" s="134"/>
      <c r="G415" s="181">
        <f>2000000</f>
        <v>2000000</v>
      </c>
      <c r="H415" s="134"/>
      <c r="I415" s="134"/>
      <c r="J415" s="6">
        <f t="shared" si="151"/>
        <v>0</v>
      </c>
      <c r="K415" s="10"/>
      <c r="L415" s="1"/>
      <c r="M415" s="1"/>
      <c r="N415" s="1"/>
    </row>
    <row r="416" spans="1:14" x14ac:dyDescent="0.25">
      <c r="A416" s="755" t="s">
        <v>65</v>
      </c>
      <c r="B416" s="316" t="s">
        <v>190</v>
      </c>
      <c r="C416" s="266">
        <v>7000000</v>
      </c>
      <c r="D416" s="134"/>
      <c r="E416" s="134"/>
      <c r="F416" s="134"/>
      <c r="G416" s="181">
        <f>6932360</f>
        <v>6932360</v>
      </c>
      <c r="H416" s="134"/>
      <c r="I416" s="134"/>
      <c r="J416" s="6">
        <f t="shared" si="151"/>
        <v>-67640</v>
      </c>
      <c r="K416" s="10"/>
      <c r="L416" s="1"/>
      <c r="M416" s="1"/>
      <c r="N416" s="1"/>
    </row>
    <row r="417" spans="1:14" x14ac:dyDescent="0.25">
      <c r="A417" s="1152" t="s">
        <v>128</v>
      </c>
      <c r="B417" s="1154"/>
      <c r="C417" s="57">
        <f>SUM(C405:C416)</f>
        <v>185000000</v>
      </c>
      <c r="D417" s="273">
        <f>SUM(D405:D413)</f>
        <v>79.108108108108112</v>
      </c>
      <c r="E417" s="134"/>
      <c r="F417" s="134"/>
      <c r="G417" s="13">
        <f>SUM(G405:G416)</f>
        <v>138856910</v>
      </c>
      <c r="H417" s="134"/>
      <c r="I417" s="134"/>
      <c r="J417" s="56">
        <v>0</v>
      </c>
      <c r="K417" s="12"/>
      <c r="L417" s="9"/>
      <c r="M417" s="9"/>
      <c r="N417" s="9"/>
    </row>
    <row r="418" spans="1:14" x14ac:dyDescent="0.25">
      <c r="A418" s="5"/>
      <c r="B418" s="5"/>
      <c r="C418" s="65"/>
      <c r="D418" s="66"/>
      <c r="E418" s="30"/>
      <c r="F418" s="31"/>
      <c r="G418" s="36"/>
      <c r="H418" s="30"/>
      <c r="I418" s="31"/>
      <c r="J418" s="33"/>
      <c r="K418" s="29"/>
      <c r="L418" s="9"/>
      <c r="M418" s="9"/>
      <c r="N418" s="9"/>
    </row>
    <row r="419" spans="1:14" ht="31.5" x14ac:dyDescent="0.25">
      <c r="A419" s="55"/>
      <c r="B419" s="46" t="s">
        <v>145</v>
      </c>
      <c r="C419" s="155"/>
      <c r="D419" s="44"/>
      <c r="E419" s="45"/>
      <c r="F419" s="45"/>
      <c r="G419" s="48"/>
      <c r="H419" s="45"/>
      <c r="I419" s="45"/>
      <c r="J419" s="44"/>
      <c r="K419" s="44"/>
      <c r="L419" s="1"/>
      <c r="M419" s="1"/>
      <c r="N419" s="1"/>
    </row>
    <row r="420" spans="1:14" x14ac:dyDescent="0.25">
      <c r="A420" s="1119" t="s">
        <v>2</v>
      </c>
      <c r="B420" s="1120" t="s">
        <v>171</v>
      </c>
      <c r="C420" s="1119" t="s">
        <v>4</v>
      </c>
      <c r="D420" s="1121" t="s">
        <v>5</v>
      </c>
      <c r="E420" s="1132"/>
      <c r="F420" s="1132"/>
      <c r="G420" s="1122" t="s">
        <v>6</v>
      </c>
      <c r="H420" s="1132"/>
      <c r="I420" s="1132"/>
      <c r="J420" s="1119" t="s">
        <v>7</v>
      </c>
      <c r="K420" s="289" t="s">
        <v>8</v>
      </c>
      <c r="L420" s="1"/>
      <c r="M420" s="1"/>
    </row>
    <row r="421" spans="1:14" x14ac:dyDescent="0.25">
      <c r="A421" s="1119"/>
      <c r="B421" s="1120"/>
      <c r="C421" s="1119"/>
      <c r="D421" s="289" t="s">
        <v>9</v>
      </c>
      <c r="E421" s="308" t="s">
        <v>10</v>
      </c>
      <c r="F421" s="308" t="s">
        <v>11</v>
      </c>
      <c r="G421" s="309" t="s">
        <v>12</v>
      </c>
      <c r="H421" s="308" t="s">
        <v>13</v>
      </c>
      <c r="I421" s="308" t="s">
        <v>11</v>
      </c>
      <c r="J421" s="1123"/>
      <c r="K421" s="115"/>
      <c r="L421" s="1"/>
      <c r="M421" s="1"/>
    </row>
    <row r="422" spans="1:14" x14ac:dyDescent="0.25">
      <c r="A422" s="1119"/>
      <c r="B422" s="1120"/>
      <c r="C422" s="1119"/>
      <c r="D422" s="118" t="s">
        <v>14</v>
      </c>
      <c r="E422" s="119" t="s">
        <v>14</v>
      </c>
      <c r="F422" s="119" t="s">
        <v>14</v>
      </c>
      <c r="G422" s="120" t="s">
        <v>15</v>
      </c>
      <c r="H422" s="119" t="s">
        <v>14</v>
      </c>
      <c r="I422" s="119" t="s">
        <v>14</v>
      </c>
      <c r="J422" s="118" t="s">
        <v>15</v>
      </c>
      <c r="K422" s="118"/>
      <c r="L422" s="1"/>
      <c r="M422" s="1"/>
    </row>
    <row r="423" spans="1:14" x14ac:dyDescent="0.25">
      <c r="A423" s="79" t="s">
        <v>185</v>
      </c>
      <c r="B423" s="199" t="s">
        <v>146</v>
      </c>
      <c r="C423" s="24"/>
      <c r="D423" s="10"/>
      <c r="E423" s="34"/>
      <c r="F423" s="34"/>
      <c r="G423" s="6"/>
      <c r="H423" s="34"/>
      <c r="I423" s="34"/>
      <c r="J423" s="10"/>
      <c r="K423" s="10"/>
      <c r="L423" s="1"/>
      <c r="M423" s="25"/>
    </row>
    <row r="424" spans="1:14" x14ac:dyDescent="0.25">
      <c r="A424" s="125" t="s">
        <v>184</v>
      </c>
      <c r="B424" s="280" t="s">
        <v>147</v>
      </c>
      <c r="C424" s="252">
        <f>SUM(C425:C426)</f>
        <v>5850440000</v>
      </c>
      <c r="D424" s="10"/>
      <c r="E424" s="34"/>
      <c r="F424" s="34"/>
      <c r="G424" s="6"/>
      <c r="H424" s="34"/>
      <c r="I424" s="34"/>
      <c r="J424" s="10"/>
      <c r="K424" s="10"/>
      <c r="L424" s="1"/>
      <c r="M424" s="1"/>
    </row>
    <row r="425" spans="1:14" x14ac:dyDescent="0.25">
      <c r="A425" s="154" t="s">
        <v>413</v>
      </c>
      <c r="B425" s="707" t="s">
        <v>414</v>
      </c>
      <c r="C425" s="253">
        <v>40440000</v>
      </c>
      <c r="D425" s="134" t="e">
        <f>C425/#REF!*100</f>
        <v>#REF!</v>
      </c>
      <c r="E425" s="134"/>
      <c r="F425" s="134"/>
      <c r="G425" s="181">
        <v>0</v>
      </c>
      <c r="H425" s="134"/>
      <c r="I425" s="134"/>
      <c r="J425" s="6">
        <f t="shared" ref="J425:J426" si="152">G425-C425</f>
        <v>-40440000</v>
      </c>
      <c r="K425" s="10"/>
      <c r="L425" s="1"/>
      <c r="M425" s="1"/>
    </row>
    <row r="426" spans="1:14" x14ac:dyDescent="0.25">
      <c r="A426" s="124" t="s">
        <v>148</v>
      </c>
      <c r="B426" s="133" t="s">
        <v>534</v>
      </c>
      <c r="C426" s="256">
        <v>5810000000</v>
      </c>
      <c r="D426" s="134">
        <f>C426/C424*100</f>
        <v>99.308769938671276</v>
      </c>
      <c r="E426" s="134">
        <f t="shared" ref="E426" si="153">G426/C426*100</f>
        <v>83.403098106712577</v>
      </c>
      <c r="F426" s="134">
        <f t="shared" ref="F426" si="154">(D426*E426)/100</f>
        <v>82.826590820519485</v>
      </c>
      <c r="G426" s="181">
        <f>1348650000+3497070000</f>
        <v>4845720000</v>
      </c>
      <c r="H426" s="134">
        <f t="shared" ref="H426" si="155">G426/C426*100</f>
        <v>83.403098106712577</v>
      </c>
      <c r="I426" s="134">
        <f t="shared" ref="I426" si="156">(D426*H426)/100</f>
        <v>82.826590820519485</v>
      </c>
      <c r="J426" s="6">
        <f t="shared" si="152"/>
        <v>-964280000</v>
      </c>
      <c r="K426" s="10"/>
      <c r="L426" s="1"/>
      <c r="M426" s="1"/>
    </row>
    <row r="427" spans="1:14" x14ac:dyDescent="0.25">
      <c r="A427" s="72"/>
      <c r="B427" s="136" t="s">
        <v>154</v>
      </c>
      <c r="C427" s="808">
        <f>SUM(C425:C426)</f>
        <v>5850440000</v>
      </c>
      <c r="D427" s="271" t="e">
        <f>SUM(D425:D426)</f>
        <v>#REF!</v>
      </c>
      <c r="E427" s="134"/>
      <c r="F427" s="134"/>
      <c r="G427" s="181">
        <f>SUM(G425:G426)</f>
        <v>4845720000</v>
      </c>
      <c r="H427" s="134"/>
      <c r="I427" s="134"/>
      <c r="J427" s="56">
        <v>0</v>
      </c>
      <c r="K427" s="130"/>
      <c r="L427" s="1"/>
      <c r="M427" s="1"/>
    </row>
    <row r="428" spans="1:14" x14ac:dyDescent="0.25">
      <c r="A428" s="5"/>
      <c r="B428" s="5"/>
      <c r="C428" s="65"/>
      <c r="D428" s="66"/>
      <c r="E428" s="30"/>
      <c r="F428" s="31"/>
      <c r="G428" s="36"/>
      <c r="H428" s="30"/>
      <c r="I428" s="31"/>
      <c r="J428" s="33"/>
      <c r="K428" s="29"/>
      <c r="L428" s="9"/>
      <c r="M428" s="9"/>
      <c r="N428" s="9"/>
    </row>
    <row r="429" spans="1:14" x14ac:dyDescent="0.25">
      <c r="A429" s="1119" t="s">
        <v>2</v>
      </c>
      <c r="B429" s="1120" t="s">
        <v>171</v>
      </c>
      <c r="C429" s="1119" t="s">
        <v>4</v>
      </c>
      <c r="D429" s="1121" t="s">
        <v>5</v>
      </c>
      <c r="E429" s="1132"/>
      <c r="F429" s="1132"/>
      <c r="G429" s="1122" t="s">
        <v>6</v>
      </c>
      <c r="H429" s="1132"/>
      <c r="I429" s="1132"/>
      <c r="J429" s="1119" t="s">
        <v>7</v>
      </c>
      <c r="K429" s="289" t="s">
        <v>8</v>
      </c>
      <c r="L429" s="1"/>
      <c r="M429" s="1"/>
    </row>
    <row r="430" spans="1:14" x14ac:dyDescent="0.25">
      <c r="A430" s="1119"/>
      <c r="B430" s="1120"/>
      <c r="C430" s="1119"/>
      <c r="D430" s="289" t="s">
        <v>9</v>
      </c>
      <c r="E430" s="308" t="s">
        <v>10</v>
      </c>
      <c r="F430" s="308" t="s">
        <v>11</v>
      </c>
      <c r="G430" s="309" t="s">
        <v>12</v>
      </c>
      <c r="H430" s="308" t="s">
        <v>13</v>
      </c>
      <c r="I430" s="308" t="s">
        <v>11</v>
      </c>
      <c r="J430" s="1123"/>
      <c r="K430" s="115"/>
      <c r="L430" s="1"/>
      <c r="M430" s="1"/>
    </row>
    <row r="431" spans="1:14" x14ac:dyDescent="0.25">
      <c r="A431" s="1119"/>
      <c r="B431" s="1120"/>
      <c r="C431" s="1119"/>
      <c r="D431" s="118" t="s">
        <v>14</v>
      </c>
      <c r="E431" s="119" t="s">
        <v>14</v>
      </c>
      <c r="F431" s="119" t="s">
        <v>14</v>
      </c>
      <c r="G431" s="120" t="s">
        <v>15</v>
      </c>
      <c r="H431" s="119" t="s">
        <v>14</v>
      </c>
      <c r="I431" s="119" t="s">
        <v>14</v>
      </c>
      <c r="J431" s="118" t="s">
        <v>15</v>
      </c>
      <c r="K431" s="118"/>
      <c r="L431" s="1"/>
      <c r="M431" s="1"/>
    </row>
    <row r="432" spans="1:14" x14ac:dyDescent="0.25">
      <c r="A432" s="79" t="s">
        <v>185</v>
      </c>
      <c r="B432" s="199" t="s">
        <v>146</v>
      </c>
      <c r="C432" s="24"/>
      <c r="D432" s="10"/>
      <c r="E432" s="34"/>
      <c r="F432" s="34"/>
      <c r="G432" s="6"/>
      <c r="H432" s="34"/>
      <c r="I432" s="34"/>
      <c r="J432" s="10"/>
      <c r="K432" s="10"/>
      <c r="L432" s="1"/>
      <c r="M432" s="1"/>
    </row>
    <row r="433" spans="1:13" x14ac:dyDescent="0.25">
      <c r="A433" s="125" t="s">
        <v>187</v>
      </c>
      <c r="B433" s="280" t="s">
        <v>164</v>
      </c>
      <c r="C433" s="252">
        <f>SUM(C434:C438)</f>
        <v>3539546088</v>
      </c>
      <c r="D433" s="10"/>
      <c r="E433" s="34"/>
      <c r="F433" s="34"/>
      <c r="G433" s="6"/>
      <c r="H433" s="34"/>
      <c r="I433" s="34"/>
      <c r="J433" s="10"/>
      <c r="K433" s="10"/>
      <c r="L433" s="1"/>
      <c r="M433" s="1"/>
    </row>
    <row r="434" spans="1:13" ht="25.5" x14ac:dyDescent="0.25">
      <c r="A434" s="154" t="s">
        <v>44</v>
      </c>
      <c r="B434" s="707" t="s">
        <v>384</v>
      </c>
      <c r="C434" s="253">
        <v>35255000</v>
      </c>
      <c r="D434" s="134">
        <f>C434/C433*100</f>
        <v>0.99603166969696488</v>
      </c>
      <c r="E434" s="134">
        <f t="shared" ref="E434:E437" si="157">G434/C434*100</f>
        <v>0</v>
      </c>
      <c r="F434" s="134">
        <f t="shared" ref="F434:F437" si="158">(D434*E434)/100</f>
        <v>0</v>
      </c>
      <c r="G434" s="181">
        <v>0</v>
      </c>
      <c r="H434" s="134">
        <f t="shared" ref="H434:H437" si="159">G434/C434*100</f>
        <v>0</v>
      </c>
      <c r="I434" s="134">
        <f t="shared" ref="I434:I437" si="160">(D434*H434)/100</f>
        <v>0</v>
      </c>
      <c r="J434" s="6">
        <f t="shared" ref="J434:J438" si="161">G434-C434</f>
        <v>-35255000</v>
      </c>
      <c r="K434" s="10"/>
      <c r="L434" s="1"/>
      <c r="M434" s="1"/>
    </row>
    <row r="435" spans="1:13" x14ac:dyDescent="0.25">
      <c r="A435" s="154" t="s">
        <v>413</v>
      </c>
      <c r="B435" s="707" t="s">
        <v>414</v>
      </c>
      <c r="C435" s="253">
        <v>385000</v>
      </c>
      <c r="D435" s="134"/>
      <c r="E435" s="134"/>
      <c r="F435" s="134"/>
      <c r="G435" s="181">
        <v>0</v>
      </c>
      <c r="H435" s="134"/>
      <c r="I435" s="134"/>
      <c r="J435" s="6">
        <f t="shared" si="161"/>
        <v>-385000</v>
      </c>
      <c r="K435" s="10"/>
      <c r="L435" s="1"/>
      <c r="M435" s="1"/>
    </row>
    <row r="436" spans="1:13" x14ac:dyDescent="0.25">
      <c r="A436" s="124" t="s">
        <v>148</v>
      </c>
      <c r="B436" s="133" t="s">
        <v>534</v>
      </c>
      <c r="C436" s="256">
        <v>2490000000</v>
      </c>
      <c r="D436" s="134">
        <f>C436/C433*100</f>
        <v>70.348003334149553</v>
      </c>
      <c r="E436" s="134">
        <f t="shared" si="157"/>
        <v>81.609598393574302</v>
      </c>
      <c r="F436" s="134">
        <f t="shared" si="158"/>
        <v>57.410722998897711</v>
      </c>
      <c r="G436" s="181">
        <f>1067209800+964869200</f>
        <v>2032079000</v>
      </c>
      <c r="H436" s="134">
        <f t="shared" si="159"/>
        <v>81.609598393574302</v>
      </c>
      <c r="I436" s="134">
        <f t="shared" si="160"/>
        <v>57.410722998897711</v>
      </c>
      <c r="J436" s="6">
        <f t="shared" si="161"/>
        <v>-457921000</v>
      </c>
      <c r="K436" s="10"/>
    </row>
    <row r="437" spans="1:13" s="84" customFormat="1" ht="25.5" x14ac:dyDescent="0.2">
      <c r="A437" s="124" t="s">
        <v>152</v>
      </c>
      <c r="B437" s="133" t="s">
        <v>166</v>
      </c>
      <c r="C437" s="256">
        <v>996000000</v>
      </c>
      <c r="D437" s="134">
        <f>C437/C433*100</f>
        <v>28.13920133365982</v>
      </c>
      <c r="E437" s="134">
        <f t="shared" si="157"/>
        <v>50</v>
      </c>
      <c r="F437" s="134">
        <f t="shared" si="158"/>
        <v>14.06960066682991</v>
      </c>
      <c r="G437" s="181">
        <f>498000000</f>
        <v>498000000</v>
      </c>
      <c r="H437" s="134">
        <f t="shared" si="159"/>
        <v>50</v>
      </c>
      <c r="I437" s="134">
        <f t="shared" si="160"/>
        <v>14.06960066682991</v>
      </c>
      <c r="J437" s="6">
        <f t="shared" si="161"/>
        <v>-498000000</v>
      </c>
      <c r="K437" s="38"/>
    </row>
    <row r="438" spans="1:13" s="84" customFormat="1" x14ac:dyDescent="0.2">
      <c r="A438" s="825" t="s">
        <v>234</v>
      </c>
      <c r="B438" s="133" t="s">
        <v>522</v>
      </c>
      <c r="C438" s="256">
        <v>17906088</v>
      </c>
      <c r="D438" s="804"/>
      <c r="E438" s="134"/>
      <c r="F438" s="134"/>
      <c r="G438" s="181">
        <f>17906088</f>
        <v>17906088</v>
      </c>
      <c r="H438" s="134"/>
      <c r="I438" s="134"/>
      <c r="J438" s="6">
        <f t="shared" si="161"/>
        <v>0</v>
      </c>
      <c r="K438" s="805"/>
    </row>
    <row r="439" spans="1:13" x14ac:dyDescent="0.25">
      <c r="A439" s="70"/>
      <c r="B439" s="129" t="s">
        <v>95</v>
      </c>
      <c r="C439" s="807">
        <f>SUM(C434:C438)</f>
        <v>3539546088</v>
      </c>
      <c r="D439" s="271">
        <f>SUM(D434:D437)</f>
        <v>99.483236337506327</v>
      </c>
      <c r="E439" s="134"/>
      <c r="F439" s="134"/>
      <c r="G439" s="181">
        <f>SUM(G434:G438)</f>
        <v>2547985088</v>
      </c>
      <c r="H439" s="134"/>
      <c r="I439" s="134"/>
      <c r="J439" s="780"/>
      <c r="K439" s="130"/>
    </row>
    <row r="440" spans="1:13" x14ac:dyDescent="0.25">
      <c r="J440" s="779"/>
    </row>
    <row r="442" spans="1:13" x14ac:dyDescent="0.25">
      <c r="A442" s="50"/>
      <c r="B442" s="5"/>
      <c r="C442" s="50"/>
      <c r="D442" s="29"/>
      <c r="E442" s="30"/>
      <c r="F442" s="31"/>
      <c r="G442" s="36"/>
      <c r="H442" s="32"/>
      <c r="I442" s="31"/>
      <c r="J442" s="36"/>
      <c r="K442" s="37"/>
    </row>
    <row r="443" spans="1:13" x14ac:dyDescent="0.25">
      <c r="A443" s="1"/>
      <c r="B443" s="16" t="s">
        <v>363</v>
      </c>
      <c r="C443" s="61"/>
      <c r="D443" s="1"/>
      <c r="E443" s="1"/>
      <c r="F443" s="1"/>
      <c r="G443" s="1"/>
      <c r="H443" s="1"/>
      <c r="I443" s="18" t="s">
        <v>564</v>
      </c>
      <c r="J443" s="17"/>
      <c r="K443" s="1"/>
    </row>
    <row r="444" spans="1:13" x14ac:dyDescent="0.25">
      <c r="A444" s="1"/>
      <c r="B444" s="19"/>
      <c r="C444" s="62"/>
      <c r="D444" s="1"/>
      <c r="E444" s="1"/>
      <c r="F444" s="1"/>
      <c r="G444" s="1"/>
      <c r="H444" s="1"/>
      <c r="I444" s="63"/>
      <c r="J444" s="16"/>
      <c r="K444" s="1"/>
    </row>
    <row r="445" spans="1:13" x14ac:dyDescent="0.25">
      <c r="A445" s="1"/>
      <c r="B445" s="19"/>
      <c r="C445" s="62"/>
      <c r="D445" s="1"/>
      <c r="E445" s="1"/>
      <c r="F445" s="1"/>
      <c r="G445" s="1"/>
      <c r="H445" s="1"/>
      <c r="I445" s="63"/>
      <c r="J445" s="16"/>
      <c r="K445" s="1"/>
    </row>
    <row r="446" spans="1:13" x14ac:dyDescent="0.25">
      <c r="A446" s="1"/>
      <c r="B446" s="19"/>
      <c r="C446" s="62"/>
      <c r="D446" s="1"/>
      <c r="E446" s="1"/>
      <c r="F446" s="1"/>
      <c r="G446" s="1"/>
      <c r="H446" s="1"/>
      <c r="I446" s="18"/>
      <c r="J446" s="19"/>
      <c r="K446" s="1"/>
    </row>
    <row r="447" spans="1:13" x14ac:dyDescent="0.25">
      <c r="A447" s="1"/>
      <c r="B447" s="75" t="s">
        <v>440</v>
      </c>
      <c r="C447" s="21"/>
      <c r="D447" s="1"/>
      <c r="E447" s="1"/>
      <c r="F447" s="1"/>
      <c r="G447" s="1"/>
      <c r="H447" s="1"/>
      <c r="I447" s="20"/>
      <c r="J447" s="21"/>
      <c r="K447" s="1"/>
    </row>
    <row r="448" spans="1:13" x14ac:dyDescent="0.25">
      <c r="A448" s="1"/>
      <c r="B448" s="739" t="s">
        <v>441</v>
      </c>
      <c r="C448" s="19"/>
      <c r="D448" s="1"/>
      <c r="E448" s="1"/>
      <c r="F448" s="1"/>
      <c r="G448" s="1"/>
      <c r="H448" s="1"/>
      <c r="I448" s="22"/>
      <c r="J448" s="19"/>
      <c r="K448" s="1"/>
    </row>
    <row r="449" spans="1:14" x14ac:dyDescent="0.25">
      <c r="A449" s="5"/>
      <c r="B449" s="5"/>
      <c r="C449" s="65"/>
      <c r="D449" s="66"/>
      <c r="E449" s="30"/>
      <c r="F449" s="31"/>
      <c r="G449" s="36"/>
      <c r="H449" s="30"/>
      <c r="I449" s="31"/>
      <c r="J449" s="33"/>
      <c r="K449" s="29"/>
      <c r="L449" s="9"/>
      <c r="M449" s="9"/>
      <c r="N449" s="9"/>
    </row>
  </sheetData>
  <mergeCells count="149">
    <mergeCell ref="A1:K1"/>
    <mergeCell ref="A2:K2"/>
    <mergeCell ref="A3:K3"/>
    <mergeCell ref="A5:A7"/>
    <mergeCell ref="B5:B7"/>
    <mergeCell ref="C5:C7"/>
    <mergeCell ref="D5:F5"/>
    <mergeCell ref="G5:I5"/>
    <mergeCell ref="J5:J6"/>
    <mergeCell ref="A96:C96"/>
    <mergeCell ref="A98:K98"/>
    <mergeCell ref="A99:K99"/>
    <mergeCell ref="A100:K100"/>
    <mergeCell ref="A101:A103"/>
    <mergeCell ref="B101:B103"/>
    <mergeCell ref="C101:C103"/>
    <mergeCell ref="D101:F101"/>
    <mergeCell ref="G101:I101"/>
    <mergeCell ref="J101:J102"/>
    <mergeCell ref="K132:K134"/>
    <mergeCell ref="A150:B150"/>
    <mergeCell ref="A153:A155"/>
    <mergeCell ref="B153:B155"/>
    <mergeCell ref="C153:C155"/>
    <mergeCell ref="D153:F153"/>
    <mergeCell ref="G153:I153"/>
    <mergeCell ref="J153:J154"/>
    <mergeCell ref="A129:C129"/>
    <mergeCell ref="A132:A134"/>
    <mergeCell ref="B132:B134"/>
    <mergeCell ref="D132:F132"/>
    <mergeCell ref="G132:I132"/>
    <mergeCell ref="J132:J133"/>
    <mergeCell ref="A175:A177"/>
    <mergeCell ref="B175:B177"/>
    <mergeCell ref="C175:C177"/>
    <mergeCell ref="D175:F175"/>
    <mergeCell ref="G175:I175"/>
    <mergeCell ref="J175:J176"/>
    <mergeCell ref="A163:A165"/>
    <mergeCell ref="B163:B165"/>
    <mergeCell ref="C163:C165"/>
    <mergeCell ref="D163:F163"/>
    <mergeCell ref="G163:I163"/>
    <mergeCell ref="J163:J164"/>
    <mergeCell ref="A209:A211"/>
    <mergeCell ref="B209:B211"/>
    <mergeCell ref="C209:C211"/>
    <mergeCell ref="D209:F209"/>
    <mergeCell ref="G209:I209"/>
    <mergeCell ref="J209:J210"/>
    <mergeCell ref="A199:A201"/>
    <mergeCell ref="B199:B201"/>
    <mergeCell ref="C199:C201"/>
    <mergeCell ref="D199:F199"/>
    <mergeCell ref="G199:I199"/>
    <mergeCell ref="J199:J200"/>
    <mergeCell ref="J242:J243"/>
    <mergeCell ref="A251:A253"/>
    <mergeCell ref="B251:B253"/>
    <mergeCell ref="C251:C253"/>
    <mergeCell ref="D251:F251"/>
    <mergeCell ref="G251:I251"/>
    <mergeCell ref="J251:J252"/>
    <mergeCell ref="A222:A224"/>
    <mergeCell ref="B222:B224"/>
    <mergeCell ref="D222:F222"/>
    <mergeCell ref="G222:I222"/>
    <mergeCell ref="J222:J223"/>
    <mergeCell ref="A242:A244"/>
    <mergeCell ref="B242:B244"/>
    <mergeCell ref="C242:C244"/>
    <mergeCell ref="D242:F242"/>
    <mergeCell ref="G242:I242"/>
    <mergeCell ref="A295:A297"/>
    <mergeCell ref="B295:B297"/>
    <mergeCell ref="C295:C297"/>
    <mergeCell ref="D295:F295"/>
    <mergeCell ref="G295:I295"/>
    <mergeCell ref="J295:J296"/>
    <mergeCell ref="K265:K267"/>
    <mergeCell ref="A286:A288"/>
    <mergeCell ref="B286:B288"/>
    <mergeCell ref="C286:C288"/>
    <mergeCell ref="D286:F286"/>
    <mergeCell ref="G286:I286"/>
    <mergeCell ref="J286:J287"/>
    <mergeCell ref="A265:A267"/>
    <mergeCell ref="B265:B267"/>
    <mergeCell ref="C265:C267"/>
    <mergeCell ref="D265:F265"/>
    <mergeCell ref="G265:I265"/>
    <mergeCell ref="J265:J266"/>
    <mergeCell ref="A342:A344"/>
    <mergeCell ref="B342:B344"/>
    <mergeCell ref="C342:C344"/>
    <mergeCell ref="D342:F342"/>
    <mergeCell ref="G342:I342"/>
    <mergeCell ref="J342:J343"/>
    <mergeCell ref="K307:K309"/>
    <mergeCell ref="A333:A335"/>
    <mergeCell ref="B333:B335"/>
    <mergeCell ref="C333:C335"/>
    <mergeCell ref="D333:F333"/>
    <mergeCell ref="G333:I333"/>
    <mergeCell ref="J333:J334"/>
    <mergeCell ref="A307:A309"/>
    <mergeCell ref="B307:B309"/>
    <mergeCell ref="C307:C309"/>
    <mergeCell ref="D307:F307"/>
    <mergeCell ref="G307:I307"/>
    <mergeCell ref="J307:J308"/>
    <mergeCell ref="A379:A381"/>
    <mergeCell ref="B379:B381"/>
    <mergeCell ref="C379:C381"/>
    <mergeCell ref="D379:F379"/>
    <mergeCell ref="G379:I379"/>
    <mergeCell ref="J379:J380"/>
    <mergeCell ref="A355:A357"/>
    <mergeCell ref="B355:B357"/>
    <mergeCell ref="D355:F355"/>
    <mergeCell ref="G355:I355"/>
    <mergeCell ref="J355:J356"/>
    <mergeCell ref="A376:B376"/>
    <mergeCell ref="A400:A402"/>
    <mergeCell ref="B400:B402"/>
    <mergeCell ref="C400:C402"/>
    <mergeCell ref="D400:F400"/>
    <mergeCell ref="G400:I400"/>
    <mergeCell ref="J400:J401"/>
    <mergeCell ref="A388:A390"/>
    <mergeCell ref="B388:B390"/>
    <mergeCell ref="C388:C390"/>
    <mergeCell ref="D388:F388"/>
    <mergeCell ref="G388:I388"/>
    <mergeCell ref="J388:J389"/>
    <mergeCell ref="J420:J421"/>
    <mergeCell ref="A429:A431"/>
    <mergeCell ref="B429:B431"/>
    <mergeCell ref="C429:C431"/>
    <mergeCell ref="D429:F429"/>
    <mergeCell ref="G429:I429"/>
    <mergeCell ref="J429:J430"/>
    <mergeCell ref="A417:B417"/>
    <mergeCell ref="A420:A422"/>
    <mergeCell ref="B420:B422"/>
    <mergeCell ref="C420:C422"/>
    <mergeCell ref="D420:F420"/>
    <mergeCell ref="G420:I4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99"/>
  <sheetViews>
    <sheetView topLeftCell="A217" workbookViewId="0">
      <selection activeCell="C230" sqref="C230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563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911" t="s">
        <v>1</v>
      </c>
      <c r="B4" s="911"/>
      <c r="C4" s="911"/>
      <c r="D4" s="911"/>
      <c r="E4" s="912"/>
      <c r="F4" s="912"/>
      <c r="G4" s="47"/>
      <c r="H4" s="912"/>
      <c r="I4" s="912"/>
      <c r="J4" s="911"/>
      <c r="K4" s="911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C11+C16+C21+C29+C40+C45+C53+C55+C59+C64+C66+C70+C74+C78+C81+C87+C92+C94</f>
        <v>15601085906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>
        <f>1150000</f>
        <v>1150000</v>
      </c>
      <c r="H12" s="161"/>
      <c r="I12" s="161"/>
      <c r="J12" s="6">
        <v>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18.510158013544018</v>
      </c>
      <c r="F13" s="134">
        <f>(D13*E13)/100</f>
        <v>2.7333333333333338</v>
      </c>
      <c r="G13" s="6">
        <f>820000</f>
        <v>820000</v>
      </c>
      <c r="H13" s="134">
        <f>G13/C13*100</f>
        <v>18.510158013544018</v>
      </c>
      <c r="I13" s="134">
        <f>(D13*H13)/100</f>
        <v>2.7333333333333338</v>
      </c>
      <c r="J13" s="6">
        <f t="shared" ref="J13:J15" si="0">G13-C13</f>
        <v>-3610000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f>4320000</f>
        <v>4320000</v>
      </c>
      <c r="H14" s="134"/>
      <c r="I14" s="134"/>
      <c r="J14" s="6">
        <f t="shared" si="0"/>
        <v>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f>20100000</f>
        <v>20100000</v>
      </c>
      <c r="H15" s="134"/>
      <c r="I15" s="134"/>
      <c r="J15" s="6">
        <f t="shared" si="0"/>
        <v>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6470000</v>
      </c>
      <c r="D18" s="200"/>
      <c r="E18" s="134"/>
      <c r="F18" s="134"/>
      <c r="G18" s="6">
        <f>4720000</f>
        <v>4720000</v>
      </c>
      <c r="H18" s="134"/>
      <c r="I18" s="134"/>
      <c r="J18" s="6">
        <f t="shared" si="1"/>
        <v>-1750000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2450000</v>
      </c>
      <c r="D19" s="200"/>
      <c r="E19" s="134"/>
      <c r="F19" s="134"/>
      <c r="G19" s="6">
        <f>1585000</f>
        <v>1585000</v>
      </c>
      <c r="H19" s="134"/>
      <c r="I19" s="134"/>
      <c r="J19" s="6">
        <f t="shared" si="1"/>
        <v>-865000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f>4460000</f>
        <v>4460000</v>
      </c>
      <c r="H20" s="134"/>
      <c r="I20" s="134"/>
      <c r="J20" s="6">
        <f t="shared" si="1"/>
        <v>-4920000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6529000</v>
      </c>
      <c r="D24" s="200">
        <f>C24/C21*100</f>
        <v>13.058</v>
      </c>
      <c r="E24" s="134">
        <f>G24/C24*100</f>
        <v>83.611579108592437</v>
      </c>
      <c r="F24" s="134">
        <f t="shared" ref="F24:F26" si="3">(D24*E24)/100</f>
        <v>10.917999999999999</v>
      </c>
      <c r="G24" s="6">
        <f>5459000</f>
        <v>5459000</v>
      </c>
      <c r="H24" s="134">
        <f t="shared" ref="H24:H26" si="4">G24/C24*100</f>
        <v>83.611579108592437</v>
      </c>
      <c r="I24" s="134">
        <f t="shared" ref="I24:I26" si="5">(D24*H24)/100</f>
        <v>10.917999999999999</v>
      </c>
      <c r="J24" s="6">
        <f t="shared" si="2"/>
        <v>-1070000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99.896491046475518</v>
      </c>
      <c r="F25" s="134">
        <f t="shared" si="3"/>
        <v>19.302</v>
      </c>
      <c r="G25" s="6">
        <f>9651000</f>
        <v>9651000</v>
      </c>
      <c r="H25" s="134">
        <f t="shared" si="4"/>
        <v>99.896491046475518</v>
      </c>
      <c r="I25" s="134">
        <f t="shared" si="5"/>
        <v>19.302</v>
      </c>
      <c r="J25" s="6">
        <f t="shared" si="2"/>
        <v>-10000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11800000</v>
      </c>
      <c r="D26" s="200">
        <f>C26/C21*100</f>
        <v>23.599999999999998</v>
      </c>
      <c r="E26" s="134">
        <f>G26/C26*100</f>
        <v>40</v>
      </c>
      <c r="F26" s="134">
        <f t="shared" si="3"/>
        <v>9.44</v>
      </c>
      <c r="G26" s="6">
        <f>4720000</f>
        <v>4720000</v>
      </c>
      <c r="H26" s="134">
        <f t="shared" si="4"/>
        <v>40</v>
      </c>
      <c r="I26" s="134">
        <f t="shared" si="5"/>
        <v>9.44</v>
      </c>
      <c r="J26" s="6">
        <f t="shared" si="2"/>
        <v>-7080000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f>17851651</f>
        <v>17851651</v>
      </c>
      <c r="H27" s="134"/>
      <c r="I27" s="134"/>
      <c r="J27" s="6">
        <f t="shared" si="2"/>
        <v>-148349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12286248670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4702610725</v>
      </c>
      <c r="D30" s="200">
        <f>C30/C29*100</f>
        <v>38.275399198801992</v>
      </c>
      <c r="E30" s="134">
        <f>G30/C30*100</f>
        <v>83.31026006835809</v>
      </c>
      <c r="F30" s="134">
        <f t="shared" ref="F30:F38" si="6">(D30*E30)/100</f>
        <v>31.887334614724185</v>
      </c>
      <c r="G30" s="6">
        <f>3917757225</f>
        <v>3917757225</v>
      </c>
      <c r="H30" s="134">
        <f>G30/C30*100</f>
        <v>83.31026006835809</v>
      </c>
      <c r="I30" s="134">
        <f t="shared" ref="I30:I38" si="7">(D30*H30)/100</f>
        <v>31.887334614724185</v>
      </c>
      <c r="J30" s="6">
        <f t="shared" ref="J30:J39" si="8">G30-C30</f>
        <v>-784853500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5.7367331472056229</v>
      </c>
      <c r="E31" s="134">
        <f t="shared" ref="E31:E39" si="9">G31/C31*100</f>
        <v>53.452364707312817</v>
      </c>
      <c r="F31" s="134">
        <f t="shared" si="6"/>
        <v>3.0664195241296541</v>
      </c>
      <c r="G31" s="6">
        <f>376747928</f>
        <v>376747928</v>
      </c>
      <c r="H31" s="134">
        <f t="shared" ref="H31:H39" si="10">G31/C31*100</f>
        <v>53.452364707312817</v>
      </c>
      <c r="I31" s="134">
        <f t="shared" si="7"/>
        <v>3.0664195241296541</v>
      </c>
      <c r="J31" s="6">
        <f t="shared" si="8"/>
        <v>-328081372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3.1902919314752891</v>
      </c>
      <c r="E32" s="134">
        <f t="shared" si="9"/>
        <v>68.735343161366572</v>
      </c>
      <c r="F32" s="134">
        <f t="shared" si="6"/>
        <v>2.1928581069489299</v>
      </c>
      <c r="G32" s="6">
        <f>269420000</f>
        <v>269420000</v>
      </c>
      <c r="H32" s="134">
        <f t="shared" si="10"/>
        <v>68.735343161366572</v>
      </c>
      <c r="I32" s="134">
        <f t="shared" si="7"/>
        <v>2.1928581069489299</v>
      </c>
      <c r="J32" s="6">
        <f t="shared" si="8"/>
        <v>-122547200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0.35975179395420787</v>
      </c>
      <c r="E33" s="134">
        <f t="shared" si="9"/>
        <v>34.20814479638009</v>
      </c>
      <c r="F33" s="134">
        <f t="shared" si="6"/>
        <v>0.12306441458343037</v>
      </c>
      <c r="G33" s="6">
        <f>15120000</f>
        <v>15120000</v>
      </c>
      <c r="H33" s="134">
        <f t="shared" si="10"/>
        <v>34.20814479638009</v>
      </c>
      <c r="I33" s="134">
        <f t="shared" si="7"/>
        <v>0.12306441458343037</v>
      </c>
      <c r="J33" s="6">
        <f t="shared" si="8"/>
        <v>-29080000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128857800</v>
      </c>
      <c r="D34" s="200">
        <f>C34/C29*100</f>
        <v>1.0487969392532244</v>
      </c>
      <c r="E34" s="134">
        <f t="shared" si="9"/>
        <v>77.608805986133561</v>
      </c>
      <c r="F34" s="134">
        <f t="shared" si="6"/>
        <v>0.81395878177354186</v>
      </c>
      <c r="G34" s="6">
        <f>100005000</f>
        <v>100005000</v>
      </c>
      <c r="H34" s="134">
        <f>G34/C34*100</f>
        <v>77.608805986133561</v>
      </c>
      <c r="I34" s="134">
        <f t="shared" si="7"/>
        <v>0.81395878177354186</v>
      </c>
      <c r="J34" s="6">
        <f t="shared" si="8"/>
        <v>-28852800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288747600</v>
      </c>
      <c r="D35" s="200">
        <f>C35/C29*100</f>
        <v>2.3501689389133942</v>
      </c>
      <c r="E35" s="134">
        <f t="shared" si="9"/>
        <v>82.139210854046922</v>
      </c>
      <c r="F35" s="134">
        <f t="shared" si="6"/>
        <v>1.9304102201603899</v>
      </c>
      <c r="G35" s="6">
        <f>237175000</f>
        <v>237175000</v>
      </c>
      <c r="H35" s="134">
        <f t="shared" si="10"/>
        <v>82.139210854046922</v>
      </c>
      <c r="I35" s="134">
        <f t="shared" si="7"/>
        <v>1.9304102201603899</v>
      </c>
      <c r="J35" s="6">
        <f t="shared" si="8"/>
        <v>-51572600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25000000</v>
      </c>
      <c r="D36" s="200">
        <f>C36/C29*100</f>
        <v>0.2034795214673121</v>
      </c>
      <c r="E36" s="134">
        <f t="shared" si="9"/>
        <v>27.501376</v>
      </c>
      <c r="F36" s="134">
        <f t="shared" si="6"/>
        <v>5.5959668281726216E-2</v>
      </c>
      <c r="G36" s="6">
        <f>6875344</f>
        <v>6875344</v>
      </c>
      <c r="H36" s="134">
        <f t="shared" si="10"/>
        <v>27.501376</v>
      </c>
      <c r="I36" s="134">
        <f t="shared" si="7"/>
        <v>5.5959668281726216E-2</v>
      </c>
      <c r="J36" s="6">
        <f t="shared" si="8"/>
        <v>-18124656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4.6686341405460094E-3</v>
      </c>
      <c r="E37" s="134">
        <f>G37/C37*100</f>
        <v>8.948221757322175</v>
      </c>
      <c r="F37" s="134">
        <f t="shared" si="6"/>
        <v>4.1775973593410914E-4</v>
      </c>
      <c r="G37" s="6">
        <f>51327</f>
        <v>51327</v>
      </c>
      <c r="H37" s="134">
        <f>G37/C37*100</f>
        <v>8.948221757322175</v>
      </c>
      <c r="I37" s="134">
        <f t="shared" si="7"/>
        <v>4.1775973593410914E-4</v>
      </c>
      <c r="J37" s="6">
        <f t="shared" si="8"/>
        <v>-522273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5698212114</v>
      </c>
      <c r="D38" s="200">
        <f>C38/C29*100</f>
        <v>46.378778967038443</v>
      </c>
      <c r="E38" s="134">
        <f t="shared" si="9"/>
        <v>74.832441820188805</v>
      </c>
      <c r="F38" s="134">
        <f t="shared" si="6"/>
        <v>34.706372787423007</v>
      </c>
      <c r="G38" s="6">
        <f>4264111265</f>
        <v>4264111265</v>
      </c>
      <c r="H38" s="134">
        <f t="shared" si="10"/>
        <v>74.832441820188805</v>
      </c>
      <c r="I38" s="134">
        <f t="shared" si="7"/>
        <v>34.706372787423007</v>
      </c>
      <c r="J38" s="6">
        <f t="shared" si="8"/>
        <v>-1434100849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301250331</v>
      </c>
      <c r="D39" s="200"/>
      <c r="E39" s="134">
        <f t="shared" si="9"/>
        <v>74.132261783307385</v>
      </c>
      <c r="F39" s="134"/>
      <c r="G39" s="6">
        <f>223323684</f>
        <v>223323684</v>
      </c>
      <c r="H39" s="134">
        <f t="shared" si="10"/>
        <v>74.132261783307385</v>
      </c>
      <c r="I39" s="134"/>
      <c r="J39" s="6">
        <f t="shared" si="8"/>
        <v>-77926647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1901284136</v>
      </c>
      <c r="D40" s="241"/>
      <c r="E40" s="242"/>
      <c r="F40" s="242"/>
      <c r="G40" s="791">
        <v>0</v>
      </c>
      <c r="H40" s="242"/>
      <c r="I40" s="242"/>
      <c r="J40" s="791">
        <v>0</v>
      </c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1750199998</v>
      </c>
      <c r="D41" s="200">
        <f>C41/C40*100</f>
        <v>92.053573943037421</v>
      </c>
      <c r="E41" s="134">
        <f>G41/C41*100</f>
        <v>83.589018493416773</v>
      </c>
      <c r="F41" s="134">
        <f t="shared" ref="F41:F44" si="11">(D41*E41)/100</f>
        <v>76.946678947096629</v>
      </c>
      <c r="G41" s="6">
        <f>1462975000</f>
        <v>1462975000</v>
      </c>
      <c r="H41" s="134">
        <f t="shared" ref="H41:H44" si="12">G41/C41*100</f>
        <v>83.589018493416773</v>
      </c>
      <c r="I41" s="134">
        <f t="shared" ref="I41:I44" si="13">(D41*H41)/100</f>
        <v>76.946678947096629</v>
      </c>
      <c r="J41" s="6">
        <f t="shared" ref="J41:J44" si="14">G41-C41</f>
        <v>-287224998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133803946</v>
      </c>
      <c r="D42" s="200">
        <f>C42/C40*100</f>
        <v>7.0375565369993707</v>
      </c>
      <c r="E42" s="134">
        <f t="shared" ref="E42:E44" si="15">G42/C42*100</f>
        <v>71.646626176480623</v>
      </c>
      <c r="F42" s="134">
        <f t="shared" si="11"/>
        <v>5.0421718240224145</v>
      </c>
      <c r="G42" s="6">
        <f>95866013</f>
        <v>95866013</v>
      </c>
      <c r="H42" s="134">
        <f t="shared" si="12"/>
        <v>71.646626176480623</v>
      </c>
      <c r="I42" s="134">
        <f t="shared" si="13"/>
        <v>5.0421718240224145</v>
      </c>
      <c r="J42" s="6">
        <f t="shared" si="14"/>
        <v>-37937933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7310887</v>
      </c>
      <c r="D43" s="200">
        <f>C43/C40*100</f>
        <v>0.38452364176250614</v>
      </c>
      <c r="E43" s="134">
        <f t="shared" si="15"/>
        <v>40.00000273564617</v>
      </c>
      <c r="F43" s="134">
        <f t="shared" si="11"/>
        <v>0.15380946722420874</v>
      </c>
      <c r="G43" s="6">
        <f>2924355</f>
        <v>2924355</v>
      </c>
      <c r="H43" s="134">
        <f t="shared" si="12"/>
        <v>40.00000273564617</v>
      </c>
      <c r="I43" s="134">
        <f t="shared" si="13"/>
        <v>0.15380946722420874</v>
      </c>
      <c r="J43" s="6">
        <f t="shared" si="14"/>
        <v>-4386532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9969305</v>
      </c>
      <c r="D44" s="200">
        <f>C44/C40*100</f>
        <v>0.52434587820071099</v>
      </c>
      <c r="E44" s="134">
        <f t="shared" si="15"/>
        <v>36.667099662413776</v>
      </c>
      <c r="F44" s="134">
        <f t="shared" si="11"/>
        <v>0.19226242573561345</v>
      </c>
      <c r="G44" s="6">
        <f>3655455</f>
        <v>3655455</v>
      </c>
      <c r="H44" s="134">
        <f t="shared" si="12"/>
        <v>36.667099662413776</v>
      </c>
      <c r="I44" s="134">
        <f t="shared" si="13"/>
        <v>0.19226242573561345</v>
      </c>
      <c r="J44" s="6">
        <f t="shared" si="14"/>
        <v>-6313850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48470000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</v>
      </c>
      <c r="D47" s="741"/>
      <c r="E47" s="742"/>
      <c r="F47" s="742"/>
      <c r="G47" s="6">
        <v>0</v>
      </c>
      <c r="H47" s="742"/>
      <c r="I47" s="742"/>
      <c r="J47" s="6">
        <f t="shared" si="16"/>
        <v>-170000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9525400</v>
      </c>
      <c r="D48" s="200">
        <f>C48/C45*100</f>
        <v>19.652155972766661</v>
      </c>
      <c r="E48" s="134">
        <f t="shared" ref="E48:E50" si="17">G48/C48*100</f>
        <v>58.765773615806161</v>
      </c>
      <c r="F48" s="134">
        <f t="shared" ref="F48:F50" si="18">(D48*E48)/100</f>
        <v>11.548741489581184</v>
      </c>
      <c r="G48" s="6">
        <f>4851675+746000</f>
        <v>5597675</v>
      </c>
      <c r="H48" s="134">
        <f t="shared" ref="H48:H50" si="19">G48/C48*100</f>
        <v>58.765773615806161</v>
      </c>
      <c r="I48" s="134">
        <f t="shared" ref="I48:I50" si="20">(D48*H48)/100</f>
        <v>11.548741489581184</v>
      </c>
      <c r="J48" s="6">
        <f t="shared" si="16"/>
        <v>-3927725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8.5095935630286785</v>
      </c>
      <c r="E49" s="134">
        <f t="shared" si="17"/>
        <v>100</v>
      </c>
      <c r="F49" s="134">
        <f t="shared" si="18"/>
        <v>8.5095935630286785</v>
      </c>
      <c r="G49" s="6">
        <f>1749000+2375600</f>
        <v>4124600</v>
      </c>
      <c r="H49" s="134">
        <f t="shared" si="19"/>
        <v>100</v>
      </c>
      <c r="I49" s="134">
        <f t="shared" si="20"/>
        <v>8.5095935630286785</v>
      </c>
      <c r="J49" s="6">
        <f t="shared" si="16"/>
        <v>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12240000</v>
      </c>
      <c r="D50" s="200">
        <f>C50/C45*100</f>
        <v>25.252733649680216</v>
      </c>
      <c r="E50" s="134">
        <f t="shared" si="17"/>
        <v>100</v>
      </c>
      <c r="F50" s="134">
        <f t="shared" si="18"/>
        <v>25.252733649680216</v>
      </c>
      <c r="G50" s="6">
        <f>12240000</f>
        <v>12240000</v>
      </c>
      <c r="H50" s="134">
        <f t="shared" si="19"/>
        <v>100</v>
      </c>
      <c r="I50" s="134">
        <f t="shared" si="20"/>
        <v>25.252733649680216</v>
      </c>
      <c r="J50" s="6">
        <f t="shared" si="16"/>
        <v>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f>19950000</f>
        <v>19950000</v>
      </c>
      <c r="H51" s="134"/>
      <c r="I51" s="134"/>
      <c r="J51" s="6">
        <f t="shared" si="16"/>
        <v>-150000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73.787704522687633</v>
      </c>
      <c r="F54" s="134">
        <f t="shared" ref="F54:F57" si="21">(D54*E54)/100</f>
        <v>73.787704522687633</v>
      </c>
      <c r="G54" s="6">
        <f>6016500+3927500</f>
        <v>9944000</v>
      </c>
      <c r="H54" s="134">
        <f>G54/C54*100</f>
        <v>73.787704522687633</v>
      </c>
      <c r="I54" s="134">
        <f>(D54*H54)/100</f>
        <v>73.787704522687633</v>
      </c>
      <c r="J54" s="6">
        <f>G54-C54</f>
        <v>-3532500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SUM(C56:C58)</f>
        <v>16708000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1.0174766578884367</v>
      </c>
      <c r="E56" s="134">
        <f t="shared" ref="E56:E57" si="22">G56/C56*100</f>
        <v>0</v>
      </c>
      <c r="F56" s="134">
        <f t="shared" si="21"/>
        <v>0</v>
      </c>
      <c r="G56" s="6">
        <v>0</v>
      </c>
      <c r="H56" s="134">
        <f t="shared" ref="H56:H59" si="23">G56/C56*100</f>
        <v>0</v>
      </c>
      <c r="I56" s="134">
        <f t="shared" ref="I56:I57" si="24">(D56*H56)/100</f>
        <v>0</v>
      </c>
      <c r="J56" s="6">
        <f t="shared" ref="J56:J57" si="25">G56-C56</f>
        <v>-170000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6803000</v>
      </c>
      <c r="D57" s="200">
        <f>C57/C55*100</f>
        <v>40.717021785970793</v>
      </c>
      <c r="E57" s="134">
        <f t="shared" si="22"/>
        <v>67.374687637806858</v>
      </c>
      <c r="F57" s="134">
        <f t="shared" si="21"/>
        <v>27.43296624371559</v>
      </c>
      <c r="G57" s="6">
        <f>4583500</f>
        <v>4583500</v>
      </c>
      <c r="H57" s="134">
        <f t="shared" si="23"/>
        <v>67.374687637806858</v>
      </c>
      <c r="I57" s="134">
        <f t="shared" si="24"/>
        <v>27.43296624371559</v>
      </c>
      <c r="J57" s="6">
        <f t="shared" si="25"/>
        <v>-2219500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49" t="s">
        <v>565</v>
      </c>
      <c r="B58" s="707" t="s">
        <v>178</v>
      </c>
      <c r="C58" s="56">
        <v>9735000</v>
      </c>
      <c r="D58" s="200"/>
      <c r="E58" s="134"/>
      <c r="F58" s="134"/>
      <c r="G58" s="6"/>
      <c r="H58" s="134"/>
      <c r="I58" s="134"/>
      <c r="J58" s="6"/>
      <c r="K58" s="163"/>
      <c r="L58" s="4"/>
      <c r="M58" s="4"/>
      <c r="N58" s="4"/>
      <c r="O58" s="4"/>
      <c r="P58" s="4"/>
      <c r="Q58" s="4"/>
      <c r="R58" s="9"/>
    </row>
    <row r="59" spans="1:18" x14ac:dyDescent="0.25">
      <c r="A59" s="238" t="s">
        <v>503</v>
      </c>
      <c r="B59" s="238" t="s">
        <v>61</v>
      </c>
      <c r="C59" s="239">
        <f>SUM(C60:C63)</f>
        <v>62599600</v>
      </c>
      <c r="D59" s="241"/>
      <c r="E59" s="242"/>
      <c r="F59" s="242"/>
      <c r="G59" s="791">
        <v>0</v>
      </c>
      <c r="H59" s="242">
        <f t="shared" si="23"/>
        <v>0</v>
      </c>
      <c r="I59" s="242"/>
      <c r="J59" s="791">
        <v>0</v>
      </c>
      <c r="K59" s="237"/>
      <c r="L59" s="4"/>
      <c r="M59" s="4"/>
      <c r="N59" s="4"/>
      <c r="O59" s="4"/>
      <c r="P59" s="4"/>
      <c r="Q59" s="4"/>
      <c r="R59" s="9"/>
    </row>
    <row r="60" spans="1:18" ht="22.5" customHeight="1" x14ac:dyDescent="0.25">
      <c r="A60" s="49" t="s">
        <v>450</v>
      </c>
      <c r="B60" s="707" t="s">
        <v>384</v>
      </c>
      <c r="C60" s="56">
        <v>3090000</v>
      </c>
      <c r="D60" s="200">
        <f>C60/C59*100</f>
        <v>4.9361337772126337</v>
      </c>
      <c r="E60" s="134">
        <f>G60/C60*100</f>
        <v>100</v>
      </c>
      <c r="F60" s="134">
        <f t="shared" ref="F60:F72" si="26">(D60*E60)/100</f>
        <v>4.9361337772126337</v>
      </c>
      <c r="G60" s="6">
        <f>3090000</f>
        <v>3090000</v>
      </c>
      <c r="H60" s="134">
        <f>G60/C60*100</f>
        <v>100</v>
      </c>
      <c r="I60" s="134">
        <f>(D60*H60)/100</f>
        <v>4.9361337772126337</v>
      </c>
      <c r="J60" s="6">
        <f t="shared" ref="J60:J63" si="27">G60-C60</f>
        <v>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448</v>
      </c>
      <c r="B61" s="707" t="s">
        <v>445</v>
      </c>
      <c r="C61" s="56">
        <v>1700000</v>
      </c>
      <c r="D61" s="200"/>
      <c r="E61" s="134"/>
      <c r="F61" s="134"/>
      <c r="G61" s="6">
        <v>0</v>
      </c>
      <c r="H61" s="134"/>
      <c r="I61" s="134"/>
      <c r="J61" s="6">
        <f t="shared" si="27"/>
        <v>-1700000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415</v>
      </c>
      <c r="B62" s="707" t="s">
        <v>197</v>
      </c>
      <c r="C62" s="56">
        <v>8463000</v>
      </c>
      <c r="D62" s="200"/>
      <c r="E62" s="134"/>
      <c r="F62" s="134"/>
      <c r="G62" s="6">
        <f>7664500+302500</f>
        <v>7967000</v>
      </c>
      <c r="H62" s="134"/>
      <c r="I62" s="134"/>
      <c r="J62" s="6">
        <f t="shared" si="27"/>
        <v>-496000</v>
      </c>
      <c r="K62" s="163"/>
      <c r="L62" s="4"/>
      <c r="M62" s="4"/>
      <c r="N62" s="4"/>
      <c r="O62" s="4"/>
      <c r="P62" s="4"/>
      <c r="Q62" s="4"/>
      <c r="R62" s="9"/>
    </row>
    <row r="63" spans="1:18" x14ac:dyDescent="0.25">
      <c r="A63" s="49" t="s">
        <v>413</v>
      </c>
      <c r="B63" s="707" t="s">
        <v>334</v>
      </c>
      <c r="C63" s="56">
        <v>49346600</v>
      </c>
      <c r="D63" s="200"/>
      <c r="E63" s="134"/>
      <c r="F63" s="134"/>
      <c r="G63" s="6">
        <f>32587000+16650000</f>
        <v>49237000</v>
      </c>
      <c r="H63" s="134"/>
      <c r="I63" s="134"/>
      <c r="J63" s="6">
        <f t="shared" si="27"/>
        <v>-109600</v>
      </c>
      <c r="K63" s="163"/>
      <c r="L63" s="4"/>
      <c r="M63" s="4"/>
      <c r="N63" s="4"/>
      <c r="O63" s="4"/>
      <c r="P63" s="4"/>
      <c r="Q63" s="4"/>
      <c r="R63" s="9"/>
    </row>
    <row r="64" spans="1:18" s="796" customFormat="1" x14ac:dyDescent="0.25">
      <c r="A64" s="799" t="s">
        <v>468</v>
      </c>
      <c r="B64" s="736" t="s">
        <v>467</v>
      </c>
      <c r="C64" s="800">
        <v>3000000</v>
      </c>
      <c r="D64" s="789"/>
      <c r="E64" s="790"/>
      <c r="F64" s="790"/>
      <c r="G64" s="791">
        <v>0</v>
      </c>
      <c r="H64" s="790"/>
      <c r="I64" s="790"/>
      <c r="J64" s="791">
        <v>0</v>
      </c>
      <c r="K64" s="793"/>
      <c r="L64" s="794"/>
      <c r="M64" s="794"/>
      <c r="N64" s="794"/>
      <c r="O64" s="794"/>
      <c r="P64" s="794"/>
      <c r="Q64" s="794"/>
      <c r="R64" s="795"/>
    </row>
    <row r="65" spans="1:18" x14ac:dyDescent="0.25">
      <c r="A65" s="49" t="s">
        <v>413</v>
      </c>
      <c r="B65" s="707" t="s">
        <v>334</v>
      </c>
      <c r="C65" s="56">
        <v>3000000</v>
      </c>
      <c r="D65" s="200"/>
      <c r="E65" s="134"/>
      <c r="F65" s="134"/>
      <c r="G65" s="6">
        <v>0</v>
      </c>
      <c r="H65" s="134"/>
      <c r="I65" s="134"/>
      <c r="J65" s="6">
        <f>G65-C65</f>
        <v>-3000000</v>
      </c>
      <c r="K65" s="163"/>
      <c r="L65" s="4"/>
      <c r="M65" s="4"/>
      <c r="N65" s="4"/>
      <c r="O65" s="4"/>
      <c r="P65" s="4"/>
      <c r="Q65" s="4"/>
      <c r="R65" s="9"/>
    </row>
    <row r="66" spans="1:18" s="796" customFormat="1" x14ac:dyDescent="0.25">
      <c r="A66" s="799" t="s">
        <v>469</v>
      </c>
      <c r="B66" s="736" t="s">
        <v>470</v>
      </c>
      <c r="C66" s="800">
        <f>SUM(C67:C69)</f>
        <v>12000000</v>
      </c>
      <c r="D66" s="789"/>
      <c r="E66" s="790"/>
      <c r="F66" s="790"/>
      <c r="G66" s="791">
        <v>0</v>
      </c>
      <c r="H66" s="790"/>
      <c r="I66" s="790"/>
      <c r="J66" s="791">
        <v>0</v>
      </c>
      <c r="K66" s="793"/>
      <c r="L66" s="794"/>
      <c r="M66" s="794"/>
      <c r="N66" s="794"/>
      <c r="O66" s="794"/>
      <c r="P66" s="794"/>
      <c r="Q66" s="794"/>
      <c r="R66" s="795"/>
    </row>
    <row r="67" spans="1:18" x14ac:dyDescent="0.25">
      <c r="A67" s="49" t="s">
        <v>448</v>
      </c>
      <c r="B67" s="707" t="s">
        <v>445</v>
      </c>
      <c r="C67" s="56">
        <v>170000</v>
      </c>
      <c r="D67" s="200"/>
      <c r="E67" s="134"/>
      <c r="F67" s="134"/>
      <c r="G67" s="6">
        <v>0</v>
      </c>
      <c r="H67" s="134"/>
      <c r="I67" s="134"/>
      <c r="J67" s="6">
        <f t="shared" ref="J67:J69" si="28">G67-C67</f>
        <v>-170000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413</v>
      </c>
      <c r="B68" s="707" t="s">
        <v>334</v>
      </c>
      <c r="C68" s="56">
        <v>820000</v>
      </c>
      <c r="D68" s="200"/>
      <c r="E68" s="134"/>
      <c r="F68" s="134"/>
      <c r="G68" s="6">
        <v>0</v>
      </c>
      <c r="H68" s="134"/>
      <c r="I68" s="134"/>
      <c r="J68" s="6">
        <f t="shared" si="28"/>
        <v>-820000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49" t="s">
        <v>391</v>
      </c>
      <c r="B69" s="218" t="s">
        <v>198</v>
      </c>
      <c r="C69" s="56">
        <v>11010000</v>
      </c>
      <c r="D69" s="200"/>
      <c r="E69" s="134"/>
      <c r="F69" s="134"/>
      <c r="G69" s="6">
        <f>346600</f>
        <v>346600</v>
      </c>
      <c r="H69" s="134"/>
      <c r="I69" s="134"/>
      <c r="J69" s="6">
        <f t="shared" si="28"/>
        <v>-10663400</v>
      </c>
      <c r="K69" s="163"/>
      <c r="L69" s="4"/>
      <c r="M69" s="4"/>
      <c r="N69" s="4"/>
      <c r="O69" s="4"/>
      <c r="P69" s="4"/>
      <c r="Q69" s="4"/>
      <c r="R69" s="9"/>
    </row>
    <row r="70" spans="1:18" x14ac:dyDescent="0.25">
      <c r="A70" s="238" t="s">
        <v>504</v>
      </c>
      <c r="B70" s="238" t="s">
        <v>64</v>
      </c>
      <c r="C70" s="239">
        <f>SUM(C71:C72)</f>
        <v>408714000</v>
      </c>
      <c r="D70" s="241"/>
      <c r="E70" s="242"/>
      <c r="F70" s="242"/>
      <c r="G70" s="791">
        <v>0</v>
      </c>
      <c r="H70" s="242"/>
      <c r="I70" s="242"/>
      <c r="J70" s="791">
        <v>0</v>
      </c>
      <c r="K70" s="237"/>
      <c r="L70" s="4"/>
      <c r="M70" s="4"/>
      <c r="N70" s="4"/>
      <c r="O70" s="4"/>
      <c r="P70" s="4"/>
      <c r="Q70" s="4"/>
      <c r="R70" s="9"/>
    </row>
    <row r="71" spans="1:18" ht="21" customHeight="1" x14ac:dyDescent="0.25">
      <c r="A71" s="49" t="s">
        <v>450</v>
      </c>
      <c r="B71" s="707" t="s">
        <v>384</v>
      </c>
      <c r="C71" s="56">
        <v>10320000</v>
      </c>
      <c r="D71" s="200">
        <f>C71/C70*100</f>
        <v>2.5249930269087919</v>
      </c>
      <c r="E71" s="134">
        <f t="shared" ref="E71:E72" si="29">G71/C71*100</f>
        <v>33.720930232558139</v>
      </c>
      <c r="F71" s="134">
        <f t="shared" si="26"/>
        <v>0.85145113698087171</v>
      </c>
      <c r="G71" s="6">
        <f>3480000</f>
        <v>3480000</v>
      </c>
      <c r="H71" s="134">
        <f t="shared" ref="H71:H72" si="30">G71/C71*100</f>
        <v>33.720930232558139</v>
      </c>
      <c r="I71" s="134">
        <f t="shared" ref="I71:I72" si="31">(D71*H71)/100</f>
        <v>0.85145113698087171</v>
      </c>
      <c r="J71" s="6">
        <f t="shared" ref="J71:J72" si="32">G71-C71</f>
        <v>-6840000</v>
      </c>
      <c r="K71" s="163"/>
      <c r="L71" s="4"/>
      <c r="M71" s="4"/>
      <c r="N71" s="4"/>
      <c r="O71" s="4"/>
      <c r="P71" s="4"/>
      <c r="Q71" s="4"/>
      <c r="R71" s="9"/>
    </row>
    <row r="72" spans="1:18" ht="15.75" thickBot="1" x14ac:dyDescent="0.3">
      <c r="A72" s="217" t="s">
        <v>449</v>
      </c>
      <c r="B72" s="78" t="s">
        <v>23</v>
      </c>
      <c r="C72" s="219">
        <v>398394000</v>
      </c>
      <c r="D72" s="200">
        <f>C72/C70*100</f>
        <v>97.475006973091212</v>
      </c>
      <c r="E72" s="134">
        <f t="shared" si="29"/>
        <v>35.874046044870155</v>
      </c>
      <c r="F72" s="134">
        <f t="shared" si="26"/>
        <v>34.968228883767139</v>
      </c>
      <c r="G72" s="6">
        <f>86169136+56750911</f>
        <v>142920047</v>
      </c>
      <c r="H72" s="134">
        <f t="shared" si="30"/>
        <v>35.874046044870155</v>
      </c>
      <c r="I72" s="134">
        <f t="shared" si="31"/>
        <v>34.968228883767139</v>
      </c>
      <c r="J72" s="6">
        <f t="shared" si="32"/>
        <v>-255473953</v>
      </c>
      <c r="K72" s="163"/>
      <c r="L72" s="4"/>
      <c r="M72" s="4"/>
      <c r="N72" s="4"/>
      <c r="O72" s="694"/>
      <c r="P72" s="4"/>
      <c r="Q72" s="4"/>
      <c r="R72" s="9"/>
    </row>
    <row r="73" spans="1:18" ht="15.75" thickBot="1" x14ac:dyDescent="0.3">
      <c r="A73" s="689" t="s">
        <v>248</v>
      </c>
      <c r="B73" s="708" t="s">
        <v>68</v>
      </c>
      <c r="C73" s="690"/>
      <c r="D73" s="216"/>
      <c r="E73" s="134"/>
      <c r="F73" s="134"/>
      <c r="G73" s="6">
        <v>0</v>
      </c>
      <c r="H73" s="134"/>
      <c r="I73" s="134"/>
      <c r="J73" s="6">
        <v>0</v>
      </c>
      <c r="K73" s="163"/>
      <c r="L73" s="4"/>
      <c r="M73" s="4"/>
      <c r="N73" s="4"/>
      <c r="O73" s="4"/>
      <c r="P73" s="4"/>
      <c r="Q73" s="4"/>
      <c r="R73" s="9"/>
    </row>
    <row r="74" spans="1:18" x14ac:dyDescent="0.25">
      <c r="A74" s="233" t="s">
        <v>249</v>
      </c>
      <c r="B74" s="696" t="s">
        <v>387</v>
      </c>
      <c r="C74" s="234">
        <f>SUM(C75:C77)</f>
        <v>237367500</v>
      </c>
      <c r="D74" s="241"/>
      <c r="E74" s="242"/>
      <c r="F74" s="242"/>
      <c r="G74" s="791">
        <v>0</v>
      </c>
      <c r="H74" s="242"/>
      <c r="I74" s="242"/>
      <c r="J74" s="791">
        <v>0</v>
      </c>
      <c r="K74" s="237"/>
      <c r="L74" s="4"/>
      <c r="M74" s="4"/>
      <c r="N74" s="4"/>
      <c r="O74" s="713"/>
      <c r="P74" s="4"/>
      <c r="Q74" s="4"/>
      <c r="R74" s="9"/>
    </row>
    <row r="75" spans="1:18" x14ac:dyDescent="0.25">
      <c r="A75" s="49" t="s">
        <v>471</v>
      </c>
      <c r="B75" s="78" t="s">
        <v>388</v>
      </c>
      <c r="C75" s="56">
        <v>54000000</v>
      </c>
      <c r="D75" s="200">
        <f>C75/C74*100</f>
        <v>22.749533950519762</v>
      </c>
      <c r="E75" s="134">
        <f t="shared" ref="E75:E77" si="33">G75/C75*100</f>
        <v>66.119394444444453</v>
      </c>
      <c r="F75" s="134">
        <f t="shared" ref="F75:F77" si="34">(D75*E75)/100</f>
        <v>15.041854087016969</v>
      </c>
      <c r="G75" s="6">
        <f>35704473</f>
        <v>35704473</v>
      </c>
      <c r="H75" s="134">
        <f t="shared" ref="H75:H79" si="35">G75/C75*100</f>
        <v>66.119394444444453</v>
      </c>
      <c r="I75" s="134">
        <f t="shared" ref="I75:I77" si="36">(D75*H75)/100</f>
        <v>15.041854087016969</v>
      </c>
      <c r="J75" s="6">
        <f t="shared" ref="J75:J77" si="37">G75-C75</f>
        <v>-18295527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472</v>
      </c>
      <c r="B76" s="78" t="s">
        <v>73</v>
      </c>
      <c r="C76" s="56">
        <v>39000000</v>
      </c>
      <c r="D76" s="200">
        <f>C76/C74*100</f>
        <v>16.430218964264274</v>
      </c>
      <c r="E76" s="134">
        <f t="shared" si="33"/>
        <v>56.674510256410258</v>
      </c>
      <c r="F76" s="134">
        <f t="shared" si="34"/>
        <v>9.3117461320526189</v>
      </c>
      <c r="G76" s="6">
        <f>21229769+873290</f>
        <v>22103059</v>
      </c>
      <c r="H76" s="134">
        <f t="shared" si="35"/>
        <v>56.674510256410258</v>
      </c>
      <c r="I76" s="134">
        <f t="shared" si="36"/>
        <v>9.3117461320526189</v>
      </c>
      <c r="J76" s="6">
        <f t="shared" si="37"/>
        <v>-16896941</v>
      </c>
      <c r="K76" s="163"/>
      <c r="L76" s="4"/>
      <c r="M76" s="730"/>
      <c r="N76" s="4"/>
      <c r="O76" s="4"/>
      <c r="P76" s="4"/>
      <c r="Q76" s="4"/>
      <c r="R76" s="9"/>
    </row>
    <row r="77" spans="1:18" x14ac:dyDescent="0.25">
      <c r="A77" s="49" t="s">
        <v>473</v>
      </c>
      <c r="B77" s="78" t="s">
        <v>75</v>
      </c>
      <c r="C77" s="56">
        <v>144367500</v>
      </c>
      <c r="D77" s="200">
        <f>C77/C74*100</f>
        <v>60.820247085215961</v>
      </c>
      <c r="E77" s="134">
        <f t="shared" si="33"/>
        <v>89.461447347914174</v>
      </c>
      <c r="F77" s="134">
        <f t="shared" si="34"/>
        <v>54.410673323011778</v>
      </c>
      <c r="G77" s="6">
        <f>125383755+3769500</f>
        <v>129153255</v>
      </c>
      <c r="H77" s="134">
        <f t="shared" si="35"/>
        <v>89.461447347914174</v>
      </c>
      <c r="I77" s="134">
        <f t="shared" si="36"/>
        <v>54.410673323011778</v>
      </c>
      <c r="J77" s="6">
        <f t="shared" si="37"/>
        <v>-15214245</v>
      </c>
      <c r="K77" s="163"/>
      <c r="L77" s="4"/>
      <c r="M77" s="4"/>
      <c r="N77" s="4"/>
      <c r="O77" s="4"/>
      <c r="P77" s="4"/>
      <c r="Q77" s="4"/>
      <c r="R77" s="9"/>
    </row>
    <row r="78" spans="1:18" x14ac:dyDescent="0.25">
      <c r="A78" s="238" t="s">
        <v>505</v>
      </c>
      <c r="B78" s="238" t="s">
        <v>76</v>
      </c>
      <c r="C78" s="239">
        <f>SUM(C79:C79)</f>
        <v>51000000</v>
      </c>
      <c r="D78" s="241"/>
      <c r="E78" s="242"/>
      <c r="F78" s="242"/>
      <c r="G78" s="791">
        <v>0</v>
      </c>
      <c r="H78" s="242"/>
      <c r="I78" s="242"/>
      <c r="J78" s="791">
        <v>0</v>
      </c>
      <c r="K78" s="237"/>
      <c r="L78" s="4"/>
      <c r="M78" s="4"/>
      <c r="N78" s="4"/>
      <c r="O78" s="4"/>
      <c r="P78" s="4"/>
      <c r="Q78" s="4"/>
      <c r="R78" s="9"/>
    </row>
    <row r="79" spans="1:18" ht="14.25" customHeight="1" thickBot="1" x14ac:dyDescent="0.3">
      <c r="A79" s="49" t="s">
        <v>450</v>
      </c>
      <c r="B79" s="707" t="s">
        <v>384</v>
      </c>
      <c r="C79" s="56">
        <v>51000000</v>
      </c>
      <c r="D79" s="200">
        <f>C79/C78*100</f>
        <v>100</v>
      </c>
      <c r="E79" s="134">
        <f t="shared" ref="E79" si="38">G79/C79*100</f>
        <v>16.666666666666664</v>
      </c>
      <c r="F79" s="134">
        <f t="shared" ref="F79" si="39">(D79*E79)/100</f>
        <v>16.666666666666664</v>
      </c>
      <c r="G79" s="6">
        <f>8500000</f>
        <v>8500000</v>
      </c>
      <c r="H79" s="134">
        <f t="shared" si="35"/>
        <v>16.666666666666664</v>
      </c>
      <c r="I79" s="134">
        <f t="shared" ref="I79" si="40">(D79*H79)/100</f>
        <v>16.666666666666664</v>
      </c>
      <c r="J79" s="6">
        <f>G79-C79</f>
        <v>-42500000</v>
      </c>
      <c r="K79" s="163"/>
      <c r="L79" s="4"/>
      <c r="M79" s="4"/>
      <c r="N79" s="4"/>
      <c r="O79" s="4"/>
      <c r="P79" s="4"/>
      <c r="Q79" s="4"/>
      <c r="R79" s="9"/>
    </row>
    <row r="80" spans="1:18" ht="26.25" thickBot="1" x14ac:dyDescent="0.3">
      <c r="A80" s="689" t="s">
        <v>506</v>
      </c>
      <c r="B80" s="692" t="s">
        <v>377</v>
      </c>
      <c r="C80" s="690"/>
      <c r="D80" s="216"/>
      <c r="E80" s="134"/>
      <c r="F80" s="134"/>
      <c r="G80" s="6">
        <v>0</v>
      </c>
      <c r="H80" s="134"/>
      <c r="I80" s="134"/>
      <c r="J80" s="6">
        <v>0</v>
      </c>
      <c r="K80" s="163"/>
      <c r="L80" s="4"/>
      <c r="M80" s="4"/>
      <c r="N80" s="4"/>
      <c r="O80" s="694"/>
      <c r="P80" s="4"/>
      <c r="Q80" s="4"/>
      <c r="R80" s="9"/>
    </row>
    <row r="81" spans="1:18" ht="26.25" x14ac:dyDescent="0.25">
      <c r="A81" s="693" t="s">
        <v>507</v>
      </c>
      <c r="B81" s="691" t="s">
        <v>474</v>
      </c>
      <c r="C81" s="234">
        <f>SUM(C82:C86)</f>
        <v>244497500</v>
      </c>
      <c r="D81" s="241"/>
      <c r="E81" s="242"/>
      <c r="F81" s="242"/>
      <c r="G81" s="791">
        <v>0</v>
      </c>
      <c r="H81" s="242"/>
      <c r="I81" s="242"/>
      <c r="J81" s="791">
        <v>0</v>
      </c>
      <c r="K81" s="244"/>
      <c r="L81" s="4"/>
      <c r="M81" s="4"/>
      <c r="N81" s="4"/>
      <c r="O81" s="4"/>
      <c r="P81" s="4"/>
      <c r="Q81" s="4"/>
      <c r="R81" s="9"/>
    </row>
    <row r="82" spans="1:18" s="783" customFormat="1" ht="25.5" x14ac:dyDescent="0.25">
      <c r="A82" s="801" t="s">
        <v>450</v>
      </c>
      <c r="B82" s="707" t="s">
        <v>384</v>
      </c>
      <c r="C82" s="788">
        <v>11940000</v>
      </c>
      <c r="D82" s="741"/>
      <c r="E82" s="742"/>
      <c r="F82" s="742"/>
      <c r="G82" s="6">
        <f>3670000</f>
        <v>3670000</v>
      </c>
      <c r="H82" s="742"/>
      <c r="I82" s="742"/>
      <c r="J82" s="6">
        <f t="shared" ref="J82:J86" si="41">G82-C82</f>
        <v>-8270000</v>
      </c>
      <c r="K82" s="743"/>
      <c r="L82" s="737"/>
      <c r="M82" s="737"/>
      <c r="N82" s="737"/>
      <c r="O82" s="737"/>
      <c r="P82" s="737"/>
      <c r="Q82" s="737"/>
      <c r="R82" s="782"/>
    </row>
    <row r="83" spans="1:18" x14ac:dyDescent="0.25">
      <c r="A83" s="224" t="s">
        <v>475</v>
      </c>
      <c r="B83" s="78" t="s">
        <v>81</v>
      </c>
      <c r="C83" s="56">
        <v>162399536</v>
      </c>
      <c r="D83" s="200">
        <f>C83/C81*100</f>
        <v>66.421757277681778</v>
      </c>
      <c r="E83" s="134">
        <f t="shared" ref="E83:E86" si="42">G83/C83*100</f>
        <v>48.863959192592766</v>
      </c>
      <c r="F83" s="134">
        <f t="shared" ref="F83:F86" si="43">(D83*E83)/100</f>
        <v>32.456300371169441</v>
      </c>
      <c r="G83" s="6">
        <f>79354843</f>
        <v>79354843</v>
      </c>
      <c r="H83" s="134">
        <f t="shared" ref="H83:H86" si="44">G83/C83*100</f>
        <v>48.863959192592766</v>
      </c>
      <c r="I83" s="134">
        <f t="shared" ref="I83:I86" si="45">(D83*H83)/100</f>
        <v>32.456300371169441</v>
      </c>
      <c r="J83" s="6">
        <f t="shared" si="41"/>
        <v>-83044693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476</v>
      </c>
      <c r="B84" s="78" t="s">
        <v>83</v>
      </c>
      <c r="C84" s="56">
        <v>27600000</v>
      </c>
      <c r="D84" s="200">
        <f>C84/C81*100</f>
        <v>11.288458982198183</v>
      </c>
      <c r="E84" s="134">
        <f t="shared" si="42"/>
        <v>34.731884057971016</v>
      </c>
      <c r="F84" s="134">
        <f t="shared" si="43"/>
        <v>3.9206944856286881</v>
      </c>
      <c r="G84" s="6">
        <f>9586000</f>
        <v>9586000</v>
      </c>
      <c r="H84" s="134">
        <f t="shared" si="44"/>
        <v>34.731884057971016</v>
      </c>
      <c r="I84" s="134">
        <f t="shared" si="45"/>
        <v>3.9206944856286881</v>
      </c>
      <c r="J84" s="6">
        <f t="shared" si="41"/>
        <v>-18014000</v>
      </c>
      <c r="K84" s="56"/>
      <c r="L84" s="4"/>
      <c r="M84" s="4"/>
      <c r="N84" s="4"/>
      <c r="O84" s="4"/>
      <c r="P84" s="4"/>
      <c r="Q84" s="4"/>
      <c r="R84" s="9"/>
    </row>
    <row r="85" spans="1:18" x14ac:dyDescent="0.25">
      <c r="A85" s="49" t="s">
        <v>477</v>
      </c>
      <c r="B85" s="78" t="s">
        <v>85</v>
      </c>
      <c r="C85" s="56">
        <v>13307964</v>
      </c>
      <c r="D85" s="200">
        <f>C85/C81*100</f>
        <v>5.442985715600364</v>
      </c>
      <c r="E85" s="134">
        <f t="shared" si="42"/>
        <v>4.6768987352235101</v>
      </c>
      <c r="F85" s="134">
        <f t="shared" si="43"/>
        <v>0.25456293009130976</v>
      </c>
      <c r="G85" s="6">
        <f>622400</f>
        <v>622400</v>
      </c>
      <c r="H85" s="134">
        <f t="shared" si="44"/>
        <v>4.6768987352235101</v>
      </c>
      <c r="I85" s="134">
        <f t="shared" si="45"/>
        <v>0.25456293009130976</v>
      </c>
      <c r="J85" s="6">
        <f t="shared" si="41"/>
        <v>-12685564</v>
      </c>
      <c r="K85" s="56"/>
      <c r="L85" s="4"/>
      <c r="M85" s="4"/>
      <c r="N85" s="4"/>
      <c r="O85" s="713"/>
      <c r="P85" s="4"/>
      <c r="Q85" s="4"/>
      <c r="R85" s="9"/>
    </row>
    <row r="86" spans="1:18" ht="25.5" x14ac:dyDescent="0.25">
      <c r="A86" s="49" t="s">
        <v>478</v>
      </c>
      <c r="B86" s="77" t="s">
        <v>87</v>
      </c>
      <c r="C86" s="56">
        <v>29250000</v>
      </c>
      <c r="D86" s="200">
        <f>C86/C81*100</f>
        <v>11.963312508307856</v>
      </c>
      <c r="E86" s="134">
        <f t="shared" si="42"/>
        <v>94.593162393162388</v>
      </c>
      <c r="F86" s="134">
        <f t="shared" si="43"/>
        <v>11.316475628585158</v>
      </c>
      <c r="G86" s="6">
        <f>17270000+10398500</f>
        <v>27668500</v>
      </c>
      <c r="H86" s="134">
        <f t="shared" si="44"/>
        <v>94.593162393162388</v>
      </c>
      <c r="I86" s="134">
        <f t="shared" si="45"/>
        <v>11.316475628585158</v>
      </c>
      <c r="J86" s="6">
        <f t="shared" si="41"/>
        <v>-1581500</v>
      </c>
      <c r="K86" s="56"/>
      <c r="L86" s="4"/>
      <c r="M86" s="4"/>
      <c r="N86" s="4"/>
      <c r="O86" s="4"/>
      <c r="P86" s="4"/>
      <c r="Q86" s="4"/>
      <c r="R86" s="9"/>
    </row>
    <row r="87" spans="1:18" s="796" customFormat="1" x14ac:dyDescent="0.25">
      <c r="A87" s="799" t="s">
        <v>483</v>
      </c>
      <c r="B87" s="691" t="s">
        <v>479</v>
      </c>
      <c r="C87" s="800">
        <f>SUM(C89:C91)</f>
        <v>61430000</v>
      </c>
      <c r="D87" s="789"/>
      <c r="E87" s="790"/>
      <c r="F87" s="790"/>
      <c r="G87" s="791">
        <v>0</v>
      </c>
      <c r="H87" s="790"/>
      <c r="I87" s="790"/>
      <c r="J87" s="791">
        <v>0</v>
      </c>
      <c r="K87" s="792"/>
      <c r="L87" s="794"/>
      <c r="M87" s="794"/>
      <c r="N87" s="794"/>
      <c r="O87" s="794"/>
      <c r="P87" s="794"/>
      <c r="Q87" s="794"/>
      <c r="R87" s="795"/>
    </row>
    <row r="88" spans="1:18" s="796" customFormat="1" x14ac:dyDescent="0.25">
      <c r="A88" s="124" t="s">
        <v>450</v>
      </c>
      <c r="B88" s="927" t="s">
        <v>608</v>
      </c>
      <c r="C88" s="743">
        <v>3060000</v>
      </c>
      <c r="D88" s="741"/>
      <c r="E88" s="742"/>
      <c r="F88" s="742"/>
      <c r="G88" s="82"/>
      <c r="H88" s="742"/>
      <c r="I88" s="742"/>
      <c r="J88" s="82"/>
      <c r="K88" s="792"/>
      <c r="L88" s="794"/>
      <c r="M88" s="794"/>
      <c r="N88" s="794"/>
      <c r="O88" s="794"/>
      <c r="P88" s="794"/>
      <c r="Q88" s="794"/>
      <c r="R88" s="795"/>
    </row>
    <row r="89" spans="1:18" ht="25.5" x14ac:dyDescent="0.25">
      <c r="A89" s="49" t="s">
        <v>484</v>
      </c>
      <c r="B89" s="77" t="s">
        <v>480</v>
      </c>
      <c r="C89" s="56">
        <f>21750000</f>
        <v>21750000</v>
      </c>
      <c r="D89" s="200"/>
      <c r="E89" s="134"/>
      <c r="F89" s="134"/>
      <c r="G89" s="132">
        <f>6595000</f>
        <v>6595000</v>
      </c>
      <c r="H89" s="134"/>
      <c r="I89" s="134"/>
      <c r="J89" s="6">
        <f t="shared" ref="J89:J91" si="46">G89-C89</f>
        <v>-15155000</v>
      </c>
      <c r="K89" s="56"/>
      <c r="L89" s="4"/>
      <c r="M89" s="4"/>
      <c r="N89" s="4"/>
      <c r="O89" s="4"/>
      <c r="P89" s="4"/>
      <c r="Q89" s="4"/>
      <c r="R89" s="9"/>
    </row>
    <row r="90" spans="1:18" ht="25.5" x14ac:dyDescent="0.25">
      <c r="A90" s="49" t="s">
        <v>485</v>
      </c>
      <c r="B90" s="77" t="s">
        <v>481</v>
      </c>
      <c r="C90" s="56">
        <v>19320000</v>
      </c>
      <c r="D90" s="200"/>
      <c r="E90" s="134"/>
      <c r="F90" s="134"/>
      <c r="G90" s="6">
        <f>6725000</f>
        <v>6725000</v>
      </c>
      <c r="H90" s="134"/>
      <c r="I90" s="134"/>
      <c r="J90" s="6">
        <f t="shared" si="46"/>
        <v>-12595000</v>
      </c>
      <c r="K90" s="56"/>
      <c r="L90" s="4"/>
      <c r="M90" s="4"/>
      <c r="N90" s="4"/>
      <c r="O90" s="4"/>
      <c r="P90" s="4"/>
      <c r="Q90" s="4"/>
      <c r="R90" s="9"/>
    </row>
    <row r="91" spans="1:18" ht="25.5" x14ac:dyDescent="0.25">
      <c r="A91" s="49" t="s">
        <v>486</v>
      </c>
      <c r="B91" s="77" t="s">
        <v>482</v>
      </c>
      <c r="C91" s="56">
        <v>20360000</v>
      </c>
      <c r="D91" s="200"/>
      <c r="E91" s="134"/>
      <c r="F91" s="134"/>
      <c r="G91" s="132">
        <v>10000000</v>
      </c>
      <c r="H91" s="134"/>
      <c r="I91" s="134"/>
      <c r="J91" s="6">
        <f t="shared" si="46"/>
        <v>-10360000</v>
      </c>
      <c r="K91" s="56"/>
      <c r="L91" s="4"/>
      <c r="M91" s="4"/>
      <c r="N91" s="4"/>
      <c r="O91" s="4"/>
      <c r="P91" s="4"/>
      <c r="Q91" s="4"/>
      <c r="R91" s="9"/>
    </row>
    <row r="92" spans="1:18" s="796" customFormat="1" ht="25.5" x14ac:dyDescent="0.25">
      <c r="A92" s="799" t="s">
        <v>508</v>
      </c>
      <c r="B92" s="802" t="s">
        <v>90</v>
      </c>
      <c r="C92" s="800">
        <v>107280000</v>
      </c>
      <c r="D92" s="789"/>
      <c r="E92" s="790"/>
      <c r="F92" s="790"/>
      <c r="G92" s="791"/>
      <c r="H92" s="790"/>
      <c r="I92" s="790"/>
      <c r="J92" s="791"/>
      <c r="K92" s="792"/>
      <c r="L92" s="794"/>
      <c r="M92" s="794"/>
      <c r="N92" s="794"/>
      <c r="O92" s="794"/>
      <c r="P92" s="794"/>
      <c r="Q92" s="794"/>
      <c r="R92" s="795"/>
    </row>
    <row r="93" spans="1:18" ht="25.5" x14ac:dyDescent="0.25">
      <c r="A93" s="49" t="s">
        <v>487</v>
      </c>
      <c r="B93" s="77" t="s">
        <v>509</v>
      </c>
      <c r="C93" s="56">
        <v>107280000</v>
      </c>
      <c r="D93" s="200"/>
      <c r="E93" s="134"/>
      <c r="F93" s="134"/>
      <c r="G93" s="132">
        <f>15450000+1093000</f>
        <v>16543000</v>
      </c>
      <c r="H93" s="134"/>
      <c r="I93" s="134"/>
      <c r="J93" s="6">
        <f>G93-C93</f>
        <v>-90737000</v>
      </c>
      <c r="K93" s="56"/>
      <c r="L93" s="4"/>
      <c r="M93" s="4"/>
      <c r="N93" s="4"/>
      <c r="O93" s="4"/>
      <c r="P93" s="4"/>
      <c r="Q93" s="4"/>
      <c r="R93" s="9"/>
    </row>
    <row r="94" spans="1:18" ht="25.5" x14ac:dyDescent="0.25">
      <c r="A94" s="238" t="s">
        <v>510</v>
      </c>
      <c r="B94" s="240" t="s">
        <v>90</v>
      </c>
      <c r="C94" s="239">
        <v>47010000</v>
      </c>
      <c r="D94" s="241"/>
      <c r="E94" s="242"/>
      <c r="F94" s="242"/>
      <c r="G94" s="791">
        <v>0</v>
      </c>
      <c r="H94" s="242"/>
      <c r="I94" s="242"/>
      <c r="J94" s="791">
        <v>0</v>
      </c>
      <c r="K94" s="244"/>
      <c r="L94" s="4"/>
      <c r="M94" s="4"/>
      <c r="N94" s="4"/>
      <c r="O94" s="4"/>
      <c r="P94" s="4"/>
      <c r="Q94" s="4"/>
      <c r="R94" s="9"/>
    </row>
    <row r="95" spans="1:18" s="783" customFormat="1" x14ac:dyDescent="0.25">
      <c r="A95" s="124" t="s">
        <v>448</v>
      </c>
      <c r="B95" s="707" t="s">
        <v>445</v>
      </c>
      <c r="C95" s="743">
        <v>170000</v>
      </c>
      <c r="D95" s="741"/>
      <c r="E95" s="742"/>
      <c r="F95" s="742"/>
      <c r="G95" s="6">
        <v>0</v>
      </c>
      <c r="H95" s="742"/>
      <c r="I95" s="742"/>
      <c r="J95" s="6">
        <f t="shared" ref="J95:J97" si="47">G95-C95</f>
        <v>-170000</v>
      </c>
      <c r="K95" s="743"/>
      <c r="L95" s="737"/>
      <c r="M95" s="737"/>
      <c r="N95" s="737"/>
      <c r="O95" s="737"/>
      <c r="P95" s="737"/>
      <c r="Q95" s="737"/>
      <c r="R95" s="782"/>
    </row>
    <row r="96" spans="1:18" x14ac:dyDescent="0.25">
      <c r="A96" s="49" t="s">
        <v>490</v>
      </c>
      <c r="B96" s="316" t="s">
        <v>488</v>
      </c>
      <c r="C96" s="56">
        <v>8500000</v>
      </c>
      <c r="D96" s="200">
        <f>C96/C94*100</f>
        <v>18.081259306530526</v>
      </c>
      <c r="E96" s="134">
        <f t="shared" ref="E96:E97" si="48">G96/C96*100</f>
        <v>0</v>
      </c>
      <c r="F96" s="134">
        <f t="shared" ref="F96:F97" si="49">(D96*E96)/100</f>
        <v>0</v>
      </c>
      <c r="G96" s="6">
        <v>0</v>
      </c>
      <c r="H96" s="134">
        <f t="shared" ref="H96:H97" si="50">G96/C96*100</f>
        <v>0</v>
      </c>
      <c r="I96" s="134">
        <f t="shared" ref="I96:I97" si="51">(D96*H96)/100</f>
        <v>0</v>
      </c>
      <c r="J96" s="6">
        <f t="shared" si="47"/>
        <v>-8500000</v>
      </c>
      <c r="K96" s="56"/>
      <c r="L96" s="4"/>
      <c r="M96" s="4"/>
      <c r="N96" s="4"/>
      <c r="O96" s="4"/>
      <c r="P96" s="4"/>
      <c r="Q96" s="4"/>
      <c r="R96" s="9"/>
    </row>
    <row r="97" spans="1:18" ht="25.5" x14ac:dyDescent="0.25">
      <c r="A97" s="49" t="s">
        <v>491</v>
      </c>
      <c r="B97" s="77" t="s">
        <v>489</v>
      </c>
      <c r="C97" s="56">
        <v>38340000</v>
      </c>
      <c r="D97" s="200">
        <f>C97/C94*100</f>
        <v>81.557115507338864</v>
      </c>
      <c r="E97" s="134">
        <f t="shared" si="48"/>
        <v>81.984415753781946</v>
      </c>
      <c r="F97" s="134">
        <f t="shared" si="49"/>
        <v>66.864124654328862</v>
      </c>
      <c r="G97" s="138">
        <f>19048825+12384000</f>
        <v>31432825</v>
      </c>
      <c r="H97" s="134">
        <f t="shared" si="50"/>
        <v>81.984415753781946</v>
      </c>
      <c r="I97" s="134">
        <f t="shared" si="51"/>
        <v>66.864124654328862</v>
      </c>
      <c r="J97" s="6">
        <f t="shared" si="47"/>
        <v>-6907175</v>
      </c>
      <c r="K97" s="56"/>
      <c r="L97" s="4"/>
      <c r="M97" s="695"/>
      <c r="N97" s="4"/>
      <c r="O97" s="4"/>
      <c r="P97" s="4"/>
      <c r="Q97" s="4"/>
      <c r="R97" s="9"/>
    </row>
    <row r="98" spans="1:18" x14ac:dyDescent="0.25">
      <c r="A98" s="1045" t="s">
        <v>95</v>
      </c>
      <c r="B98" s="1046"/>
      <c r="C98" s="1047"/>
      <c r="D98" s="81"/>
      <c r="E98" s="134"/>
      <c r="F98" s="134"/>
      <c r="G98" s="768">
        <f>SUM(G12:G97)</f>
        <v>11706603024</v>
      </c>
      <c r="H98" s="134"/>
      <c r="I98" s="134"/>
      <c r="J98" s="781">
        <v>0</v>
      </c>
      <c r="K98" s="130"/>
      <c r="L98" s="1"/>
      <c r="M98" s="1"/>
      <c r="N98" s="1"/>
      <c r="O98" s="1"/>
      <c r="P98" s="1"/>
      <c r="Q98" s="1"/>
      <c r="R98" s="1"/>
    </row>
    <row r="99" spans="1:18" x14ac:dyDescent="0.25">
      <c r="A99" s="50"/>
      <c r="B99" s="5"/>
      <c r="C99" s="50"/>
      <c r="D99" s="9"/>
      <c r="E99" s="23"/>
      <c r="F99" s="23"/>
      <c r="G99" s="11"/>
      <c r="H99" s="23"/>
      <c r="I99" s="23"/>
      <c r="J99" s="4"/>
      <c r="K99" s="9"/>
      <c r="L99" s="1"/>
      <c r="M99" s="1"/>
      <c r="N99" s="1"/>
      <c r="O99" s="1"/>
      <c r="P99" s="1"/>
      <c r="Q99" s="1"/>
      <c r="R99" s="1"/>
    </row>
    <row r="100" spans="1:18" x14ac:dyDescent="0.25">
      <c r="A100" s="1036" t="s">
        <v>0</v>
      </c>
      <c r="B100" s="1036"/>
      <c r="C100" s="1036"/>
      <c r="D100" s="1036"/>
      <c r="E100" s="1037"/>
      <c r="F100" s="1037"/>
      <c r="G100" s="1038"/>
      <c r="H100" s="1037"/>
      <c r="I100" s="1037"/>
      <c r="J100" s="1036"/>
      <c r="K100" s="1036"/>
      <c r="L100" s="1"/>
      <c r="M100" s="1"/>
      <c r="N100" s="1"/>
      <c r="O100" s="1"/>
      <c r="P100" s="1"/>
      <c r="Q100" s="1"/>
      <c r="R100" s="1"/>
    </row>
    <row r="101" spans="1:18" x14ac:dyDescent="0.25">
      <c r="A101" s="1036" t="s">
        <v>511</v>
      </c>
      <c r="B101" s="1036"/>
      <c r="C101" s="1036"/>
      <c r="D101" s="1036"/>
      <c r="E101" s="1037"/>
      <c r="F101" s="1037"/>
      <c r="G101" s="1038"/>
      <c r="H101" s="1037"/>
      <c r="I101" s="1037"/>
      <c r="J101" s="1036"/>
      <c r="K101" s="1036"/>
      <c r="L101" s="9"/>
      <c r="M101" s="9"/>
      <c r="N101" s="9"/>
      <c r="O101" s="9"/>
      <c r="P101" s="9"/>
      <c r="Q101" s="9"/>
      <c r="R101" s="9"/>
    </row>
    <row r="102" spans="1:18" x14ac:dyDescent="0.25">
      <c r="A102" s="1161" t="s">
        <v>563</v>
      </c>
      <c r="B102" s="1161"/>
      <c r="C102" s="1161"/>
      <c r="D102" s="1161"/>
      <c r="E102" s="1161"/>
      <c r="F102" s="1161"/>
      <c r="G102" s="1161"/>
      <c r="H102" s="1161"/>
      <c r="I102" s="1161"/>
      <c r="J102" s="1161"/>
      <c r="K102" s="1161"/>
      <c r="L102" s="9"/>
      <c r="M102" s="9"/>
      <c r="N102" s="9"/>
      <c r="O102" s="9"/>
      <c r="P102" s="9"/>
      <c r="Q102" s="9"/>
      <c r="R102" s="9"/>
    </row>
    <row r="103" spans="1:18" x14ac:dyDescent="0.25">
      <c r="A103" s="1048" t="s">
        <v>2</v>
      </c>
      <c r="B103" s="1051" t="s">
        <v>3</v>
      </c>
      <c r="C103" s="1048" t="s">
        <v>4</v>
      </c>
      <c r="D103" s="1054" t="s">
        <v>5</v>
      </c>
      <c r="E103" s="1055"/>
      <c r="F103" s="1055"/>
      <c r="G103" s="1044" t="s">
        <v>6</v>
      </c>
      <c r="H103" s="1055"/>
      <c r="I103" s="1055"/>
      <c r="J103" s="1048" t="s">
        <v>7</v>
      </c>
      <c r="K103" s="213" t="s">
        <v>8</v>
      </c>
      <c r="L103" s="9"/>
      <c r="M103" s="9"/>
      <c r="N103" s="9"/>
      <c r="O103" s="9"/>
      <c r="P103" s="9"/>
      <c r="Q103" s="9"/>
      <c r="R103" s="9"/>
    </row>
    <row r="104" spans="1:18" x14ac:dyDescent="0.25">
      <c r="A104" s="1049"/>
      <c r="B104" s="1052"/>
      <c r="C104" s="1049"/>
      <c r="D104" s="209" t="s">
        <v>9</v>
      </c>
      <c r="E104" s="214" t="s">
        <v>10</v>
      </c>
      <c r="F104" s="214" t="s">
        <v>11</v>
      </c>
      <c r="G104" s="209" t="s">
        <v>12</v>
      </c>
      <c r="H104" s="214" t="s">
        <v>13</v>
      </c>
      <c r="I104" s="214" t="s">
        <v>11</v>
      </c>
      <c r="J104" s="1049"/>
      <c r="K104" s="209"/>
      <c r="L104" s="1"/>
      <c r="M104" s="1"/>
      <c r="N104" s="1"/>
      <c r="O104" s="1"/>
      <c r="P104" s="1"/>
      <c r="Q104" s="1"/>
      <c r="R104" s="1"/>
    </row>
    <row r="105" spans="1:18" x14ac:dyDescent="0.25">
      <c r="A105" s="1050"/>
      <c r="B105" s="1053"/>
      <c r="C105" s="1050"/>
      <c r="D105" s="212" t="s">
        <v>14</v>
      </c>
      <c r="E105" s="215" t="s">
        <v>14</v>
      </c>
      <c r="F105" s="215" t="s">
        <v>14</v>
      </c>
      <c r="G105" s="212" t="s">
        <v>15</v>
      </c>
      <c r="H105" s="215" t="s">
        <v>14</v>
      </c>
      <c r="I105" s="215" t="s">
        <v>14</v>
      </c>
      <c r="J105" s="212" t="s">
        <v>15</v>
      </c>
      <c r="K105" s="212"/>
      <c r="L105" s="1"/>
      <c r="M105" s="1"/>
      <c r="N105" s="1"/>
      <c r="O105" s="1"/>
      <c r="P105" s="1"/>
      <c r="Q105" s="1"/>
      <c r="R105" s="1"/>
    </row>
    <row r="106" spans="1:18" ht="26.25" thickBot="1" x14ac:dyDescent="0.3">
      <c r="A106" s="227" t="s">
        <v>220</v>
      </c>
      <c r="B106" s="704" t="s">
        <v>212</v>
      </c>
      <c r="C106" s="922"/>
      <c r="D106" s="6"/>
      <c r="E106" s="203"/>
      <c r="F106" s="204"/>
      <c r="G106" s="6"/>
      <c r="H106" s="204"/>
      <c r="I106" s="204"/>
      <c r="J106" s="6"/>
      <c r="K106" s="6"/>
      <c r="L106" s="1"/>
      <c r="M106" s="1"/>
      <c r="N106" s="1"/>
      <c r="O106" s="714"/>
      <c r="P106" s="1"/>
      <c r="Q106" s="1"/>
      <c r="R106" s="1"/>
    </row>
    <row r="107" spans="1:18" ht="26.25" thickBot="1" x14ac:dyDescent="0.3">
      <c r="A107" s="703" t="s">
        <v>180</v>
      </c>
      <c r="B107" s="705" t="s">
        <v>379</v>
      </c>
      <c r="C107" s="246">
        <f>SUM(C109:C143)</f>
        <v>1481315000</v>
      </c>
      <c r="D107" s="226"/>
      <c r="E107" s="204"/>
      <c r="F107" s="204"/>
      <c r="G107" s="6"/>
      <c r="H107" s="204"/>
      <c r="I107" s="204"/>
      <c r="J107" s="6"/>
      <c r="K107" s="6"/>
      <c r="L107" s="1"/>
      <c r="M107" s="1"/>
      <c r="N107" s="1"/>
      <c r="O107" s="1"/>
      <c r="P107" s="1"/>
      <c r="Q107" s="1"/>
      <c r="R107" s="1"/>
    </row>
    <row r="108" spans="1:18" ht="25.5" x14ac:dyDescent="0.25">
      <c r="A108" s="698" t="s">
        <v>181</v>
      </c>
      <c r="B108" s="706" t="s">
        <v>380</v>
      </c>
      <c r="C108" s="246">
        <f>SUM(C109:C143)</f>
        <v>1481315000</v>
      </c>
      <c r="D108" s="236"/>
      <c r="E108" s="278"/>
      <c r="F108" s="278"/>
      <c r="G108" s="236"/>
      <c r="H108" s="278"/>
      <c r="I108" s="278"/>
      <c r="J108" s="236"/>
      <c r="K108" s="236"/>
      <c r="L108" s="1"/>
      <c r="M108" s="1"/>
      <c r="N108" s="1"/>
      <c r="O108" s="715"/>
      <c r="P108" s="1"/>
      <c r="Q108" s="1"/>
      <c r="R108" s="1"/>
    </row>
    <row r="109" spans="1:18" ht="15" customHeight="1" x14ac:dyDescent="0.25">
      <c r="A109" s="315" t="s">
        <v>450</v>
      </c>
      <c r="B109" s="707" t="s">
        <v>384</v>
      </c>
      <c r="C109" s="722">
        <v>73080000</v>
      </c>
      <c r="D109" s="722">
        <f>C109/C107*100</f>
        <v>4.9334543969378561</v>
      </c>
      <c r="E109" s="134">
        <f t="shared" ref="E109:E137" si="52">G109/C109*100</f>
        <v>41.666666666666671</v>
      </c>
      <c r="F109" s="134">
        <f t="shared" ref="F109:F137" si="53">(D109*E109)/100</f>
        <v>2.0556059987241069</v>
      </c>
      <c r="G109" s="6">
        <f>30450000</f>
        <v>30450000</v>
      </c>
      <c r="H109" s="134">
        <f t="shared" ref="H109:H137" si="54">G109/C109*100</f>
        <v>41.666666666666671</v>
      </c>
      <c r="I109" s="134">
        <f t="shared" ref="I109:I137" si="55">(D109*H109)/100</f>
        <v>2.0556059987241069</v>
      </c>
      <c r="J109" s="6">
        <f t="shared" ref="J109:J138" si="56">G109-C109</f>
        <v>-42630000</v>
      </c>
      <c r="K109" s="6"/>
      <c r="L109" s="1"/>
      <c r="M109" s="1"/>
      <c r="N109" s="1"/>
      <c r="O109" s="1"/>
      <c r="P109" s="1"/>
      <c r="Q109" s="1"/>
      <c r="R109" s="1"/>
    </row>
    <row r="110" spans="1:18" ht="15" customHeight="1" x14ac:dyDescent="0.25">
      <c r="A110" s="124" t="s">
        <v>448</v>
      </c>
      <c r="B110" s="707" t="s">
        <v>445</v>
      </c>
      <c r="C110" s="722">
        <v>1870000</v>
      </c>
      <c r="D110" s="722"/>
      <c r="E110" s="134"/>
      <c r="F110" s="134"/>
      <c r="G110" s="6"/>
      <c r="H110" s="134"/>
      <c r="I110" s="134"/>
      <c r="J110" s="6"/>
      <c r="K110" s="6"/>
      <c r="L110" s="1"/>
      <c r="M110" s="1"/>
      <c r="N110" s="1"/>
      <c r="O110" s="1"/>
      <c r="P110" s="1"/>
      <c r="Q110" s="1"/>
      <c r="R110" s="1"/>
    </row>
    <row r="111" spans="1:18" ht="15" customHeight="1" x14ac:dyDescent="0.25">
      <c r="A111" s="315" t="s">
        <v>518</v>
      </c>
      <c r="B111" s="707" t="s">
        <v>512</v>
      </c>
      <c r="C111" s="722">
        <v>1500000</v>
      </c>
      <c r="D111" s="722"/>
      <c r="E111" s="134"/>
      <c r="F111" s="134"/>
      <c r="G111" s="6">
        <f>1500000</f>
        <v>1500000</v>
      </c>
      <c r="H111" s="134"/>
      <c r="I111" s="134"/>
      <c r="J111" s="6">
        <f t="shared" si="56"/>
        <v>0</v>
      </c>
      <c r="K111" s="6"/>
      <c r="L111" s="1"/>
      <c r="M111" s="1"/>
      <c r="N111" s="1"/>
      <c r="O111" s="1"/>
      <c r="P111" s="1"/>
      <c r="Q111" s="1"/>
      <c r="R111" s="1"/>
    </row>
    <row r="112" spans="1:18" x14ac:dyDescent="0.25">
      <c r="A112" s="315" t="s">
        <v>59</v>
      </c>
      <c r="B112" s="707" t="s">
        <v>197</v>
      </c>
      <c r="C112" s="247">
        <v>32666800</v>
      </c>
      <c r="D112" s="279">
        <f>C112/C107*100</f>
        <v>2.2052568157346681</v>
      </c>
      <c r="E112" s="134">
        <f t="shared" si="52"/>
        <v>59.271186648217764</v>
      </c>
      <c r="F112" s="134">
        <f t="shared" si="53"/>
        <v>1.3070818833266389</v>
      </c>
      <c r="G112" s="6">
        <f>13845500+5516500</f>
        <v>19362000</v>
      </c>
      <c r="H112" s="134">
        <f t="shared" si="54"/>
        <v>59.271186648217764</v>
      </c>
      <c r="I112" s="134">
        <f t="shared" si="55"/>
        <v>1.3070818833266389</v>
      </c>
      <c r="J112" s="6">
        <f t="shared" si="56"/>
        <v>-13304800</v>
      </c>
      <c r="K112" s="6"/>
      <c r="L112" s="1"/>
      <c r="M112" s="25"/>
    </row>
    <row r="113" spans="1:15" x14ac:dyDescent="0.25">
      <c r="A113" s="228" t="s">
        <v>62</v>
      </c>
      <c r="B113" s="707" t="s">
        <v>334</v>
      </c>
      <c r="C113" s="247">
        <v>32712000</v>
      </c>
      <c r="D113" s="279">
        <f>C113/C107*100</f>
        <v>2.2083081586293263</v>
      </c>
      <c r="E113" s="134">
        <f t="shared" si="52"/>
        <v>58.767730496453893</v>
      </c>
      <c r="F113" s="134">
        <f t="shared" si="53"/>
        <v>1.2977725871944861</v>
      </c>
      <c r="G113" s="6">
        <f>18524100+700000</f>
        <v>19224100</v>
      </c>
      <c r="H113" s="134">
        <f t="shared" si="54"/>
        <v>58.767730496453893</v>
      </c>
      <c r="I113" s="134">
        <f t="shared" si="55"/>
        <v>1.2977725871944861</v>
      </c>
      <c r="J113" s="6">
        <f t="shared" si="56"/>
        <v>-13487900</v>
      </c>
      <c r="K113" s="6"/>
      <c r="L113" s="1"/>
      <c r="M113" s="1"/>
      <c r="O113" s="716"/>
    </row>
    <row r="114" spans="1:15" x14ac:dyDescent="0.25">
      <c r="A114" s="315" t="s">
        <v>54</v>
      </c>
      <c r="B114" s="707" t="s">
        <v>386</v>
      </c>
      <c r="C114" s="248">
        <v>6000000</v>
      </c>
      <c r="D114" s="279">
        <f>C114/C107*100</f>
        <v>0.40504551698997171</v>
      </c>
      <c r="E114" s="134">
        <f t="shared" si="52"/>
        <v>0</v>
      </c>
      <c r="F114" s="134">
        <f t="shared" si="53"/>
        <v>0</v>
      </c>
      <c r="G114" s="6">
        <v>0</v>
      </c>
      <c r="H114" s="134">
        <f t="shared" si="54"/>
        <v>0</v>
      </c>
      <c r="I114" s="134">
        <f t="shared" si="55"/>
        <v>0</v>
      </c>
      <c r="J114" s="6">
        <f t="shared" si="56"/>
        <v>-6000000</v>
      </c>
      <c r="K114" s="6"/>
      <c r="L114" s="1"/>
      <c r="M114" s="1"/>
    </row>
    <row r="115" spans="1:15" ht="25.5" x14ac:dyDescent="0.25">
      <c r="A115" s="315" t="s">
        <v>86</v>
      </c>
      <c r="B115" s="707" t="s">
        <v>545</v>
      </c>
      <c r="C115" s="732">
        <v>6000000</v>
      </c>
      <c r="D115" s="279"/>
      <c r="E115" s="134"/>
      <c r="F115" s="134"/>
      <c r="G115" s="6">
        <v>6000000</v>
      </c>
      <c r="H115" s="134"/>
      <c r="I115" s="134"/>
      <c r="J115" s="6">
        <f t="shared" si="56"/>
        <v>0</v>
      </c>
      <c r="K115" s="6"/>
      <c r="L115" s="1"/>
      <c r="M115" s="1"/>
    </row>
    <row r="116" spans="1:15" ht="25.5" x14ac:dyDescent="0.25">
      <c r="A116" s="315" t="s">
        <v>193</v>
      </c>
      <c r="B116" s="316" t="s">
        <v>372</v>
      </c>
      <c r="C116" s="732">
        <v>20000000</v>
      </c>
      <c r="D116" s="279">
        <f>C116/C107*100</f>
        <v>1.3501517232999058</v>
      </c>
      <c r="E116" s="134">
        <f t="shared" si="52"/>
        <v>78.7</v>
      </c>
      <c r="F116" s="134">
        <f t="shared" si="53"/>
        <v>1.0625694062370259</v>
      </c>
      <c r="G116" s="6">
        <f>14000000+1740000</f>
        <v>15740000</v>
      </c>
      <c r="H116" s="134">
        <f t="shared" si="54"/>
        <v>78.7</v>
      </c>
      <c r="I116" s="134">
        <f t="shared" si="55"/>
        <v>1.0625694062370259</v>
      </c>
      <c r="J116" s="6">
        <f t="shared" si="56"/>
        <v>-4260000</v>
      </c>
      <c r="K116" s="6"/>
      <c r="L116" s="1"/>
      <c r="M116" s="716"/>
    </row>
    <row r="117" spans="1:15" x14ac:dyDescent="0.25">
      <c r="A117" s="315" t="s">
        <v>519</v>
      </c>
      <c r="B117" s="315" t="s">
        <v>513</v>
      </c>
      <c r="C117" s="248">
        <v>2292000</v>
      </c>
      <c r="D117" s="279">
        <f>C117/C107*100</f>
        <v>0.1547273874901692</v>
      </c>
      <c r="E117" s="134">
        <v>0</v>
      </c>
      <c r="F117" s="134">
        <f t="shared" si="53"/>
        <v>0</v>
      </c>
      <c r="G117" s="6">
        <f>2292000</f>
        <v>2292000</v>
      </c>
      <c r="H117" s="134">
        <v>0</v>
      </c>
      <c r="I117" s="134">
        <f t="shared" si="55"/>
        <v>0</v>
      </c>
      <c r="J117" s="6">
        <f t="shared" si="56"/>
        <v>0</v>
      </c>
      <c r="K117" s="6"/>
      <c r="L117" s="1"/>
      <c r="M117" s="1"/>
    </row>
    <row r="118" spans="1:15" x14ac:dyDescent="0.25">
      <c r="A118" s="315"/>
      <c r="B118" s="315" t="s">
        <v>566</v>
      </c>
      <c r="C118" s="248">
        <v>9777000</v>
      </c>
      <c r="D118" s="279"/>
      <c r="E118" s="134"/>
      <c r="F118" s="134"/>
      <c r="G118" s="6"/>
      <c r="H118" s="134"/>
      <c r="I118" s="134"/>
      <c r="J118" s="6"/>
      <c r="K118" s="6"/>
      <c r="L118" s="1"/>
      <c r="M118" s="1"/>
    </row>
    <row r="119" spans="1:15" x14ac:dyDescent="0.25">
      <c r="A119" s="315"/>
      <c r="B119" s="315" t="s">
        <v>567</v>
      </c>
      <c r="C119" s="248">
        <v>8400000</v>
      </c>
      <c r="D119" s="279"/>
      <c r="E119" s="134"/>
      <c r="F119" s="134"/>
      <c r="G119" s="6"/>
      <c r="H119" s="134"/>
      <c r="I119" s="134"/>
      <c r="J119" s="6"/>
      <c r="K119" s="6"/>
      <c r="L119" s="1"/>
      <c r="M119" s="1"/>
    </row>
    <row r="120" spans="1:15" x14ac:dyDescent="0.25">
      <c r="A120" s="228" t="s">
        <v>77</v>
      </c>
      <c r="B120" s="315" t="s">
        <v>103</v>
      </c>
      <c r="C120" s="247">
        <v>397980000</v>
      </c>
      <c r="D120" s="279">
        <f>C120/C107*100</f>
        <v>26.866669141944826</v>
      </c>
      <c r="E120" s="134">
        <f t="shared" si="52"/>
        <v>57.668098899442185</v>
      </c>
      <c r="F120" s="134">
        <f t="shared" si="53"/>
        <v>15.493497331762658</v>
      </c>
      <c r="G120" s="6">
        <f>225907500+3600000</f>
        <v>229507500</v>
      </c>
      <c r="H120" s="134">
        <f t="shared" si="54"/>
        <v>57.668098899442185</v>
      </c>
      <c r="I120" s="134">
        <f t="shared" si="55"/>
        <v>15.493497331762658</v>
      </c>
      <c r="J120" s="6">
        <f t="shared" si="56"/>
        <v>-168472500</v>
      </c>
      <c r="K120" s="6"/>
      <c r="L120" s="1"/>
      <c r="M120" s="1"/>
    </row>
    <row r="121" spans="1:15" x14ac:dyDescent="0.25">
      <c r="A121" s="228"/>
      <c r="B121" s="315" t="s">
        <v>568</v>
      </c>
      <c r="C121" s="247">
        <f>32650200</f>
        <v>32650200</v>
      </c>
      <c r="D121" s="279"/>
      <c r="E121" s="134"/>
      <c r="F121" s="134"/>
      <c r="G121" s="6"/>
      <c r="H121" s="134"/>
      <c r="I121" s="134"/>
      <c r="J121" s="6"/>
      <c r="K121" s="6"/>
      <c r="L121" s="1"/>
      <c r="M121" s="1"/>
    </row>
    <row r="122" spans="1:15" x14ac:dyDescent="0.25">
      <c r="A122" s="228" t="s">
        <v>225</v>
      </c>
      <c r="B122" s="315" t="s">
        <v>217</v>
      </c>
      <c r="C122" s="247">
        <v>600000</v>
      </c>
      <c r="D122" s="279">
        <f>C122/C107*100</f>
        <v>4.0504551698997172E-2</v>
      </c>
      <c r="E122" s="134">
        <f t="shared" si="52"/>
        <v>100</v>
      </c>
      <c r="F122" s="134">
        <f t="shared" si="53"/>
        <v>4.0504551698997165E-2</v>
      </c>
      <c r="G122" s="6">
        <f>600000</f>
        <v>600000</v>
      </c>
      <c r="H122" s="134">
        <f t="shared" si="54"/>
        <v>100</v>
      </c>
      <c r="I122" s="134">
        <f t="shared" si="55"/>
        <v>4.0504551698997165E-2</v>
      </c>
      <c r="J122" s="6">
        <f t="shared" si="56"/>
        <v>0</v>
      </c>
      <c r="K122" s="6"/>
      <c r="L122" s="1"/>
      <c r="M122" s="1"/>
    </row>
    <row r="123" spans="1:15" x14ac:dyDescent="0.25">
      <c r="A123" s="228"/>
      <c r="B123" s="315" t="s">
        <v>172</v>
      </c>
      <c r="C123" s="247">
        <v>3300000</v>
      </c>
      <c r="D123" s="279"/>
      <c r="E123" s="134"/>
      <c r="F123" s="134"/>
      <c r="G123" s="6"/>
      <c r="H123" s="134"/>
      <c r="I123" s="134"/>
      <c r="J123" s="6"/>
      <c r="K123" s="6"/>
      <c r="L123" s="1"/>
      <c r="M123" s="1"/>
    </row>
    <row r="124" spans="1:15" x14ac:dyDescent="0.25">
      <c r="A124" s="228" t="s">
        <v>283</v>
      </c>
      <c r="B124" s="315" t="s">
        <v>514</v>
      </c>
      <c r="C124" s="247">
        <v>5000000</v>
      </c>
      <c r="D124" s="279">
        <f>C124/C107*100</f>
        <v>0.33753793082497646</v>
      </c>
      <c r="E124" s="134">
        <f t="shared" si="52"/>
        <v>100</v>
      </c>
      <c r="F124" s="134">
        <f t="shared" si="53"/>
        <v>0.33753793082497646</v>
      </c>
      <c r="G124" s="6">
        <f>5000000</f>
        <v>5000000</v>
      </c>
      <c r="H124" s="134">
        <f t="shared" si="54"/>
        <v>100</v>
      </c>
      <c r="I124" s="134">
        <f t="shared" si="55"/>
        <v>0.33753793082497646</v>
      </c>
      <c r="J124" s="6">
        <f t="shared" si="56"/>
        <v>0</v>
      </c>
      <c r="K124" s="6"/>
      <c r="L124" s="1"/>
      <c r="M124" s="1"/>
    </row>
    <row r="125" spans="1:15" x14ac:dyDescent="0.25">
      <c r="A125" s="228" t="s">
        <v>104</v>
      </c>
      <c r="B125" s="315" t="s">
        <v>105</v>
      </c>
      <c r="C125" s="249">
        <v>76700000</v>
      </c>
      <c r="D125" s="279">
        <f>C125/C107*100</f>
        <v>5.1778318588551393</v>
      </c>
      <c r="E125" s="134">
        <f t="shared" si="52"/>
        <v>100</v>
      </c>
      <c r="F125" s="134">
        <f t="shared" si="53"/>
        <v>5.1778318588551393</v>
      </c>
      <c r="G125" s="6">
        <f>76700000</f>
        <v>76700000</v>
      </c>
      <c r="H125" s="134">
        <f t="shared" si="54"/>
        <v>100</v>
      </c>
      <c r="I125" s="134">
        <f t="shared" si="55"/>
        <v>5.1778318588551393</v>
      </c>
      <c r="J125" s="6">
        <f t="shared" si="56"/>
        <v>0</v>
      </c>
      <c r="K125" s="6"/>
      <c r="L125" s="1"/>
      <c r="M125" s="1"/>
    </row>
    <row r="126" spans="1:15" x14ac:dyDescent="0.25">
      <c r="A126" s="228" t="s">
        <v>130</v>
      </c>
      <c r="B126" s="315" t="s">
        <v>392</v>
      </c>
      <c r="C126" s="249">
        <v>28200000</v>
      </c>
      <c r="D126" s="279"/>
      <c r="E126" s="134"/>
      <c r="F126" s="134"/>
      <c r="G126" s="6">
        <f>28200000</f>
        <v>28200000</v>
      </c>
      <c r="H126" s="134"/>
      <c r="I126" s="134"/>
      <c r="J126" s="6">
        <f t="shared" si="56"/>
        <v>0</v>
      </c>
      <c r="K126" s="6"/>
      <c r="L126" s="1"/>
      <c r="M126" s="1"/>
    </row>
    <row r="127" spans="1:15" ht="25.5" x14ac:dyDescent="0.25">
      <c r="A127" s="228" t="s">
        <v>106</v>
      </c>
      <c r="B127" s="316" t="s">
        <v>107</v>
      </c>
      <c r="C127" s="251">
        <v>237000000</v>
      </c>
      <c r="D127" s="279">
        <f>C127/C107*100</f>
        <v>15.999297921103883</v>
      </c>
      <c r="E127" s="134">
        <f t="shared" si="52"/>
        <v>52.278481012658226</v>
      </c>
      <c r="F127" s="134">
        <f t="shared" si="53"/>
        <v>8.3641899258429149</v>
      </c>
      <c r="G127" s="135">
        <f>123900000</f>
        <v>123900000</v>
      </c>
      <c r="H127" s="134">
        <f t="shared" si="54"/>
        <v>52.278481012658226</v>
      </c>
      <c r="I127" s="134">
        <f t="shared" si="55"/>
        <v>8.3641899258429149</v>
      </c>
      <c r="J127" s="6">
        <f t="shared" si="56"/>
        <v>-113100000</v>
      </c>
      <c r="K127" s="6"/>
      <c r="L127" s="1"/>
      <c r="M127" s="1"/>
    </row>
    <row r="128" spans="1:15" x14ac:dyDescent="0.25">
      <c r="A128" s="228" t="s">
        <v>227</v>
      </c>
      <c r="B128" s="315" t="s">
        <v>218</v>
      </c>
      <c r="C128" s="250">
        <v>246000000</v>
      </c>
      <c r="D128" s="279">
        <f>C128/C107*100</f>
        <v>16.60686619658884</v>
      </c>
      <c r="E128" s="134">
        <f t="shared" si="52"/>
        <v>62.31707317073171</v>
      </c>
      <c r="F128" s="134">
        <f t="shared" si="53"/>
        <v>10.348912959093777</v>
      </c>
      <c r="G128" s="6">
        <f>153300000</f>
        <v>153300000</v>
      </c>
      <c r="H128" s="134">
        <f t="shared" si="54"/>
        <v>62.31707317073171</v>
      </c>
      <c r="I128" s="134">
        <f t="shared" si="55"/>
        <v>10.348912959093777</v>
      </c>
      <c r="J128" s="6">
        <f t="shared" si="56"/>
        <v>-92700000</v>
      </c>
      <c r="K128" s="6"/>
      <c r="L128" s="1"/>
      <c r="M128" s="1"/>
    </row>
    <row r="129" spans="1:13" x14ac:dyDescent="0.25">
      <c r="A129" s="228" t="s">
        <v>607</v>
      </c>
      <c r="B129" s="315" t="s">
        <v>606</v>
      </c>
      <c r="C129" s="250">
        <v>51600000</v>
      </c>
      <c r="D129" s="279"/>
      <c r="E129" s="134"/>
      <c r="F129" s="134"/>
      <c r="G129" s="6"/>
      <c r="H129" s="134"/>
      <c r="I129" s="134"/>
      <c r="J129" s="6"/>
      <c r="K129" s="6"/>
      <c r="L129" s="1"/>
      <c r="M129" s="1"/>
    </row>
    <row r="130" spans="1:13" x14ac:dyDescent="0.25">
      <c r="A130" s="315" t="s">
        <v>108</v>
      </c>
      <c r="B130" s="315" t="s">
        <v>109</v>
      </c>
      <c r="C130" s="250">
        <v>1200000</v>
      </c>
      <c r="D130" s="279">
        <f>C130/C107*100</f>
        <v>8.1009103397994345E-2</v>
      </c>
      <c r="E130" s="134">
        <f t="shared" si="52"/>
        <v>0</v>
      </c>
      <c r="F130" s="134">
        <f t="shared" si="53"/>
        <v>0</v>
      </c>
      <c r="G130" s="6">
        <v>0</v>
      </c>
      <c r="H130" s="134">
        <f t="shared" si="54"/>
        <v>0</v>
      </c>
      <c r="I130" s="134">
        <f t="shared" si="55"/>
        <v>0</v>
      </c>
      <c r="J130" s="6">
        <f t="shared" si="56"/>
        <v>-1200000</v>
      </c>
      <c r="K130" s="6"/>
      <c r="L130" s="1"/>
      <c r="M130" s="1"/>
    </row>
    <row r="131" spans="1:13" x14ac:dyDescent="0.25">
      <c r="A131" s="315"/>
      <c r="B131" s="315" t="s">
        <v>573</v>
      </c>
      <c r="C131" s="250">
        <v>3532200</v>
      </c>
      <c r="D131" s="279"/>
      <c r="E131" s="134"/>
      <c r="F131" s="134"/>
      <c r="G131" s="6"/>
      <c r="H131" s="134"/>
      <c r="I131" s="134"/>
      <c r="J131" s="6"/>
      <c r="K131" s="6"/>
      <c r="L131" s="1"/>
      <c r="M131" s="1"/>
    </row>
    <row r="132" spans="1:13" x14ac:dyDescent="0.25">
      <c r="A132" s="315"/>
      <c r="B132" s="315" t="s">
        <v>574</v>
      </c>
      <c r="C132" s="250">
        <v>4415250</v>
      </c>
      <c r="D132" s="279"/>
      <c r="E132" s="134"/>
      <c r="F132" s="134"/>
      <c r="G132" s="6"/>
      <c r="H132" s="134"/>
      <c r="I132" s="134"/>
      <c r="J132" s="6"/>
      <c r="K132" s="6"/>
      <c r="L132" s="1"/>
      <c r="M132" s="1"/>
    </row>
    <row r="133" spans="1:13" x14ac:dyDescent="0.25">
      <c r="A133" s="83" t="s">
        <v>162</v>
      </c>
      <c r="B133" s="315" t="s">
        <v>515</v>
      </c>
      <c r="C133" s="250">
        <v>3000000</v>
      </c>
      <c r="D133" s="279">
        <f>C133/C107*100</f>
        <v>0.20252275849498586</v>
      </c>
      <c r="E133" s="134">
        <f t="shared" si="52"/>
        <v>40</v>
      </c>
      <c r="F133" s="134">
        <f t="shared" si="53"/>
        <v>8.1009103397994331E-2</v>
      </c>
      <c r="G133" s="6">
        <f>1200000</f>
        <v>1200000</v>
      </c>
      <c r="H133" s="134">
        <f t="shared" si="54"/>
        <v>40</v>
      </c>
      <c r="I133" s="134">
        <f t="shared" si="55"/>
        <v>8.1009103397994331E-2</v>
      </c>
      <c r="J133" s="6">
        <f t="shared" si="56"/>
        <v>-1800000</v>
      </c>
      <c r="K133" s="6"/>
      <c r="L133" s="1"/>
      <c r="M133" s="1"/>
    </row>
    <row r="134" spans="1:13" ht="25.5" x14ac:dyDescent="0.25">
      <c r="A134" s="315" t="s">
        <v>116</v>
      </c>
      <c r="B134" s="316" t="s">
        <v>516</v>
      </c>
      <c r="C134" s="250">
        <v>20177550</v>
      </c>
      <c r="D134" s="279">
        <f>C134/C107*100</f>
        <v>1.3621376952235007</v>
      </c>
      <c r="E134" s="134">
        <f t="shared" si="52"/>
        <v>4.9188330595141636</v>
      </c>
      <c r="F134" s="134">
        <f t="shared" si="53"/>
        <v>6.7001279268757832E-2</v>
      </c>
      <c r="G134" s="6">
        <f>992500</f>
        <v>992500</v>
      </c>
      <c r="H134" s="134">
        <f t="shared" si="54"/>
        <v>4.9188330595141636</v>
      </c>
      <c r="I134" s="134">
        <f t="shared" si="55"/>
        <v>6.7001279268757832E-2</v>
      </c>
      <c r="J134" s="6">
        <f t="shared" si="56"/>
        <v>-19185050</v>
      </c>
      <c r="K134" s="6"/>
      <c r="L134" s="1"/>
      <c r="M134" s="1"/>
    </row>
    <row r="135" spans="1:13" x14ac:dyDescent="0.25">
      <c r="A135" s="228" t="s">
        <v>65</v>
      </c>
      <c r="B135" s="315" t="s">
        <v>393</v>
      </c>
      <c r="C135" s="251">
        <v>49702000</v>
      </c>
      <c r="D135" s="279">
        <f>C135/C108*100</f>
        <v>3.3552620475725958</v>
      </c>
      <c r="E135" s="134">
        <f t="shared" si="52"/>
        <v>77.836626292704509</v>
      </c>
      <c r="F135" s="134">
        <f t="shared" si="53"/>
        <v>2.611622781110027</v>
      </c>
      <c r="G135" s="6">
        <f>33176360+5510000</f>
        <v>38686360</v>
      </c>
      <c r="H135" s="134">
        <f t="shared" si="54"/>
        <v>77.836626292704509</v>
      </c>
      <c r="I135" s="134">
        <f t="shared" si="55"/>
        <v>2.611622781110027</v>
      </c>
      <c r="J135" s="6">
        <f t="shared" si="56"/>
        <v>-11015640</v>
      </c>
      <c r="K135" s="6"/>
    </row>
    <row r="136" spans="1:13" x14ac:dyDescent="0.25">
      <c r="A136" s="228" t="s">
        <v>66</v>
      </c>
      <c r="B136" s="315" t="s">
        <v>120</v>
      </c>
      <c r="C136" s="251">
        <v>41885000</v>
      </c>
      <c r="D136" s="279">
        <f>C136/C109*100</f>
        <v>57.313902572523268</v>
      </c>
      <c r="E136" s="134">
        <f t="shared" si="52"/>
        <v>92.204846603796113</v>
      </c>
      <c r="F136" s="134">
        <f t="shared" si="53"/>
        <v>52.846195949644233</v>
      </c>
      <c r="G136" s="6">
        <f>38620000</f>
        <v>38620000</v>
      </c>
      <c r="H136" s="134">
        <v>0</v>
      </c>
      <c r="I136" s="134">
        <v>0</v>
      </c>
      <c r="J136" s="6">
        <f t="shared" si="56"/>
        <v>-3265000</v>
      </c>
      <c r="K136" s="6"/>
    </row>
    <row r="137" spans="1:13" x14ac:dyDescent="0.25">
      <c r="A137" s="315" t="s">
        <v>287</v>
      </c>
      <c r="B137" s="315" t="s">
        <v>191</v>
      </c>
      <c r="C137" s="250">
        <v>15000000</v>
      </c>
      <c r="D137" s="279">
        <f>C137/C107*100</f>
        <v>1.0126137924749292</v>
      </c>
      <c r="E137" s="134">
        <f t="shared" si="52"/>
        <v>0</v>
      </c>
      <c r="F137" s="134">
        <f t="shared" si="53"/>
        <v>0</v>
      </c>
      <c r="G137" s="6">
        <v>0</v>
      </c>
      <c r="H137" s="134">
        <f t="shared" si="54"/>
        <v>0</v>
      </c>
      <c r="I137" s="134">
        <f t="shared" si="55"/>
        <v>0</v>
      </c>
      <c r="J137" s="6">
        <f t="shared" si="56"/>
        <v>-15000000</v>
      </c>
      <c r="K137" s="6"/>
    </row>
    <row r="138" spans="1:13" x14ac:dyDescent="0.25">
      <c r="A138" s="803" t="s">
        <v>520</v>
      </c>
      <c r="B138" s="315" t="s">
        <v>517</v>
      </c>
      <c r="C138" s="250">
        <v>29750000</v>
      </c>
      <c r="D138" s="279"/>
      <c r="E138" s="134"/>
      <c r="F138" s="134"/>
      <c r="G138" s="6">
        <f>29750000</f>
        <v>29750000</v>
      </c>
      <c r="H138" s="134"/>
      <c r="I138" s="134"/>
      <c r="J138" s="6">
        <f t="shared" si="56"/>
        <v>0</v>
      </c>
      <c r="K138" s="6"/>
    </row>
    <row r="139" spans="1:13" x14ac:dyDescent="0.25">
      <c r="A139" s="803"/>
      <c r="B139" s="315" t="s">
        <v>575</v>
      </c>
      <c r="C139" s="921">
        <v>2000000</v>
      </c>
      <c r="D139" s="279"/>
      <c r="E139" s="134"/>
      <c r="F139" s="134"/>
      <c r="G139" s="6"/>
      <c r="H139" s="134"/>
      <c r="I139" s="134"/>
      <c r="J139" s="6"/>
      <c r="K139" s="6"/>
    </row>
    <row r="140" spans="1:13" x14ac:dyDescent="0.25">
      <c r="A140" s="803"/>
      <c r="B140" s="315" t="s">
        <v>576</v>
      </c>
      <c r="C140" s="921">
        <v>9000000</v>
      </c>
      <c r="D140" s="279"/>
      <c r="E140" s="134"/>
      <c r="F140" s="134"/>
      <c r="G140" s="6"/>
      <c r="H140" s="134"/>
      <c r="I140" s="134"/>
      <c r="J140" s="6"/>
      <c r="K140" s="6"/>
    </row>
    <row r="141" spans="1:13" x14ac:dyDescent="0.25">
      <c r="A141" s="803"/>
      <c r="B141" s="315" t="s">
        <v>577</v>
      </c>
      <c r="C141" s="921">
        <v>17500000</v>
      </c>
      <c r="D141" s="279"/>
      <c r="E141" s="134"/>
      <c r="F141" s="134"/>
      <c r="G141" s="6"/>
      <c r="H141" s="134"/>
      <c r="I141" s="134"/>
      <c r="J141" s="6"/>
      <c r="K141" s="6"/>
    </row>
    <row r="142" spans="1:13" x14ac:dyDescent="0.25">
      <c r="A142" s="803"/>
      <c r="B142" s="315" t="s">
        <v>410</v>
      </c>
      <c r="C142" s="921">
        <v>825000</v>
      </c>
      <c r="D142" s="279"/>
      <c r="E142" s="134"/>
      <c r="F142" s="134"/>
      <c r="G142" s="6"/>
      <c r="H142" s="134"/>
      <c r="I142" s="134"/>
      <c r="J142" s="6"/>
      <c r="K142" s="6"/>
    </row>
    <row r="143" spans="1:13" x14ac:dyDescent="0.25">
      <c r="A143" s="803"/>
      <c r="B143" s="315" t="s">
        <v>412</v>
      </c>
      <c r="C143" s="921">
        <v>10000000</v>
      </c>
      <c r="D143" s="279"/>
      <c r="E143" s="134"/>
      <c r="F143" s="134"/>
      <c r="G143" s="6"/>
      <c r="H143" s="134"/>
      <c r="I143" s="134"/>
      <c r="J143" s="6"/>
      <c r="K143" s="6"/>
    </row>
    <row r="144" spans="1:13" x14ac:dyDescent="0.25">
      <c r="A144" s="1066" t="s">
        <v>95</v>
      </c>
      <c r="B144" s="1067"/>
      <c r="C144" s="1068"/>
      <c r="D144" s="277"/>
      <c r="E144" s="134"/>
      <c r="F144" s="134"/>
      <c r="G144" s="26">
        <f>SUM(G109:G143)</f>
        <v>821024460</v>
      </c>
      <c r="H144" s="134"/>
      <c r="I144" s="134"/>
      <c r="J144" s="734"/>
      <c r="K144" s="26">
        <v>0</v>
      </c>
    </row>
    <row r="145" spans="1:15" x14ac:dyDescent="0.25">
      <c r="A145" s="52"/>
      <c r="B145" s="8"/>
      <c r="C145" s="52"/>
      <c r="D145" s="27"/>
      <c r="E145" s="28"/>
      <c r="F145" s="23"/>
      <c r="G145" s="11"/>
      <c r="H145" s="23"/>
      <c r="I145" s="23"/>
      <c r="J145" s="9"/>
      <c r="K145" s="9"/>
    </row>
    <row r="146" spans="1:15" x14ac:dyDescent="0.25">
      <c r="A146" s="50"/>
      <c r="B146" s="5"/>
      <c r="C146" s="50"/>
      <c r="D146" s="9"/>
      <c r="E146" s="23"/>
      <c r="F146" s="23"/>
      <c r="G146" s="11"/>
      <c r="H146" s="23"/>
      <c r="I146" s="23"/>
      <c r="J146" s="9"/>
      <c r="K146" s="9"/>
    </row>
    <row r="147" spans="1:15" x14ac:dyDescent="0.25">
      <c r="A147" s="1069" t="s">
        <v>2</v>
      </c>
      <c r="B147" s="1069" t="s">
        <v>123</v>
      </c>
      <c r="C147" s="914"/>
      <c r="D147" s="1063" t="s">
        <v>5</v>
      </c>
      <c r="E147" s="1064"/>
      <c r="F147" s="1064"/>
      <c r="G147" s="1065" t="s">
        <v>6</v>
      </c>
      <c r="H147" s="1064"/>
      <c r="I147" s="1064"/>
      <c r="J147" s="1056" t="s">
        <v>7</v>
      </c>
      <c r="K147" s="1056" t="s">
        <v>8</v>
      </c>
    </row>
    <row r="148" spans="1:15" x14ac:dyDescent="0.25">
      <c r="A148" s="1070"/>
      <c r="B148" s="1070"/>
      <c r="C148" s="915" t="s">
        <v>124</v>
      </c>
      <c r="D148" s="89" t="s">
        <v>9</v>
      </c>
      <c r="E148" s="90" t="s">
        <v>10</v>
      </c>
      <c r="F148" s="90" t="s">
        <v>11</v>
      </c>
      <c r="G148" s="91" t="s">
        <v>12</v>
      </c>
      <c r="H148" s="90" t="s">
        <v>13</v>
      </c>
      <c r="I148" s="90" t="s">
        <v>11</v>
      </c>
      <c r="J148" s="1057"/>
      <c r="K148" s="1057"/>
      <c r="O148" s="713"/>
    </row>
    <row r="149" spans="1:15" x14ac:dyDescent="0.25">
      <c r="A149" s="1071"/>
      <c r="B149" s="1071"/>
      <c r="C149" s="915"/>
      <c r="D149" s="92" t="s">
        <v>14</v>
      </c>
      <c r="E149" s="93" t="s">
        <v>14</v>
      </c>
      <c r="F149" s="93" t="s">
        <v>14</v>
      </c>
      <c r="G149" s="94" t="s">
        <v>15</v>
      </c>
      <c r="H149" s="93" t="s">
        <v>14</v>
      </c>
      <c r="I149" s="93" t="s">
        <v>14</v>
      </c>
      <c r="J149" s="92" t="s">
        <v>15</v>
      </c>
      <c r="K149" s="1058"/>
    </row>
    <row r="150" spans="1:15" ht="25.5" x14ac:dyDescent="0.25">
      <c r="A150" s="139" t="s">
        <v>180</v>
      </c>
      <c r="B150" s="696" t="s">
        <v>379</v>
      </c>
      <c r="C150" s="58"/>
      <c r="D150" s="38"/>
      <c r="E150" s="134"/>
      <c r="F150" s="134"/>
      <c r="G150" s="135"/>
      <c r="H150" s="134"/>
      <c r="I150" s="134"/>
      <c r="J150" s="38"/>
      <c r="K150" s="10"/>
    </row>
    <row r="151" spans="1:15" ht="25.5" x14ac:dyDescent="0.25">
      <c r="A151" s="176" t="s">
        <v>181</v>
      </c>
      <c r="B151" s="697" t="s">
        <v>380</v>
      </c>
      <c r="C151" s="86">
        <f>SUM(C152:C166)</f>
        <v>200500000</v>
      </c>
      <c r="D151" s="179"/>
      <c r="E151" s="180"/>
      <c r="F151" s="180"/>
      <c r="G151" s="181"/>
      <c r="H151" s="180"/>
      <c r="I151" s="180"/>
      <c r="J151" s="179"/>
      <c r="K151" s="167"/>
    </row>
    <row r="152" spans="1:15" ht="25.5" x14ac:dyDescent="0.25">
      <c r="A152" s="170" t="s">
        <v>44</v>
      </c>
      <c r="B152" s="707" t="s">
        <v>384</v>
      </c>
      <c r="C152" s="58">
        <v>8580000</v>
      </c>
      <c r="D152" s="180">
        <f>C152/C151*100</f>
        <v>4.2793017456359097</v>
      </c>
      <c r="E152" s="134">
        <f t="shared" ref="E152:E161" si="57">G152/C152*100</f>
        <v>100</v>
      </c>
      <c r="F152" s="134">
        <f t="shared" ref="F152:F161" si="58">(D152*E152)/100</f>
        <v>4.2793017456359097</v>
      </c>
      <c r="G152" s="181">
        <f>8580000</f>
        <v>8580000</v>
      </c>
      <c r="H152" s="134">
        <f t="shared" ref="H152:H161" si="59">G152/C152*100</f>
        <v>100</v>
      </c>
      <c r="I152" s="134">
        <f t="shared" ref="I152:I161" si="60">(D152*H152)/100</f>
        <v>4.2793017456359097</v>
      </c>
      <c r="J152" s="6">
        <f t="shared" ref="J152:J166" si="61">G152-C152</f>
        <v>0</v>
      </c>
      <c r="K152" s="167"/>
    </row>
    <row r="153" spans="1:15" x14ac:dyDescent="0.25">
      <c r="A153" s="170" t="s">
        <v>448</v>
      </c>
      <c r="B153" s="707" t="s">
        <v>578</v>
      </c>
      <c r="C153" s="58">
        <v>510000</v>
      </c>
      <c r="D153" s="180"/>
      <c r="E153" s="134"/>
      <c r="F153" s="134"/>
      <c r="G153" s="181"/>
      <c r="H153" s="134"/>
      <c r="I153" s="134"/>
      <c r="J153" s="6"/>
      <c r="K153" s="167"/>
    </row>
    <row r="154" spans="1:15" x14ac:dyDescent="0.25">
      <c r="A154" s="170" t="s">
        <v>59</v>
      </c>
      <c r="B154" s="707" t="s">
        <v>197</v>
      </c>
      <c r="C154" s="58">
        <v>13390000</v>
      </c>
      <c r="D154" s="180">
        <f>C154/C151*100</f>
        <v>6.6783042394014958</v>
      </c>
      <c r="E154" s="134">
        <f t="shared" si="57"/>
        <v>66.691560866318142</v>
      </c>
      <c r="F154" s="134">
        <f t="shared" si="58"/>
        <v>4.4538653366583532</v>
      </c>
      <c r="G154" s="181">
        <f>8930000</f>
        <v>8930000</v>
      </c>
      <c r="H154" s="134">
        <f t="shared" si="59"/>
        <v>66.691560866318142</v>
      </c>
      <c r="I154" s="134">
        <f t="shared" si="60"/>
        <v>4.4538653366583532</v>
      </c>
      <c r="J154" s="6">
        <f t="shared" si="61"/>
        <v>-4460000</v>
      </c>
      <c r="K154" s="167"/>
    </row>
    <row r="155" spans="1:15" x14ac:dyDescent="0.25">
      <c r="A155" s="170" t="s">
        <v>62</v>
      </c>
      <c r="B155" s="707" t="s">
        <v>334</v>
      </c>
      <c r="C155" s="58">
        <v>8840000</v>
      </c>
      <c r="D155" s="180">
        <v>2.34</v>
      </c>
      <c r="E155" s="134">
        <f t="shared" si="57"/>
        <v>54.751131221719461</v>
      </c>
      <c r="F155" s="134">
        <f t="shared" si="58"/>
        <v>1.2811764705882354</v>
      </c>
      <c r="G155" s="181">
        <f>4840000</f>
        <v>4840000</v>
      </c>
      <c r="H155" s="134">
        <f t="shared" si="59"/>
        <v>54.751131221719461</v>
      </c>
      <c r="I155" s="134">
        <f t="shared" si="60"/>
        <v>1.2811764705882354</v>
      </c>
      <c r="J155" s="6">
        <f t="shared" si="61"/>
        <v>-4000000</v>
      </c>
      <c r="K155" s="167"/>
    </row>
    <row r="156" spans="1:15" ht="25.5" x14ac:dyDescent="0.25">
      <c r="A156" s="170" t="s">
        <v>193</v>
      </c>
      <c r="B156" s="316" t="s">
        <v>372</v>
      </c>
      <c r="C156" s="58">
        <v>6300000</v>
      </c>
      <c r="D156" s="180"/>
      <c r="E156" s="134"/>
      <c r="F156" s="134"/>
      <c r="G156" s="181">
        <f>6300000</f>
        <v>6300000</v>
      </c>
      <c r="H156" s="134"/>
      <c r="I156" s="134"/>
      <c r="J156" s="6">
        <f t="shared" si="61"/>
        <v>0</v>
      </c>
      <c r="K156" s="167"/>
    </row>
    <row r="157" spans="1:15" x14ac:dyDescent="0.25">
      <c r="A157" s="170" t="s">
        <v>148</v>
      </c>
      <c r="B157" s="133" t="s">
        <v>531</v>
      </c>
      <c r="C157" s="58">
        <v>10000000</v>
      </c>
      <c r="D157" s="180"/>
      <c r="E157" s="134"/>
      <c r="F157" s="134"/>
      <c r="G157" s="181">
        <f>10000000</f>
        <v>10000000</v>
      </c>
      <c r="H157" s="134"/>
      <c r="I157" s="134"/>
      <c r="J157" s="6">
        <f t="shared" si="61"/>
        <v>0</v>
      </c>
      <c r="K157" s="167"/>
    </row>
    <row r="158" spans="1:15" x14ac:dyDescent="0.25">
      <c r="A158" s="170" t="s">
        <v>579</v>
      </c>
      <c r="B158" s="133" t="s">
        <v>580</v>
      </c>
      <c r="C158" s="58">
        <v>9990000</v>
      </c>
      <c r="D158" s="180"/>
      <c r="E158" s="134"/>
      <c r="F158" s="134"/>
      <c r="G158" s="181"/>
      <c r="H158" s="134"/>
      <c r="I158" s="134"/>
      <c r="J158" s="6"/>
      <c r="K158" s="167"/>
    </row>
    <row r="159" spans="1:15" x14ac:dyDescent="0.25">
      <c r="A159" s="170" t="s">
        <v>77</v>
      </c>
      <c r="B159" s="170" t="s">
        <v>127</v>
      </c>
      <c r="C159" s="58">
        <v>67741000</v>
      </c>
      <c r="D159" s="180">
        <f>C159/C151*100</f>
        <v>33.786034912718208</v>
      </c>
      <c r="E159" s="134">
        <f t="shared" si="57"/>
        <v>75.996811384538162</v>
      </c>
      <c r="F159" s="134">
        <f t="shared" si="58"/>
        <v>25.676309226932666</v>
      </c>
      <c r="G159" s="181">
        <f>51481000</f>
        <v>51481000</v>
      </c>
      <c r="H159" s="134">
        <f t="shared" si="59"/>
        <v>75.996811384538162</v>
      </c>
      <c r="I159" s="134">
        <f t="shared" si="60"/>
        <v>25.676309226932666</v>
      </c>
      <c r="J159" s="6">
        <f t="shared" si="61"/>
        <v>-16260000</v>
      </c>
      <c r="K159" s="167"/>
    </row>
    <row r="160" spans="1:15" x14ac:dyDescent="0.25">
      <c r="A160" s="170" t="s">
        <v>183</v>
      </c>
      <c r="B160" s="170" t="s">
        <v>178</v>
      </c>
      <c r="C160" s="58">
        <v>17000000</v>
      </c>
      <c r="D160" s="180">
        <f>C160/C151*100</f>
        <v>8.4788029925187036</v>
      </c>
      <c r="E160" s="134">
        <f t="shared" si="57"/>
        <v>41.17647058823529</v>
      </c>
      <c r="F160" s="134">
        <f t="shared" si="58"/>
        <v>3.491271820448878</v>
      </c>
      <c r="G160" s="181">
        <f>7000000</f>
        <v>7000000</v>
      </c>
      <c r="H160" s="134">
        <f t="shared" si="59"/>
        <v>41.17647058823529</v>
      </c>
      <c r="I160" s="134">
        <f t="shared" si="60"/>
        <v>3.491271820448878</v>
      </c>
      <c r="J160" s="6">
        <f t="shared" si="61"/>
        <v>-10000000</v>
      </c>
      <c r="K160" s="167"/>
    </row>
    <row r="161" spans="1:14" x14ac:dyDescent="0.25">
      <c r="A161" s="170" t="s">
        <v>104</v>
      </c>
      <c r="B161" s="170" t="s">
        <v>182</v>
      </c>
      <c r="C161" s="58">
        <v>23200000</v>
      </c>
      <c r="D161" s="180">
        <f>C161/C151*100</f>
        <v>11.571072319201996</v>
      </c>
      <c r="E161" s="134">
        <f t="shared" si="57"/>
        <v>100</v>
      </c>
      <c r="F161" s="134">
        <f t="shared" si="58"/>
        <v>11.571072319201996</v>
      </c>
      <c r="G161" s="181">
        <f>23200000</f>
        <v>23200000</v>
      </c>
      <c r="H161" s="134">
        <f t="shared" si="59"/>
        <v>100</v>
      </c>
      <c r="I161" s="134">
        <f t="shared" si="60"/>
        <v>11.571072319201996</v>
      </c>
      <c r="J161" s="6">
        <f t="shared" si="61"/>
        <v>0</v>
      </c>
      <c r="K161" s="167"/>
    </row>
    <row r="162" spans="1:14" ht="25.5" x14ac:dyDescent="0.25">
      <c r="A162" s="170" t="s">
        <v>106</v>
      </c>
      <c r="B162" s="316" t="s">
        <v>107</v>
      </c>
      <c r="C162" s="58">
        <v>22200000</v>
      </c>
      <c r="D162" s="180"/>
      <c r="E162" s="134"/>
      <c r="F162" s="134"/>
      <c r="G162" s="181">
        <f>22200000</f>
        <v>22200000</v>
      </c>
      <c r="H162" s="134"/>
      <c r="I162" s="134"/>
      <c r="J162" s="6">
        <f t="shared" si="61"/>
        <v>0</v>
      </c>
      <c r="K162" s="167"/>
    </row>
    <row r="163" spans="1:14" x14ac:dyDescent="0.25">
      <c r="A163" s="170" t="s">
        <v>162</v>
      </c>
      <c r="B163" s="315" t="s">
        <v>515</v>
      </c>
      <c r="C163" s="58">
        <v>2000000</v>
      </c>
      <c r="D163" s="180"/>
      <c r="E163" s="134"/>
      <c r="F163" s="134"/>
      <c r="G163" s="181">
        <f>2000000</f>
        <v>2000000</v>
      </c>
      <c r="H163" s="134"/>
      <c r="I163" s="134"/>
      <c r="J163" s="6">
        <f t="shared" si="61"/>
        <v>0</v>
      </c>
      <c r="K163" s="167"/>
    </row>
    <row r="164" spans="1:14" x14ac:dyDescent="0.25">
      <c r="A164" s="170" t="s">
        <v>521</v>
      </c>
      <c r="B164" s="316" t="s">
        <v>526</v>
      </c>
      <c r="C164" s="58">
        <v>1000000</v>
      </c>
      <c r="D164" s="180"/>
      <c r="E164" s="134"/>
      <c r="F164" s="134"/>
      <c r="G164" s="181">
        <f>1000000</f>
        <v>1000000</v>
      </c>
      <c r="H164" s="134"/>
      <c r="I164" s="134"/>
      <c r="J164" s="6">
        <f t="shared" si="61"/>
        <v>0</v>
      </c>
      <c r="K164" s="167"/>
    </row>
    <row r="165" spans="1:14" ht="25.5" x14ac:dyDescent="0.25">
      <c r="A165" s="747" t="s">
        <v>116</v>
      </c>
      <c r="B165" s="316" t="s">
        <v>420</v>
      </c>
      <c r="C165" s="58">
        <v>2749000</v>
      </c>
      <c r="D165" s="180"/>
      <c r="E165" s="134"/>
      <c r="F165" s="134"/>
      <c r="G165" s="181">
        <f>2749000</f>
        <v>2749000</v>
      </c>
      <c r="H165" s="134"/>
      <c r="I165" s="134"/>
      <c r="J165" s="6">
        <f t="shared" si="61"/>
        <v>0</v>
      </c>
      <c r="K165" s="167"/>
    </row>
    <row r="166" spans="1:14" x14ac:dyDescent="0.25">
      <c r="A166" s="747" t="s">
        <v>65</v>
      </c>
      <c r="B166" s="315" t="s">
        <v>393</v>
      </c>
      <c r="C166" s="58">
        <v>7000000</v>
      </c>
      <c r="D166" s="180"/>
      <c r="E166" s="134"/>
      <c r="F166" s="134"/>
      <c r="G166" s="181">
        <f>6932360</f>
        <v>6932360</v>
      </c>
      <c r="H166" s="134"/>
      <c r="I166" s="134"/>
      <c r="J166" s="6">
        <f t="shared" si="61"/>
        <v>-67640</v>
      </c>
      <c r="K166" s="167"/>
    </row>
    <row r="167" spans="1:14" x14ac:dyDescent="0.25">
      <c r="A167" s="747" t="s">
        <v>589</v>
      </c>
      <c r="B167" s="924" t="s">
        <v>207</v>
      </c>
      <c r="C167" s="58">
        <v>12000000</v>
      </c>
      <c r="D167" s="180"/>
      <c r="E167" s="134"/>
      <c r="F167" s="134"/>
      <c r="G167" s="181"/>
      <c r="H167" s="134"/>
      <c r="I167" s="134"/>
      <c r="J167" s="6"/>
      <c r="K167" s="167"/>
    </row>
    <row r="168" spans="1:14" x14ac:dyDescent="0.25">
      <c r="A168" s="747" t="s">
        <v>584</v>
      </c>
      <c r="B168" s="924" t="s">
        <v>583</v>
      </c>
      <c r="C168" s="58">
        <v>17500000</v>
      </c>
      <c r="D168" s="180"/>
      <c r="E168" s="134"/>
      <c r="F168" s="134"/>
      <c r="G168" s="181"/>
      <c r="H168" s="134"/>
      <c r="I168" s="134"/>
      <c r="J168" s="6"/>
      <c r="K168" s="167"/>
    </row>
    <row r="169" spans="1:14" x14ac:dyDescent="0.25">
      <c r="A169" s="747" t="s">
        <v>596</v>
      </c>
      <c r="B169" s="924" t="s">
        <v>595</v>
      </c>
      <c r="C169" s="58">
        <v>5000000</v>
      </c>
      <c r="D169" s="180"/>
      <c r="E169" s="134"/>
      <c r="F169" s="134"/>
      <c r="G169" s="181"/>
      <c r="H169" s="134"/>
      <c r="I169" s="134"/>
      <c r="J169" s="6"/>
      <c r="K169" s="167"/>
    </row>
    <row r="170" spans="1:14" x14ac:dyDescent="0.25">
      <c r="A170" s="1059" t="s">
        <v>128</v>
      </c>
      <c r="B170" s="1060"/>
      <c r="C170" s="60">
        <f>SUM(C152:C169)</f>
        <v>235000000</v>
      </c>
      <c r="D170" s="276">
        <f>SUM(D152:D164)</f>
        <v>67.133516209476312</v>
      </c>
      <c r="E170" s="134"/>
      <c r="F170" s="134"/>
      <c r="G170" s="837">
        <f>SUM(G152:G169)</f>
        <v>155212360</v>
      </c>
      <c r="H170" s="134"/>
      <c r="I170" s="134"/>
      <c r="J170" s="56">
        <v>0</v>
      </c>
      <c r="K170" s="3"/>
    </row>
    <row r="171" spans="1:14" x14ac:dyDescent="0.25">
      <c r="A171" s="54"/>
      <c r="B171" s="54"/>
      <c r="C171" s="59"/>
      <c r="D171" s="182"/>
      <c r="E171" s="183"/>
      <c r="F171" s="183"/>
      <c r="G171" s="184"/>
      <c r="H171" s="183"/>
      <c r="I171" s="183"/>
      <c r="J171" s="185"/>
      <c r="K171" s="37"/>
    </row>
    <row r="172" spans="1:14" ht="31.5" x14ac:dyDescent="0.25">
      <c r="A172" s="55"/>
      <c r="B172" s="46" t="s">
        <v>145</v>
      </c>
      <c r="C172" s="155"/>
      <c r="D172" s="44"/>
      <c r="E172" s="45"/>
      <c r="F172" s="45"/>
      <c r="G172" s="48"/>
      <c r="H172" s="45"/>
      <c r="I172" s="45"/>
      <c r="J172" s="44"/>
      <c r="K172" s="44"/>
      <c r="L172" s="1"/>
      <c r="M172" s="1"/>
      <c r="N172" s="1"/>
    </row>
    <row r="173" spans="1:14" x14ac:dyDescent="0.25">
      <c r="A173" s="1061" t="s">
        <v>2</v>
      </c>
      <c r="B173" s="1062" t="s">
        <v>176</v>
      </c>
      <c r="C173" s="1061" t="s">
        <v>4</v>
      </c>
      <c r="D173" s="1063" t="s">
        <v>5</v>
      </c>
      <c r="E173" s="1064"/>
      <c r="F173" s="1064"/>
      <c r="G173" s="1065" t="s">
        <v>6</v>
      </c>
      <c r="H173" s="1064"/>
      <c r="I173" s="1064"/>
      <c r="J173" s="1061" t="s">
        <v>7</v>
      </c>
      <c r="K173" s="281" t="s">
        <v>8</v>
      </c>
      <c r="L173" s="1"/>
      <c r="M173" s="1"/>
      <c r="N173" s="1"/>
    </row>
    <row r="174" spans="1:14" x14ac:dyDescent="0.25">
      <c r="A174" s="1061"/>
      <c r="B174" s="1062"/>
      <c r="C174" s="1061"/>
      <c r="D174" s="281" t="s">
        <v>9</v>
      </c>
      <c r="E174" s="292" t="s">
        <v>10</v>
      </c>
      <c r="F174" s="292" t="s">
        <v>11</v>
      </c>
      <c r="G174" s="293" t="s">
        <v>12</v>
      </c>
      <c r="H174" s="292" t="s">
        <v>13</v>
      </c>
      <c r="I174" s="292" t="s">
        <v>11</v>
      </c>
      <c r="J174" s="1056"/>
      <c r="K174" s="89"/>
    </row>
    <row r="175" spans="1:14" x14ac:dyDescent="0.25">
      <c r="A175" s="1061"/>
      <c r="B175" s="1062"/>
      <c r="C175" s="1061"/>
      <c r="D175" s="92" t="s">
        <v>14</v>
      </c>
      <c r="E175" s="93" t="s">
        <v>14</v>
      </c>
      <c r="F175" s="93" t="s">
        <v>14</v>
      </c>
      <c r="G175" s="94" t="s">
        <v>15</v>
      </c>
      <c r="H175" s="93" t="s">
        <v>14</v>
      </c>
      <c r="I175" s="93" t="s">
        <v>14</v>
      </c>
      <c r="J175" s="92" t="s">
        <v>15</v>
      </c>
      <c r="K175" s="92"/>
    </row>
    <row r="176" spans="1:14" x14ac:dyDescent="0.25">
      <c r="A176" s="79" t="s">
        <v>185</v>
      </c>
      <c r="B176" s="199" t="s">
        <v>146</v>
      </c>
      <c r="C176" s="24"/>
      <c r="D176" s="10"/>
      <c r="E176" s="34"/>
      <c r="F176" s="34"/>
      <c r="G176" s="6"/>
      <c r="H176" s="34"/>
      <c r="I176" s="34"/>
      <c r="J176" s="10"/>
      <c r="K176" s="10"/>
    </row>
    <row r="177" spans="1:11" x14ac:dyDescent="0.25">
      <c r="A177" s="125" t="s">
        <v>184</v>
      </c>
      <c r="B177" s="280" t="s">
        <v>147</v>
      </c>
      <c r="C177" s="252">
        <f>SUM(C178:C179)</f>
        <v>2975640000</v>
      </c>
      <c r="D177" s="10"/>
      <c r="E177" s="34"/>
      <c r="F177" s="34"/>
      <c r="G177" s="6"/>
      <c r="H177" s="34"/>
      <c r="I177" s="34"/>
      <c r="J177" s="10"/>
      <c r="K177" s="10"/>
    </row>
    <row r="178" spans="1:11" ht="25.5" x14ac:dyDescent="0.25">
      <c r="A178" s="154" t="s">
        <v>44</v>
      </c>
      <c r="B178" s="707" t="s">
        <v>384</v>
      </c>
      <c r="C178" s="253">
        <v>35640000</v>
      </c>
      <c r="D178" s="134">
        <f>C178/C177*100</f>
        <v>1.1977255313142718</v>
      </c>
      <c r="E178" s="134">
        <f t="shared" ref="E178:E179" si="62">G178/C178*100</f>
        <v>66.666666666666657</v>
      </c>
      <c r="F178" s="134">
        <f t="shared" ref="F178:F179" si="63">(D178*E178)/100</f>
        <v>0.79848368754284782</v>
      </c>
      <c r="G178" s="181">
        <f>23760000</f>
        <v>23760000</v>
      </c>
      <c r="H178" s="134">
        <f t="shared" ref="H178:H179" si="64">G178/C178*100</f>
        <v>66.666666666666657</v>
      </c>
      <c r="I178" s="134">
        <f t="shared" ref="I178:I179" si="65">(D178*H178)/100</f>
        <v>0.79848368754284782</v>
      </c>
      <c r="J178" s="6">
        <f t="shared" ref="J178:J179" si="66">G178-C178</f>
        <v>-11880000</v>
      </c>
      <c r="K178" s="10"/>
    </row>
    <row r="179" spans="1:11" x14ac:dyDescent="0.25">
      <c r="A179" s="124" t="s">
        <v>148</v>
      </c>
      <c r="B179" s="133" t="s">
        <v>531</v>
      </c>
      <c r="C179" s="253">
        <v>2940000000</v>
      </c>
      <c r="D179" s="134">
        <f>C179/C177*100</f>
        <v>98.802274468685724</v>
      </c>
      <c r="E179" s="134">
        <f t="shared" si="62"/>
        <v>100</v>
      </c>
      <c r="F179" s="134">
        <f t="shared" si="63"/>
        <v>98.802274468685724</v>
      </c>
      <c r="G179" s="181">
        <f>939055000+2000945000</f>
        <v>2940000000</v>
      </c>
      <c r="H179" s="134">
        <f t="shared" si="64"/>
        <v>100</v>
      </c>
      <c r="I179" s="134">
        <f t="shared" si="65"/>
        <v>98.802274468685724</v>
      </c>
      <c r="J179" s="6">
        <f t="shared" si="66"/>
        <v>0</v>
      </c>
      <c r="K179" s="10"/>
    </row>
    <row r="180" spans="1:11" x14ac:dyDescent="0.25">
      <c r="A180" s="70"/>
      <c r="B180" s="129" t="s">
        <v>95</v>
      </c>
      <c r="C180" s="807">
        <f>SUM(C178:C179)</f>
        <v>2975640000</v>
      </c>
      <c r="D180" s="271">
        <f>SUM(D178:D179)</f>
        <v>100</v>
      </c>
      <c r="E180" s="134"/>
      <c r="F180" s="134"/>
      <c r="G180" s="181">
        <f>SUM(G178:G179)</f>
        <v>2963760000</v>
      </c>
      <c r="H180" s="134"/>
      <c r="I180" s="134"/>
      <c r="J180" s="734"/>
      <c r="K180" s="130"/>
    </row>
    <row r="181" spans="1:11" x14ac:dyDescent="0.25">
      <c r="A181" s="54"/>
      <c r="B181" s="2"/>
      <c r="C181" s="59"/>
      <c r="D181" s="29"/>
      <c r="E181" s="31"/>
      <c r="F181" s="31"/>
      <c r="G181" s="36"/>
      <c r="H181" s="31"/>
      <c r="I181" s="31"/>
      <c r="J181" s="15"/>
      <c r="K181" s="37"/>
    </row>
    <row r="182" spans="1:11" x14ac:dyDescent="0.25">
      <c r="A182" s="50"/>
      <c r="B182" s="5"/>
      <c r="C182" s="50"/>
      <c r="D182" s="29"/>
      <c r="E182" s="30"/>
      <c r="F182" s="31"/>
      <c r="G182" s="36"/>
      <c r="H182" s="32"/>
      <c r="I182" s="31"/>
      <c r="J182" s="36"/>
      <c r="K182" s="37"/>
    </row>
    <row r="183" spans="1:11" x14ac:dyDescent="0.25">
      <c r="A183" s="1061" t="s">
        <v>2</v>
      </c>
      <c r="B183" s="1062" t="s">
        <v>176</v>
      </c>
      <c r="C183" s="1061" t="s">
        <v>4</v>
      </c>
      <c r="D183" s="1063" t="s">
        <v>5</v>
      </c>
      <c r="E183" s="1064"/>
      <c r="F183" s="1064"/>
      <c r="G183" s="1065" t="s">
        <v>6</v>
      </c>
      <c r="H183" s="1064"/>
      <c r="I183" s="1064"/>
      <c r="J183" s="1061" t="s">
        <v>7</v>
      </c>
      <c r="K183" s="281" t="s">
        <v>8</v>
      </c>
    </row>
    <row r="184" spans="1:11" x14ac:dyDescent="0.25">
      <c r="A184" s="1061"/>
      <c r="B184" s="1062"/>
      <c r="C184" s="1061"/>
      <c r="D184" s="281" t="s">
        <v>9</v>
      </c>
      <c r="E184" s="292" t="s">
        <v>10</v>
      </c>
      <c r="F184" s="292" t="s">
        <v>11</v>
      </c>
      <c r="G184" s="293" t="s">
        <v>12</v>
      </c>
      <c r="H184" s="292" t="s">
        <v>13</v>
      </c>
      <c r="I184" s="292" t="s">
        <v>11</v>
      </c>
      <c r="J184" s="1056"/>
      <c r="K184" s="89"/>
    </row>
    <row r="185" spans="1:11" x14ac:dyDescent="0.25">
      <c r="A185" s="1061"/>
      <c r="B185" s="1062"/>
      <c r="C185" s="1061"/>
      <c r="D185" s="92" t="s">
        <v>14</v>
      </c>
      <c r="E185" s="93" t="s">
        <v>14</v>
      </c>
      <c r="F185" s="93" t="s">
        <v>14</v>
      </c>
      <c r="G185" s="94" t="s">
        <v>15</v>
      </c>
      <c r="H185" s="93" t="s">
        <v>14</v>
      </c>
      <c r="I185" s="93" t="s">
        <v>14</v>
      </c>
      <c r="J185" s="92" t="s">
        <v>15</v>
      </c>
      <c r="K185" s="92"/>
    </row>
    <row r="186" spans="1:11" x14ac:dyDescent="0.25">
      <c r="A186" s="79" t="s">
        <v>185</v>
      </c>
      <c r="B186" s="199" t="s">
        <v>146</v>
      </c>
      <c r="C186" s="153"/>
      <c r="D186" s="150"/>
      <c r="E186" s="151"/>
      <c r="F186" s="151"/>
      <c r="G186" s="152"/>
      <c r="H186" s="151"/>
      <c r="I186" s="151"/>
      <c r="J186" s="150"/>
      <c r="K186" s="150"/>
    </row>
    <row r="187" spans="1:11" x14ac:dyDescent="0.25">
      <c r="A187" s="125" t="s">
        <v>184</v>
      </c>
      <c r="B187" s="280" t="s">
        <v>150</v>
      </c>
      <c r="C187" s="254">
        <f>SUM(C188:C191)</f>
        <v>1803960912</v>
      </c>
      <c r="D187" s="10"/>
      <c r="E187" s="34"/>
      <c r="F187" s="34"/>
      <c r="G187" s="6"/>
      <c r="H187" s="34"/>
      <c r="I187" s="34"/>
      <c r="J187" s="10"/>
      <c r="K187" s="10"/>
    </row>
    <row r="188" spans="1:11" ht="25.5" x14ac:dyDescent="0.25">
      <c r="A188" s="38" t="s">
        <v>44</v>
      </c>
      <c r="B188" s="707" t="s">
        <v>384</v>
      </c>
      <c r="C188" s="255">
        <v>30310000</v>
      </c>
      <c r="D188" s="134">
        <f>C188/C187*100</f>
        <v>1.6801916160365231</v>
      </c>
      <c r="E188" s="134">
        <f t="shared" ref="E188:E190" si="67">G188/C188*100</f>
        <v>70.999670075882548</v>
      </c>
      <c r="F188" s="134">
        <f t="shared" ref="F188:F190" si="68">(D188*E188)/100</f>
        <v>1.1929305040285707</v>
      </c>
      <c r="G188" s="181">
        <f>21520000</f>
        <v>21520000</v>
      </c>
      <c r="H188" s="134">
        <f t="shared" ref="H188:H190" si="69">G188/C188*100</f>
        <v>70.999670075882548</v>
      </c>
      <c r="I188" s="134">
        <f t="shared" ref="I188:I190" si="70">(D188*H188)/100</f>
        <v>1.1929305040285707</v>
      </c>
      <c r="J188" s="6">
        <f t="shared" ref="J188:J191" si="71">G188-C188</f>
        <v>-8790000</v>
      </c>
      <c r="K188" s="10"/>
    </row>
    <row r="189" spans="1:11" x14ac:dyDescent="0.25">
      <c r="A189" s="49" t="s">
        <v>148</v>
      </c>
      <c r="B189" s="133" t="s">
        <v>531</v>
      </c>
      <c r="C189" s="256">
        <v>1260590000</v>
      </c>
      <c r="D189" s="134">
        <f>C189/C187*100</f>
        <v>69.87900855359554</v>
      </c>
      <c r="E189" s="134">
        <f t="shared" si="67"/>
        <v>97.085436184643697</v>
      </c>
      <c r="F189" s="134">
        <f t="shared" si="68"/>
        <v>67.842340255762707</v>
      </c>
      <c r="G189" s="181">
        <f>857323300+366526000</f>
        <v>1223849300</v>
      </c>
      <c r="H189" s="134">
        <f t="shared" si="69"/>
        <v>97.085436184643697</v>
      </c>
      <c r="I189" s="134">
        <f t="shared" si="70"/>
        <v>67.842340255762707</v>
      </c>
      <c r="J189" s="6">
        <f t="shared" si="71"/>
        <v>-36740700</v>
      </c>
      <c r="K189" s="10"/>
    </row>
    <row r="190" spans="1:11" s="84" customFormat="1" ht="25.5" x14ac:dyDescent="0.2">
      <c r="A190" s="49" t="s">
        <v>152</v>
      </c>
      <c r="B190" s="133" t="s">
        <v>153</v>
      </c>
      <c r="C190" s="256">
        <v>504000000</v>
      </c>
      <c r="D190" s="134">
        <f>C190/C187*100</f>
        <v>27.9385210980669</v>
      </c>
      <c r="E190" s="134">
        <f t="shared" si="67"/>
        <v>75</v>
      </c>
      <c r="F190" s="134">
        <f t="shared" si="68"/>
        <v>20.953890823550172</v>
      </c>
      <c r="G190" s="181">
        <f>378000000</f>
        <v>378000000</v>
      </c>
      <c r="H190" s="134">
        <f t="shared" si="69"/>
        <v>75</v>
      </c>
      <c r="I190" s="134">
        <f t="shared" si="70"/>
        <v>20.953890823550172</v>
      </c>
      <c r="J190" s="6">
        <f t="shared" si="71"/>
        <v>-126000000</v>
      </c>
      <c r="K190" s="38"/>
    </row>
    <row r="191" spans="1:11" s="84" customFormat="1" x14ac:dyDescent="0.2">
      <c r="A191" s="749" t="s">
        <v>234</v>
      </c>
      <c r="B191" s="133" t="s">
        <v>522</v>
      </c>
      <c r="C191" s="256">
        <v>9060912</v>
      </c>
      <c r="D191" s="804"/>
      <c r="E191" s="134"/>
      <c r="F191" s="134"/>
      <c r="G191" s="181">
        <f>9060912</f>
        <v>9060912</v>
      </c>
      <c r="H191" s="134"/>
      <c r="I191" s="134"/>
      <c r="J191" s="6">
        <f t="shared" si="71"/>
        <v>0</v>
      </c>
      <c r="K191" s="805"/>
    </row>
    <row r="192" spans="1:11" x14ac:dyDescent="0.25">
      <c r="A192" s="913"/>
      <c r="B192" s="129" t="s">
        <v>154</v>
      </c>
      <c r="C192" s="826">
        <f>SUM(C188:C191)</f>
        <v>1803960912</v>
      </c>
      <c r="D192" s="272">
        <f>SUM(D188:D190)</f>
        <v>99.497721267698964</v>
      </c>
      <c r="E192" s="134"/>
      <c r="F192" s="134"/>
      <c r="G192" s="181">
        <f>SUM(G188:G191)</f>
        <v>1632430212</v>
      </c>
      <c r="H192" s="134"/>
      <c r="I192" s="134"/>
      <c r="J192" s="734"/>
      <c r="K192" s="40"/>
    </row>
    <row r="193" spans="1:15" x14ac:dyDescent="0.25">
      <c r="A193" s="54"/>
      <c r="B193" s="54"/>
      <c r="C193" s="59"/>
      <c r="D193" s="182"/>
      <c r="E193" s="183"/>
      <c r="F193" s="183"/>
      <c r="G193" s="184"/>
      <c r="H193" s="183"/>
      <c r="I193" s="183"/>
      <c r="J193" s="185"/>
      <c r="K193" s="37"/>
    </row>
    <row r="194" spans="1:15" x14ac:dyDescent="0.25">
      <c r="A194" s="50"/>
      <c r="B194" s="5"/>
      <c r="C194" s="50"/>
      <c r="D194" s="9"/>
      <c r="E194" s="23"/>
      <c r="F194" s="23"/>
      <c r="G194" s="11"/>
      <c r="H194" s="23"/>
      <c r="I194" s="23"/>
      <c r="J194" s="9"/>
      <c r="K194" s="9"/>
    </row>
    <row r="195" spans="1:15" x14ac:dyDescent="0.25">
      <c r="A195" s="1072" t="s">
        <v>2</v>
      </c>
      <c r="B195" s="1072" t="s">
        <v>129</v>
      </c>
      <c r="C195" s="1072" t="s">
        <v>124</v>
      </c>
      <c r="D195" s="1075" t="s">
        <v>5</v>
      </c>
      <c r="E195" s="1076"/>
      <c r="F195" s="1076"/>
      <c r="G195" s="1077" t="s">
        <v>6</v>
      </c>
      <c r="H195" s="1076"/>
      <c r="I195" s="1076"/>
      <c r="J195" s="1078" t="s">
        <v>7</v>
      </c>
      <c r="K195" s="95" t="s">
        <v>8</v>
      </c>
    </row>
    <row r="196" spans="1:15" x14ac:dyDescent="0.25">
      <c r="A196" s="1073"/>
      <c r="B196" s="1073"/>
      <c r="C196" s="1073"/>
      <c r="D196" s="95" t="s">
        <v>9</v>
      </c>
      <c r="E196" s="294" t="s">
        <v>10</v>
      </c>
      <c r="F196" s="294" t="s">
        <v>11</v>
      </c>
      <c r="G196" s="96" t="s">
        <v>12</v>
      </c>
      <c r="H196" s="97" t="s">
        <v>13</v>
      </c>
      <c r="I196" s="97" t="s">
        <v>11</v>
      </c>
      <c r="J196" s="1079"/>
      <c r="K196" s="98"/>
    </row>
    <row r="197" spans="1:15" x14ac:dyDescent="0.25">
      <c r="A197" s="1074"/>
      <c r="B197" s="1074"/>
      <c r="C197" s="1074"/>
      <c r="D197" s="101" t="s">
        <v>14</v>
      </c>
      <c r="E197" s="100" t="s">
        <v>14</v>
      </c>
      <c r="F197" s="100" t="s">
        <v>14</v>
      </c>
      <c r="G197" s="99" t="s">
        <v>15</v>
      </c>
      <c r="H197" s="100" t="s">
        <v>14</v>
      </c>
      <c r="I197" s="100" t="s">
        <v>14</v>
      </c>
      <c r="J197" s="101" t="s">
        <v>15</v>
      </c>
      <c r="K197" s="101"/>
    </row>
    <row r="198" spans="1:15" ht="25.5" x14ac:dyDescent="0.25">
      <c r="A198" s="175" t="s">
        <v>180</v>
      </c>
      <c r="B198" s="696" t="s">
        <v>379</v>
      </c>
      <c r="C198" s="126"/>
      <c r="D198" s="121"/>
      <c r="E198" s="122"/>
      <c r="F198" s="122"/>
      <c r="G198" s="123"/>
      <c r="H198" s="122"/>
      <c r="I198" s="122"/>
      <c r="J198" s="121"/>
      <c r="K198" s="121"/>
    </row>
    <row r="199" spans="1:15" ht="25.5" x14ac:dyDescent="0.25">
      <c r="A199" s="176" t="s">
        <v>181</v>
      </c>
      <c r="B199" s="697" t="s">
        <v>380</v>
      </c>
      <c r="C199" s="86">
        <f>SUM(C200:C219)</f>
        <v>385000000</v>
      </c>
      <c r="D199" s="121"/>
      <c r="E199" s="122"/>
      <c r="F199" s="122"/>
      <c r="G199" s="123"/>
      <c r="H199" s="122"/>
      <c r="I199" s="122"/>
      <c r="J199" s="121"/>
      <c r="K199" s="121"/>
    </row>
    <row r="200" spans="1:15" ht="25.5" x14ac:dyDescent="0.25">
      <c r="A200" s="170" t="s">
        <v>44</v>
      </c>
      <c r="B200" s="707" t="s">
        <v>384</v>
      </c>
      <c r="C200" s="58">
        <v>16310000</v>
      </c>
      <c r="D200" s="134">
        <f>C200/C199*100</f>
        <v>4.2363636363636363</v>
      </c>
      <c r="E200" s="134">
        <f t="shared" ref="E200:E214" si="72">G200/C200*100</f>
        <v>100</v>
      </c>
      <c r="F200" s="134">
        <f t="shared" ref="F200:F214" si="73">(D200*E200)/100</f>
        <v>4.2363636363636363</v>
      </c>
      <c r="G200" s="181">
        <f>16310000</f>
        <v>16310000</v>
      </c>
      <c r="H200" s="134">
        <f t="shared" ref="H200:H214" si="74">G200/C200*100</f>
        <v>100</v>
      </c>
      <c r="I200" s="134">
        <f t="shared" ref="I200:I214" si="75">(D200*H200)/100</f>
        <v>4.2363636363636363</v>
      </c>
      <c r="J200" s="6">
        <f t="shared" ref="J200:J218" si="76">G200-C200</f>
        <v>0</v>
      </c>
      <c r="K200" s="121"/>
    </row>
    <row r="201" spans="1:15" x14ac:dyDescent="0.25">
      <c r="A201" s="170" t="s">
        <v>448</v>
      </c>
      <c r="B201" s="707" t="s">
        <v>578</v>
      </c>
      <c r="C201" s="58">
        <v>2210000</v>
      </c>
      <c r="D201" s="134"/>
      <c r="E201" s="134"/>
      <c r="F201" s="134"/>
      <c r="G201" s="181"/>
      <c r="H201" s="134"/>
      <c r="I201" s="134"/>
      <c r="J201" s="6"/>
      <c r="K201" s="121"/>
    </row>
    <row r="202" spans="1:15" x14ac:dyDescent="0.25">
      <c r="A202" s="170" t="s">
        <v>59</v>
      </c>
      <c r="B202" s="707" t="s">
        <v>197</v>
      </c>
      <c r="C202" s="58">
        <v>15297500</v>
      </c>
      <c r="D202" s="180">
        <f>C202/C199*100</f>
        <v>3.9733766233766232</v>
      </c>
      <c r="E202" s="134">
        <f t="shared" si="72"/>
        <v>45.224709919921558</v>
      </c>
      <c r="F202" s="134">
        <f t="shared" si="73"/>
        <v>1.7969480519480518</v>
      </c>
      <c r="G202" s="181">
        <f>6918250</f>
        <v>6918250</v>
      </c>
      <c r="H202" s="134">
        <f t="shared" si="74"/>
        <v>45.224709919921558</v>
      </c>
      <c r="I202" s="134">
        <f t="shared" si="75"/>
        <v>1.7969480519480518</v>
      </c>
      <c r="J202" s="6">
        <f t="shared" si="76"/>
        <v>-8379250</v>
      </c>
      <c r="K202" s="167"/>
    </row>
    <row r="203" spans="1:15" x14ac:dyDescent="0.25">
      <c r="A203" s="170" t="s">
        <v>413</v>
      </c>
      <c r="B203" s="707" t="s">
        <v>597</v>
      </c>
      <c r="C203" s="58">
        <v>10871000</v>
      </c>
      <c r="D203" s="180"/>
      <c r="E203" s="134"/>
      <c r="F203" s="134"/>
      <c r="G203" s="181"/>
      <c r="H203" s="134"/>
      <c r="I203" s="134"/>
      <c r="J203" s="6"/>
      <c r="K203" s="167"/>
    </row>
    <row r="204" spans="1:15" x14ac:dyDescent="0.25">
      <c r="A204" s="170" t="s">
        <v>148</v>
      </c>
      <c r="B204" s="133" t="s">
        <v>531</v>
      </c>
      <c r="C204" s="58">
        <v>10000000</v>
      </c>
      <c r="D204" s="726"/>
      <c r="E204" s="134"/>
      <c r="F204" s="134"/>
      <c r="G204" s="181">
        <f>10000000</f>
        <v>10000000</v>
      </c>
      <c r="H204" s="134"/>
      <c r="I204" s="134"/>
      <c r="J204" s="6">
        <f t="shared" si="76"/>
        <v>0</v>
      </c>
      <c r="K204" s="167"/>
    </row>
    <row r="205" spans="1:15" x14ac:dyDescent="0.25">
      <c r="A205" s="170" t="s">
        <v>579</v>
      </c>
      <c r="B205" s="133" t="s">
        <v>580</v>
      </c>
      <c r="C205" s="58">
        <v>23625000</v>
      </c>
      <c r="D205" s="726"/>
      <c r="E205" s="134"/>
      <c r="F205" s="134"/>
      <c r="G205" s="181"/>
      <c r="H205" s="134"/>
      <c r="I205" s="134"/>
      <c r="J205" s="6"/>
      <c r="K205" s="167"/>
    </row>
    <row r="206" spans="1:15" x14ac:dyDescent="0.25">
      <c r="A206" s="170" t="s">
        <v>77</v>
      </c>
      <c r="B206" s="170" t="s">
        <v>127</v>
      </c>
      <c r="C206" s="58">
        <v>61010000</v>
      </c>
      <c r="D206" s="726">
        <f>C206/C199*100</f>
        <v>15.846753246753249</v>
      </c>
      <c r="E206" s="134">
        <f t="shared" si="72"/>
        <v>66.972627438124903</v>
      </c>
      <c r="F206" s="134">
        <f t="shared" si="73"/>
        <v>10.612987012987015</v>
      </c>
      <c r="G206" s="181">
        <f>40860000</f>
        <v>40860000</v>
      </c>
      <c r="H206" s="134">
        <f t="shared" si="74"/>
        <v>66.972627438124903</v>
      </c>
      <c r="I206" s="134">
        <f t="shared" si="75"/>
        <v>10.612987012987015</v>
      </c>
      <c r="J206" s="6">
        <f t="shared" si="76"/>
        <v>-20150000</v>
      </c>
      <c r="K206" s="167"/>
      <c r="O206" s="190"/>
    </row>
    <row r="207" spans="1:15" x14ac:dyDescent="0.25">
      <c r="A207" s="170" t="s">
        <v>183</v>
      </c>
      <c r="B207" s="170" t="s">
        <v>178</v>
      </c>
      <c r="C207" s="58">
        <v>47625000</v>
      </c>
      <c r="D207" s="726">
        <f>C207/C199*100</f>
        <v>12.370129870129871</v>
      </c>
      <c r="E207" s="134">
        <f t="shared" si="72"/>
        <v>24.146981627296586</v>
      </c>
      <c r="F207" s="134">
        <f t="shared" si="73"/>
        <v>2.9870129870129869</v>
      </c>
      <c r="G207" s="181">
        <f>11500000</f>
        <v>11500000</v>
      </c>
      <c r="H207" s="134">
        <f t="shared" si="74"/>
        <v>24.146981627296586</v>
      </c>
      <c r="I207" s="134">
        <f t="shared" si="75"/>
        <v>2.9870129870129869</v>
      </c>
      <c r="J207" s="6">
        <f t="shared" si="76"/>
        <v>-36125000</v>
      </c>
      <c r="K207" s="167"/>
    </row>
    <row r="208" spans="1:15" x14ac:dyDescent="0.25">
      <c r="A208" s="170" t="s">
        <v>186</v>
      </c>
      <c r="B208" s="170" t="s">
        <v>179</v>
      </c>
      <c r="C208" s="58">
        <v>44100000</v>
      </c>
      <c r="D208" s="726">
        <f>C208/C199*100</f>
        <v>11.454545454545455</v>
      </c>
      <c r="E208" s="134">
        <f t="shared" si="72"/>
        <v>100</v>
      </c>
      <c r="F208" s="134">
        <f t="shared" si="73"/>
        <v>11.454545454545455</v>
      </c>
      <c r="G208" s="181">
        <f>44100000</f>
        <v>44100000</v>
      </c>
      <c r="H208" s="134">
        <f t="shared" si="74"/>
        <v>100</v>
      </c>
      <c r="I208" s="134">
        <f t="shared" si="75"/>
        <v>11.454545454545455</v>
      </c>
      <c r="J208" s="6">
        <f t="shared" si="76"/>
        <v>0</v>
      </c>
      <c r="K208" s="167"/>
    </row>
    <row r="209" spans="1:14" ht="25.5" x14ac:dyDescent="0.25">
      <c r="A209" s="170" t="s">
        <v>106</v>
      </c>
      <c r="B209" s="316" t="s">
        <v>375</v>
      </c>
      <c r="C209" s="58">
        <v>44000000</v>
      </c>
      <c r="D209" s="726">
        <f>C209/C199*100</f>
        <v>11.428571428571429</v>
      </c>
      <c r="E209" s="134">
        <f t="shared" si="72"/>
        <v>97.27272727272728</v>
      </c>
      <c r="F209" s="134">
        <f t="shared" si="73"/>
        <v>11.116883116883118</v>
      </c>
      <c r="G209" s="181">
        <f>42800000</f>
        <v>42800000</v>
      </c>
      <c r="H209" s="134">
        <f t="shared" si="74"/>
        <v>97.27272727272728</v>
      </c>
      <c r="I209" s="134">
        <f t="shared" si="75"/>
        <v>11.116883116883118</v>
      </c>
      <c r="J209" s="6">
        <f t="shared" si="76"/>
        <v>-1200000</v>
      </c>
      <c r="K209" s="167"/>
    </row>
    <row r="210" spans="1:14" x14ac:dyDescent="0.25">
      <c r="A210" s="170" t="s">
        <v>162</v>
      </c>
      <c r="B210" s="315" t="s">
        <v>515</v>
      </c>
      <c r="C210" s="58">
        <v>36000000</v>
      </c>
      <c r="D210" s="726"/>
      <c r="E210" s="134"/>
      <c r="F210" s="134"/>
      <c r="G210" s="181">
        <f>36000000</f>
        <v>36000000</v>
      </c>
      <c r="H210" s="134"/>
      <c r="I210" s="134"/>
      <c r="J210" s="6">
        <f t="shared" si="76"/>
        <v>0</v>
      </c>
      <c r="K210" s="167"/>
    </row>
    <row r="211" spans="1:14" x14ac:dyDescent="0.25">
      <c r="A211" s="170" t="s">
        <v>527</v>
      </c>
      <c r="B211" s="316" t="s">
        <v>523</v>
      </c>
      <c r="C211" s="58">
        <v>5625000</v>
      </c>
      <c r="D211" s="726"/>
      <c r="E211" s="134"/>
      <c r="F211" s="134"/>
      <c r="G211" s="181">
        <f>5625000</f>
        <v>5625000</v>
      </c>
      <c r="H211" s="134"/>
      <c r="I211" s="134"/>
      <c r="J211" s="6">
        <f t="shared" si="76"/>
        <v>0</v>
      </c>
      <c r="K211" s="167"/>
    </row>
    <row r="212" spans="1:14" x14ac:dyDescent="0.25">
      <c r="A212" s="170" t="s">
        <v>528</v>
      </c>
      <c r="B212" s="316" t="s">
        <v>524</v>
      </c>
      <c r="C212" s="58">
        <v>16000000</v>
      </c>
      <c r="D212" s="726"/>
      <c r="E212" s="134"/>
      <c r="F212" s="134"/>
      <c r="G212" s="181">
        <f>16000000</f>
        <v>16000000</v>
      </c>
      <c r="H212" s="134"/>
      <c r="I212" s="134"/>
      <c r="J212" s="6">
        <f t="shared" si="76"/>
        <v>0</v>
      </c>
      <c r="K212" s="167"/>
    </row>
    <row r="213" spans="1:14" x14ac:dyDescent="0.25">
      <c r="A213" s="170" t="s">
        <v>529</v>
      </c>
      <c r="B213" s="316" t="s">
        <v>525</v>
      </c>
      <c r="C213" s="58">
        <v>4000000</v>
      </c>
      <c r="D213" s="726"/>
      <c r="E213" s="134"/>
      <c r="F213" s="134"/>
      <c r="G213" s="181">
        <f>4000000</f>
        <v>4000000</v>
      </c>
      <c r="H213" s="134"/>
      <c r="I213" s="134"/>
      <c r="J213" s="6">
        <f t="shared" si="76"/>
        <v>0</v>
      </c>
      <c r="K213" s="167"/>
    </row>
    <row r="214" spans="1:14" ht="25.5" x14ac:dyDescent="0.25">
      <c r="A214" s="170" t="s">
        <v>116</v>
      </c>
      <c r="B214" s="133" t="s">
        <v>371</v>
      </c>
      <c r="C214" s="178">
        <v>3848500</v>
      </c>
      <c r="D214" s="726">
        <f>C214/C199*100</f>
        <v>0.99961038961038973</v>
      </c>
      <c r="E214" s="134">
        <f t="shared" si="72"/>
        <v>42.159282837469142</v>
      </c>
      <c r="F214" s="134">
        <f t="shared" si="73"/>
        <v>0.42142857142857149</v>
      </c>
      <c r="G214" s="181">
        <f>1622500</f>
        <v>1622500</v>
      </c>
      <c r="H214" s="134">
        <f t="shared" si="74"/>
        <v>42.159282837469142</v>
      </c>
      <c r="I214" s="134">
        <f t="shared" si="75"/>
        <v>0.42142857142857149</v>
      </c>
      <c r="J214" s="6">
        <f t="shared" si="76"/>
        <v>-2226000</v>
      </c>
      <c r="K214" s="167"/>
      <c r="M214" s="190"/>
    </row>
    <row r="215" spans="1:14" x14ac:dyDescent="0.25">
      <c r="A215" s="748" t="s">
        <v>65</v>
      </c>
      <c r="B215" s="315" t="s">
        <v>393</v>
      </c>
      <c r="C215" s="178">
        <v>7000000</v>
      </c>
      <c r="D215" s="726"/>
      <c r="E215" s="134"/>
      <c r="F215" s="134"/>
      <c r="G215" s="181">
        <f>6932360</f>
        <v>6932360</v>
      </c>
      <c r="H215" s="134"/>
      <c r="I215" s="134"/>
      <c r="J215" s="6">
        <f t="shared" si="76"/>
        <v>-67640</v>
      </c>
      <c r="K215" s="167"/>
      <c r="M215" s="190"/>
    </row>
    <row r="216" spans="1:14" x14ac:dyDescent="0.25">
      <c r="A216" s="748" t="s">
        <v>287</v>
      </c>
      <c r="B216" s="315" t="s">
        <v>191</v>
      </c>
      <c r="C216" s="178">
        <v>15000000</v>
      </c>
      <c r="D216" s="726"/>
      <c r="E216" s="134"/>
      <c r="F216" s="134"/>
      <c r="G216" s="181">
        <f>15000000</f>
        <v>15000000</v>
      </c>
      <c r="H216" s="134"/>
      <c r="I216" s="134"/>
      <c r="J216" s="6">
        <f t="shared" si="76"/>
        <v>0</v>
      </c>
      <c r="K216" s="167"/>
      <c r="M216" s="190"/>
    </row>
    <row r="217" spans="1:14" x14ac:dyDescent="0.25">
      <c r="A217" s="748" t="s">
        <v>590</v>
      </c>
      <c r="B217" s="315" t="s">
        <v>598</v>
      </c>
      <c r="C217" s="178">
        <v>15300000</v>
      </c>
      <c r="D217" s="726"/>
      <c r="E217" s="134"/>
      <c r="F217" s="134"/>
      <c r="G217" s="181"/>
      <c r="H217" s="134"/>
      <c r="I217" s="134"/>
      <c r="J217" s="6"/>
      <c r="K217" s="167"/>
      <c r="M217" s="190"/>
    </row>
    <row r="218" spans="1:14" x14ac:dyDescent="0.25">
      <c r="A218" s="748" t="s">
        <v>275</v>
      </c>
      <c r="B218" s="133" t="s">
        <v>421</v>
      </c>
      <c r="C218" s="178">
        <v>6500000</v>
      </c>
      <c r="D218" s="726"/>
      <c r="E218" s="134"/>
      <c r="F218" s="134"/>
      <c r="G218" s="181">
        <v>0</v>
      </c>
      <c r="H218" s="134"/>
      <c r="I218" s="134"/>
      <c r="J218" s="6">
        <f t="shared" si="76"/>
        <v>-6500000</v>
      </c>
      <c r="K218" s="167"/>
      <c r="M218" s="190"/>
    </row>
    <row r="219" spans="1:14" x14ac:dyDescent="0.25">
      <c r="A219" s="748" t="s">
        <v>600</v>
      </c>
      <c r="B219" s="925" t="s">
        <v>599</v>
      </c>
      <c r="C219" s="178">
        <v>678000</v>
      </c>
      <c r="D219" s="726"/>
      <c r="E219" s="134"/>
      <c r="F219" s="134"/>
      <c r="G219" s="181"/>
      <c r="H219" s="134"/>
      <c r="I219" s="134"/>
      <c r="J219" s="6"/>
      <c r="K219" s="167"/>
      <c r="M219" s="190"/>
    </row>
    <row r="220" spans="1:14" x14ac:dyDescent="0.25">
      <c r="A220" s="69"/>
      <c r="B220" s="67" t="s">
        <v>128</v>
      </c>
      <c r="C220" s="60">
        <f>SUM(C200:C219)</f>
        <v>385000000</v>
      </c>
      <c r="D220" s="275">
        <f>SUM(D200:D214)</f>
        <v>60.309350649350655</v>
      </c>
      <c r="E220" s="134"/>
      <c r="F220" s="134"/>
      <c r="G220" s="42">
        <f>SUM(G200:G219)</f>
        <v>257668110</v>
      </c>
      <c r="H220" s="134"/>
      <c r="I220" s="134"/>
      <c r="J220" s="734"/>
      <c r="K220" s="38"/>
    </row>
    <row r="221" spans="1:14" x14ac:dyDescent="0.25">
      <c r="A221" s="186"/>
      <c r="B221" s="2"/>
      <c r="C221" s="187"/>
      <c r="D221" s="188"/>
      <c r="E221" s="183"/>
      <c r="F221" s="183"/>
      <c r="G221" s="184"/>
      <c r="H221" s="183"/>
      <c r="I221" s="183"/>
      <c r="J221" s="189"/>
      <c r="K221" s="53"/>
    </row>
    <row r="222" spans="1:14" ht="31.5" x14ac:dyDescent="0.25">
      <c r="A222" s="55"/>
      <c r="B222" s="46" t="s">
        <v>145</v>
      </c>
      <c r="C222" s="155"/>
      <c r="D222" s="44"/>
      <c r="E222" s="45"/>
      <c r="F222" s="45"/>
      <c r="G222" s="48"/>
      <c r="H222" s="45"/>
      <c r="I222" s="45"/>
      <c r="J222" s="44"/>
      <c r="K222" s="44"/>
      <c r="L222" s="1"/>
      <c r="M222" s="1"/>
      <c r="N222" s="1"/>
    </row>
    <row r="223" spans="1:14" x14ac:dyDescent="0.25">
      <c r="A223" s="1082" t="s">
        <v>2</v>
      </c>
      <c r="B223" s="1081" t="s">
        <v>168</v>
      </c>
      <c r="C223" s="1082" t="s">
        <v>4</v>
      </c>
      <c r="D223" s="1083" t="s">
        <v>5</v>
      </c>
      <c r="E223" s="1084"/>
      <c r="F223" s="1084"/>
      <c r="G223" s="1085" t="s">
        <v>6</v>
      </c>
      <c r="H223" s="1084"/>
      <c r="I223" s="1084"/>
      <c r="J223" s="1082" t="s">
        <v>7</v>
      </c>
      <c r="K223" s="283" t="s">
        <v>8</v>
      </c>
    </row>
    <row r="224" spans="1:14" x14ac:dyDescent="0.25">
      <c r="A224" s="1082"/>
      <c r="B224" s="1081"/>
      <c r="C224" s="1082"/>
      <c r="D224" s="283" t="s">
        <v>9</v>
      </c>
      <c r="E224" s="297" t="s">
        <v>10</v>
      </c>
      <c r="F224" s="297" t="s">
        <v>11</v>
      </c>
      <c r="G224" s="298" t="s">
        <v>12</v>
      </c>
      <c r="H224" s="297" t="s">
        <v>13</v>
      </c>
      <c r="I224" s="297" t="s">
        <v>11</v>
      </c>
      <c r="J224" s="1086"/>
      <c r="K224" s="284"/>
    </row>
    <row r="225" spans="1:11" x14ac:dyDescent="0.25">
      <c r="A225" s="1082"/>
      <c r="B225" s="1081"/>
      <c r="C225" s="1082"/>
      <c r="D225" s="282" t="s">
        <v>14</v>
      </c>
      <c r="E225" s="295" t="s">
        <v>14</v>
      </c>
      <c r="F225" s="295" t="s">
        <v>14</v>
      </c>
      <c r="G225" s="296" t="s">
        <v>15</v>
      </c>
      <c r="H225" s="295" t="s">
        <v>14</v>
      </c>
      <c r="I225" s="295" t="s">
        <v>14</v>
      </c>
      <c r="J225" s="282" t="s">
        <v>15</v>
      </c>
      <c r="K225" s="282"/>
    </row>
    <row r="226" spans="1:11" x14ac:dyDescent="0.25">
      <c r="A226" s="79" t="s">
        <v>185</v>
      </c>
      <c r="B226" s="199" t="s">
        <v>146</v>
      </c>
      <c r="C226" s="145"/>
      <c r="D226" s="146"/>
      <c r="E226" s="147"/>
      <c r="F226" s="147"/>
      <c r="G226" s="148"/>
      <c r="H226" s="147"/>
      <c r="I226" s="147"/>
      <c r="J226" s="146"/>
      <c r="K226" s="146"/>
    </row>
    <row r="227" spans="1:11" x14ac:dyDescent="0.25">
      <c r="A227" s="125" t="s">
        <v>184</v>
      </c>
      <c r="B227" s="280" t="s">
        <v>147</v>
      </c>
      <c r="C227" s="257">
        <f>SUM(C228:C230)</f>
        <v>2695640000</v>
      </c>
      <c r="D227" s="146"/>
      <c r="E227" s="147"/>
      <c r="F227" s="147"/>
      <c r="G227" s="148"/>
      <c r="H227" s="147"/>
      <c r="I227" s="147"/>
      <c r="J227" s="146"/>
      <c r="K227" s="146"/>
    </row>
    <row r="228" spans="1:11" ht="25.5" x14ac:dyDescent="0.25">
      <c r="A228" s="319" t="s">
        <v>59</v>
      </c>
      <c r="B228" s="707" t="s">
        <v>384</v>
      </c>
      <c r="C228" s="258">
        <f>33350000</f>
        <v>33350000</v>
      </c>
      <c r="D228" s="267"/>
      <c r="E228" s="134"/>
      <c r="F228" s="134"/>
      <c r="G228" s="181">
        <f>33350000</f>
        <v>33350000</v>
      </c>
      <c r="H228" s="134"/>
      <c r="I228" s="134"/>
      <c r="J228" s="6">
        <f t="shared" ref="J228:J229" si="77">G228-C228</f>
        <v>0</v>
      </c>
      <c r="K228" s="146"/>
    </row>
    <row r="229" spans="1:11" x14ac:dyDescent="0.25">
      <c r="A229" s="49" t="s">
        <v>148</v>
      </c>
      <c r="B229" s="707" t="s">
        <v>197</v>
      </c>
      <c r="C229" s="259">
        <f>2290000</f>
        <v>2290000</v>
      </c>
      <c r="D229" s="267">
        <f>C229/C227*100</f>
        <v>8.4951996557403806E-2</v>
      </c>
      <c r="E229" s="134">
        <f t="shared" ref="E229" si="78">G229/C229*100</f>
        <v>100</v>
      </c>
      <c r="F229" s="134">
        <f t="shared" ref="F229" si="79">(D229*E229)/100</f>
        <v>8.4951996557403806E-2</v>
      </c>
      <c r="G229" s="181">
        <f>2290000</f>
        <v>2290000</v>
      </c>
      <c r="H229" s="134">
        <f t="shared" ref="H229" si="80">G229/C229*100</f>
        <v>100</v>
      </c>
      <c r="I229" s="134">
        <f t="shared" ref="I229" si="81">(D229*H229)/100</f>
        <v>8.4951996557403806E-2</v>
      </c>
      <c r="J229" s="6">
        <f t="shared" si="77"/>
        <v>0</v>
      </c>
      <c r="K229" s="146"/>
    </row>
    <row r="230" spans="1:11" x14ac:dyDescent="0.25">
      <c r="A230" s="749"/>
      <c r="B230" s="133" t="s">
        <v>531</v>
      </c>
      <c r="C230" s="259">
        <v>2660000000</v>
      </c>
      <c r="D230" s="848"/>
      <c r="E230" s="134"/>
      <c r="F230" s="134"/>
      <c r="G230" s="181">
        <f>517740000+1943900000</f>
        <v>2461640000</v>
      </c>
      <c r="H230" s="134"/>
      <c r="I230" s="134"/>
      <c r="J230" s="6"/>
      <c r="K230" s="849"/>
    </row>
    <row r="231" spans="1:11" x14ac:dyDescent="0.25">
      <c r="A231" s="71"/>
      <c r="B231" s="76" t="s">
        <v>95</v>
      </c>
      <c r="C231" s="806">
        <f>SUM(C228:C230)</f>
        <v>2695640000</v>
      </c>
      <c r="D231" s="141">
        <f>SUM(D228:D229)</f>
        <v>8.4951996557403806E-2</v>
      </c>
      <c r="E231" s="134"/>
      <c r="F231" s="134"/>
      <c r="G231" s="181">
        <f>SUM(G228:G230)</f>
        <v>2497280000</v>
      </c>
      <c r="H231" s="134"/>
      <c r="I231" s="134"/>
      <c r="J231" s="56">
        <v>0</v>
      </c>
      <c r="K231" s="143"/>
    </row>
    <row r="232" spans="1:11" x14ac:dyDescent="0.25">
      <c r="A232" s="186"/>
      <c r="B232" s="2"/>
      <c r="C232" s="187"/>
      <c r="D232" s="188"/>
      <c r="E232" s="183"/>
      <c r="F232" s="183"/>
      <c r="G232" s="184"/>
      <c r="H232" s="183"/>
      <c r="I232" s="183"/>
      <c r="J232" s="189"/>
      <c r="K232" s="53"/>
    </row>
    <row r="233" spans="1:11" x14ac:dyDescent="0.25">
      <c r="A233" s="1080" t="s">
        <v>2</v>
      </c>
      <c r="B233" s="1081" t="s">
        <v>168</v>
      </c>
      <c r="C233" s="1080" t="s">
        <v>4</v>
      </c>
      <c r="D233" s="1075" t="s">
        <v>5</v>
      </c>
      <c r="E233" s="1076"/>
      <c r="F233" s="1076"/>
      <c r="G233" s="1077" t="s">
        <v>6</v>
      </c>
      <c r="H233" s="1076"/>
      <c r="I233" s="1076"/>
      <c r="J233" s="1080" t="s">
        <v>7</v>
      </c>
      <c r="K233" s="95" t="s">
        <v>8</v>
      </c>
    </row>
    <row r="234" spans="1:11" x14ac:dyDescent="0.25">
      <c r="A234" s="1080"/>
      <c r="B234" s="1081"/>
      <c r="C234" s="1080"/>
      <c r="D234" s="95" t="s">
        <v>9</v>
      </c>
      <c r="E234" s="294" t="s">
        <v>10</v>
      </c>
      <c r="F234" s="294" t="s">
        <v>11</v>
      </c>
      <c r="G234" s="299" t="s">
        <v>12</v>
      </c>
      <c r="H234" s="294" t="s">
        <v>13</v>
      </c>
      <c r="I234" s="294" t="s">
        <v>11</v>
      </c>
      <c r="J234" s="1078"/>
      <c r="K234" s="98"/>
    </row>
    <row r="235" spans="1:11" x14ac:dyDescent="0.25">
      <c r="A235" s="1080"/>
      <c r="B235" s="1081"/>
      <c r="C235" s="1080"/>
      <c r="D235" s="101" t="s">
        <v>14</v>
      </c>
      <c r="E235" s="100" t="s">
        <v>14</v>
      </c>
      <c r="F235" s="100" t="s">
        <v>14</v>
      </c>
      <c r="G235" s="99" t="s">
        <v>15</v>
      </c>
      <c r="H235" s="100" t="s">
        <v>14</v>
      </c>
      <c r="I235" s="100" t="s">
        <v>14</v>
      </c>
      <c r="J235" s="101" t="s">
        <v>15</v>
      </c>
      <c r="K235" s="101"/>
    </row>
    <row r="236" spans="1:11" x14ac:dyDescent="0.25">
      <c r="A236" s="79" t="s">
        <v>185</v>
      </c>
      <c r="B236" s="199" t="s">
        <v>146</v>
      </c>
      <c r="C236" s="24"/>
      <c r="D236" s="10"/>
      <c r="E236" s="34"/>
      <c r="F236" s="34"/>
      <c r="G236" s="6"/>
      <c r="H236" s="34"/>
      <c r="I236" s="34"/>
      <c r="J236" s="10"/>
      <c r="K236" s="10"/>
    </row>
    <row r="237" spans="1:11" x14ac:dyDescent="0.25">
      <c r="A237" s="125" t="s">
        <v>187</v>
      </c>
      <c r="B237" s="280" t="s">
        <v>150</v>
      </c>
      <c r="C237" s="252">
        <f>SUM(C238:C242)</f>
        <v>1635097968</v>
      </c>
      <c r="D237" s="10"/>
      <c r="E237" s="34"/>
      <c r="F237" s="34"/>
      <c r="G237" s="6"/>
      <c r="H237" s="34"/>
      <c r="I237" s="34"/>
      <c r="J237" s="10"/>
      <c r="K237" s="10"/>
    </row>
    <row r="238" spans="1:11" ht="25.5" x14ac:dyDescent="0.25">
      <c r="A238" s="313" t="s">
        <v>44</v>
      </c>
      <c r="B238" s="707" t="s">
        <v>384</v>
      </c>
      <c r="C238" s="253">
        <v>29600000</v>
      </c>
      <c r="D238" s="134">
        <f>C238/C237*100</f>
        <v>1.8102890823236593</v>
      </c>
      <c r="E238" s="134">
        <f t="shared" ref="E238:E241" si="82">G238/C238*100</f>
        <v>100</v>
      </c>
      <c r="F238" s="134">
        <f t="shared" ref="F238:F241" si="83">(D238*E238)/100</f>
        <v>1.8102890823236593</v>
      </c>
      <c r="G238" s="181">
        <f>29600000</f>
        <v>29600000</v>
      </c>
      <c r="H238" s="134">
        <f t="shared" ref="H238:H241" si="84">G238/C238*100</f>
        <v>100</v>
      </c>
      <c r="I238" s="134">
        <f t="shared" ref="I238:I241" si="85">(D238*H238)/100</f>
        <v>1.8102890823236593</v>
      </c>
      <c r="J238" s="6">
        <f t="shared" ref="J238:J242" si="86">G238-C238</f>
        <v>0</v>
      </c>
      <c r="K238" s="10"/>
    </row>
    <row r="239" spans="1:11" x14ac:dyDescent="0.25">
      <c r="A239" s="319" t="s">
        <v>59</v>
      </c>
      <c r="B239" s="707" t="s">
        <v>197</v>
      </c>
      <c r="C239" s="253">
        <v>1300000</v>
      </c>
      <c r="D239" s="134"/>
      <c r="E239" s="134"/>
      <c r="F239" s="134"/>
      <c r="G239" s="181">
        <f>1300000</f>
        <v>1300000</v>
      </c>
      <c r="H239" s="134"/>
      <c r="I239" s="134"/>
      <c r="J239" s="6">
        <f t="shared" si="86"/>
        <v>0</v>
      </c>
      <c r="K239" s="10"/>
    </row>
    <row r="240" spans="1:11" x14ac:dyDescent="0.25">
      <c r="A240" s="49" t="s">
        <v>148</v>
      </c>
      <c r="B240" s="133" t="s">
        <v>531</v>
      </c>
      <c r="C240" s="256">
        <f>1140000000</f>
        <v>1140000000</v>
      </c>
      <c r="D240" s="134">
        <f>C240/C237*100</f>
        <v>69.720593035438228</v>
      </c>
      <c r="E240" s="134">
        <f t="shared" si="82"/>
        <v>65.903508771929822</v>
      </c>
      <c r="F240" s="134">
        <f t="shared" si="83"/>
        <v>45.948317146951524</v>
      </c>
      <c r="G240" s="181">
        <f>542973600+208326400</f>
        <v>751300000</v>
      </c>
      <c r="H240" s="134">
        <f t="shared" si="84"/>
        <v>65.903508771929822</v>
      </c>
      <c r="I240" s="134">
        <f t="shared" si="85"/>
        <v>45.948317146951524</v>
      </c>
      <c r="J240" s="6">
        <f t="shared" si="86"/>
        <v>-388700000</v>
      </c>
      <c r="K240" s="10"/>
    </row>
    <row r="241" spans="1:11" s="84" customFormat="1" ht="25.5" x14ac:dyDescent="0.2">
      <c r="A241" s="49" t="s">
        <v>152</v>
      </c>
      <c r="B241" s="133" t="s">
        <v>153</v>
      </c>
      <c r="C241" s="256">
        <v>456000000</v>
      </c>
      <c r="D241" s="134">
        <f>C241/C237*100</f>
        <v>27.888237214175295</v>
      </c>
      <c r="E241" s="134">
        <f t="shared" si="82"/>
        <v>75</v>
      </c>
      <c r="F241" s="134">
        <f t="shared" si="83"/>
        <v>20.916177910631472</v>
      </c>
      <c r="G241" s="181">
        <f>342000000</f>
        <v>342000000</v>
      </c>
      <c r="H241" s="134">
        <f t="shared" si="84"/>
        <v>75</v>
      </c>
      <c r="I241" s="134">
        <f t="shared" si="85"/>
        <v>20.916177910631472</v>
      </c>
      <c r="J241" s="6">
        <f t="shared" si="86"/>
        <v>-114000000</v>
      </c>
      <c r="K241" s="38"/>
    </row>
    <row r="242" spans="1:11" s="84" customFormat="1" x14ac:dyDescent="0.2">
      <c r="A242" s="749" t="s">
        <v>234</v>
      </c>
      <c r="B242" s="133" t="s">
        <v>522</v>
      </c>
      <c r="C242" s="256">
        <v>8197968</v>
      </c>
      <c r="D242" s="804"/>
      <c r="E242" s="134"/>
      <c r="F242" s="134"/>
      <c r="G242" s="181">
        <f>8197968</f>
        <v>8197968</v>
      </c>
      <c r="H242" s="134"/>
      <c r="I242" s="134"/>
      <c r="J242" s="6">
        <f t="shared" si="86"/>
        <v>0</v>
      </c>
      <c r="K242" s="805"/>
    </row>
    <row r="243" spans="1:11" x14ac:dyDescent="0.25">
      <c r="A243" s="70"/>
      <c r="B243" s="129" t="s">
        <v>95</v>
      </c>
      <c r="C243" s="807">
        <f>SUM(C238:C242)</f>
        <v>1635097968</v>
      </c>
      <c r="D243" s="271">
        <f>SUM(D238:D241)</f>
        <v>99.419119331937182</v>
      </c>
      <c r="E243" s="134"/>
      <c r="F243" s="134"/>
      <c r="G243" s="181">
        <f>SUM(G238:G242)</f>
        <v>1132397968</v>
      </c>
      <c r="H243" s="134"/>
      <c r="I243" s="134"/>
      <c r="J243" s="56">
        <v>0</v>
      </c>
      <c r="K243" s="130"/>
    </row>
    <row r="244" spans="1:11" x14ac:dyDescent="0.25">
      <c r="A244" s="186"/>
      <c r="B244" s="2"/>
      <c r="C244" s="187"/>
      <c r="D244" s="188"/>
      <c r="E244" s="183"/>
      <c r="F244" s="183"/>
      <c r="G244" s="184"/>
      <c r="H244" s="183"/>
      <c r="I244" s="183"/>
      <c r="J244" s="189"/>
      <c r="K244" s="53"/>
    </row>
    <row r="245" spans="1:11" x14ac:dyDescent="0.25">
      <c r="A245" s="50"/>
      <c r="B245" s="5"/>
      <c r="C245" s="50"/>
      <c r="D245" s="9"/>
      <c r="E245" s="23"/>
      <c r="F245" s="23"/>
      <c r="G245" s="11"/>
      <c r="H245" s="23"/>
      <c r="I245" s="23"/>
      <c r="J245" s="9"/>
      <c r="K245" s="9"/>
    </row>
    <row r="246" spans="1:11" x14ac:dyDescent="0.25">
      <c r="A246" s="1088" t="s">
        <v>2</v>
      </c>
      <c r="B246" s="1094" t="s">
        <v>133</v>
      </c>
      <c r="C246" s="916"/>
      <c r="D246" s="1097" t="s">
        <v>5</v>
      </c>
      <c r="E246" s="1098"/>
      <c r="F246" s="1099"/>
      <c r="G246" s="1100" t="s">
        <v>6</v>
      </c>
      <c r="H246" s="1101"/>
      <c r="I246" s="1102"/>
      <c r="J246" s="1088" t="s">
        <v>7</v>
      </c>
      <c r="K246" s="108" t="s">
        <v>8</v>
      </c>
    </row>
    <row r="247" spans="1:11" x14ac:dyDescent="0.25">
      <c r="A247" s="1092"/>
      <c r="B247" s="1095"/>
      <c r="C247" s="917" t="s">
        <v>4</v>
      </c>
      <c r="D247" s="109" t="s">
        <v>9</v>
      </c>
      <c r="E247" s="110" t="s">
        <v>10</v>
      </c>
      <c r="F247" s="110" t="s">
        <v>11</v>
      </c>
      <c r="G247" s="111" t="s">
        <v>12</v>
      </c>
      <c r="H247" s="110" t="s">
        <v>13</v>
      </c>
      <c r="I247" s="110" t="s">
        <v>11</v>
      </c>
      <c r="J247" s="1092"/>
      <c r="K247" s="109"/>
    </row>
    <row r="248" spans="1:11" x14ac:dyDescent="0.25">
      <c r="A248" s="1093"/>
      <c r="B248" s="1096"/>
      <c r="C248" s="918"/>
      <c r="D248" s="112" t="s">
        <v>14</v>
      </c>
      <c r="E248" s="113" t="s">
        <v>14</v>
      </c>
      <c r="F248" s="113" t="s">
        <v>14</v>
      </c>
      <c r="G248" s="114" t="s">
        <v>15</v>
      </c>
      <c r="H248" s="113" t="s">
        <v>14</v>
      </c>
      <c r="I248" s="113" t="s">
        <v>14</v>
      </c>
      <c r="J248" s="112" t="s">
        <v>15</v>
      </c>
      <c r="K248" s="112"/>
    </row>
    <row r="249" spans="1:11" ht="25.5" x14ac:dyDescent="0.25">
      <c r="A249" s="79" t="s">
        <v>180</v>
      </c>
      <c r="B249" s="696" t="s">
        <v>379</v>
      </c>
      <c r="C249" s="291"/>
      <c r="D249" s="10"/>
      <c r="E249" s="34"/>
      <c r="F249" s="34"/>
      <c r="G249" s="6"/>
      <c r="H249" s="34"/>
      <c r="I249" s="34"/>
      <c r="J249" s="10"/>
      <c r="K249" s="10"/>
    </row>
    <row r="250" spans="1:11" ht="25.5" x14ac:dyDescent="0.25">
      <c r="A250" s="125" t="s">
        <v>181</v>
      </c>
      <c r="B250" s="697" t="s">
        <v>380</v>
      </c>
      <c r="C250" s="87">
        <f>SUM(C251:C266)</f>
        <v>235000000</v>
      </c>
      <c r="D250" s="10"/>
      <c r="E250" s="34"/>
      <c r="F250" s="34"/>
      <c r="G250" s="6"/>
      <c r="H250" s="34"/>
      <c r="I250" s="34"/>
      <c r="J250" s="10"/>
      <c r="K250" s="10"/>
    </row>
    <row r="251" spans="1:11" ht="25.5" x14ac:dyDescent="0.25">
      <c r="A251" s="49" t="s">
        <v>44</v>
      </c>
      <c r="B251" s="707" t="s">
        <v>384</v>
      </c>
      <c r="C251" s="172">
        <v>8580000</v>
      </c>
      <c r="D251" s="134">
        <f>C251/C250*100</f>
        <v>3.6510638297872342</v>
      </c>
      <c r="E251" s="134">
        <f t="shared" ref="E251:E262" si="87">G251/C251*100</f>
        <v>100</v>
      </c>
      <c r="F251" s="134">
        <f t="shared" ref="F251:F262" si="88">(D251*E251)/100</f>
        <v>3.6510638297872346</v>
      </c>
      <c r="G251" s="181">
        <f>8580000</f>
        <v>8580000</v>
      </c>
      <c r="H251" s="134">
        <f t="shared" ref="H251:H262" si="89">G251/C251*100</f>
        <v>100</v>
      </c>
      <c r="I251" s="134">
        <f t="shared" ref="I251:I262" si="90">(D251*H251)/100</f>
        <v>3.6510638297872346</v>
      </c>
      <c r="J251" s="6">
        <f t="shared" ref="J251:J265" si="91">G251-C251</f>
        <v>0</v>
      </c>
      <c r="K251" s="10"/>
    </row>
    <row r="252" spans="1:11" x14ac:dyDescent="0.25">
      <c r="A252" s="49" t="s">
        <v>448</v>
      </c>
      <c r="B252" s="707" t="s">
        <v>578</v>
      </c>
      <c r="C252" s="172">
        <v>510000</v>
      </c>
      <c r="D252" s="134"/>
      <c r="E252" s="134"/>
      <c r="F252" s="134"/>
      <c r="G252" s="181"/>
      <c r="H252" s="134"/>
      <c r="I252" s="134"/>
      <c r="J252" s="6"/>
      <c r="K252" s="10"/>
    </row>
    <row r="253" spans="1:11" x14ac:dyDescent="0.25">
      <c r="A253" s="49" t="s">
        <v>59</v>
      </c>
      <c r="B253" s="707" t="s">
        <v>197</v>
      </c>
      <c r="C253" s="256">
        <v>9805700</v>
      </c>
      <c r="D253" s="134">
        <f>C253/C250*100</f>
        <v>4.1726382978723411</v>
      </c>
      <c r="E253" s="134">
        <f t="shared" si="87"/>
        <v>96.812058292625707</v>
      </c>
      <c r="F253" s="134">
        <f t="shared" si="88"/>
        <v>4.0396170212765954</v>
      </c>
      <c r="G253" s="181">
        <f>6993100+2500000</f>
        <v>9493100</v>
      </c>
      <c r="H253" s="134">
        <f t="shared" si="89"/>
        <v>96.812058292625707</v>
      </c>
      <c r="I253" s="134">
        <f t="shared" si="90"/>
        <v>4.0396170212765954</v>
      </c>
      <c r="J253" s="6">
        <f t="shared" si="91"/>
        <v>-312600</v>
      </c>
      <c r="K253" s="10"/>
    </row>
    <row r="254" spans="1:11" x14ac:dyDescent="0.25">
      <c r="A254" s="49" t="s">
        <v>62</v>
      </c>
      <c r="B254" s="707" t="s">
        <v>334</v>
      </c>
      <c r="C254" s="256">
        <v>4450000</v>
      </c>
      <c r="D254" s="134">
        <f>C254/C250*100</f>
        <v>1.8936170212765957</v>
      </c>
      <c r="E254" s="134">
        <f t="shared" si="87"/>
        <v>100</v>
      </c>
      <c r="F254" s="134">
        <f t="shared" si="88"/>
        <v>1.8936170212765959</v>
      </c>
      <c r="G254" s="181">
        <f>4450000</f>
        <v>4450000</v>
      </c>
      <c r="H254" s="134">
        <f t="shared" si="89"/>
        <v>100</v>
      </c>
      <c r="I254" s="134">
        <f t="shared" si="90"/>
        <v>1.8936170212765959</v>
      </c>
      <c r="J254" s="6">
        <f t="shared" si="91"/>
        <v>0</v>
      </c>
      <c r="K254" s="10"/>
    </row>
    <row r="255" spans="1:11" ht="25.5" x14ac:dyDescent="0.25">
      <c r="A255" s="49" t="s">
        <v>587</v>
      </c>
      <c r="B255" s="707" t="s">
        <v>532</v>
      </c>
      <c r="C255" s="256">
        <v>3500000</v>
      </c>
      <c r="D255" s="134"/>
      <c r="E255" s="134"/>
      <c r="F255" s="134"/>
      <c r="G255" s="181">
        <f>3500000</f>
        <v>3500000</v>
      </c>
      <c r="H255" s="134"/>
      <c r="I255" s="134"/>
      <c r="J255" s="6">
        <f t="shared" si="91"/>
        <v>0</v>
      </c>
      <c r="K255" s="10"/>
    </row>
    <row r="256" spans="1:11" x14ac:dyDescent="0.25">
      <c r="A256" s="49" t="s">
        <v>579</v>
      </c>
      <c r="B256" s="707" t="s">
        <v>580</v>
      </c>
      <c r="C256" s="256">
        <v>7250000</v>
      </c>
      <c r="D256" s="134"/>
      <c r="E256" s="134"/>
      <c r="F256" s="134"/>
      <c r="G256" s="181"/>
      <c r="H256" s="134"/>
      <c r="I256" s="134"/>
      <c r="J256" s="6"/>
      <c r="K256" s="10"/>
    </row>
    <row r="257" spans="1:14" x14ac:dyDescent="0.25">
      <c r="A257" s="49" t="s">
        <v>77</v>
      </c>
      <c r="B257" s="49" t="s">
        <v>135</v>
      </c>
      <c r="C257" s="174">
        <v>76080000</v>
      </c>
      <c r="D257" s="134">
        <f>C257/C250*100</f>
        <v>32.374468085106386</v>
      </c>
      <c r="E257" s="134">
        <f t="shared" si="87"/>
        <v>58.831493165089377</v>
      </c>
      <c r="F257" s="134">
        <f t="shared" si="88"/>
        <v>19.046382978723404</v>
      </c>
      <c r="G257" s="181">
        <f>44759000</f>
        <v>44759000</v>
      </c>
      <c r="H257" s="134">
        <f t="shared" si="89"/>
        <v>58.831493165089377</v>
      </c>
      <c r="I257" s="134">
        <f t="shared" si="90"/>
        <v>19.046382978723404</v>
      </c>
      <c r="J257" s="6">
        <f t="shared" si="91"/>
        <v>-31321000</v>
      </c>
      <c r="K257" s="10"/>
    </row>
    <row r="258" spans="1:14" x14ac:dyDescent="0.25">
      <c r="A258" s="49"/>
      <c r="B258" s="170" t="s">
        <v>178</v>
      </c>
      <c r="C258" s="174">
        <v>5875000</v>
      </c>
      <c r="D258" s="134"/>
      <c r="E258" s="134"/>
      <c r="F258" s="134"/>
      <c r="G258" s="181"/>
      <c r="H258" s="134"/>
      <c r="I258" s="134"/>
      <c r="J258" s="6">
        <f t="shared" si="91"/>
        <v>-5875000</v>
      </c>
      <c r="K258" s="10"/>
    </row>
    <row r="259" spans="1:14" x14ac:dyDescent="0.25">
      <c r="A259" s="49" t="s">
        <v>104</v>
      </c>
      <c r="B259" s="170" t="s">
        <v>179</v>
      </c>
      <c r="C259" s="172">
        <v>33400000</v>
      </c>
      <c r="D259" s="134">
        <f>C259/C250*100</f>
        <v>14.212765957446807</v>
      </c>
      <c r="E259" s="134">
        <f t="shared" si="87"/>
        <v>100</v>
      </c>
      <c r="F259" s="134">
        <f t="shared" si="88"/>
        <v>14.212765957446807</v>
      </c>
      <c r="G259" s="181">
        <f>33400000</f>
        <v>33400000</v>
      </c>
      <c r="H259" s="134">
        <f t="shared" si="89"/>
        <v>100</v>
      </c>
      <c r="I259" s="134">
        <f t="shared" si="90"/>
        <v>14.212765957446807</v>
      </c>
      <c r="J259" s="6">
        <f t="shared" si="91"/>
        <v>0</v>
      </c>
      <c r="K259" s="10"/>
    </row>
    <row r="260" spans="1:14" ht="25.5" x14ac:dyDescent="0.25">
      <c r="A260" s="49" t="s">
        <v>106</v>
      </c>
      <c r="B260" s="316" t="s">
        <v>375</v>
      </c>
      <c r="C260" s="178">
        <v>16500000</v>
      </c>
      <c r="D260" s="134">
        <f>C260/C250*100</f>
        <v>7.0212765957446814</v>
      </c>
      <c r="E260" s="134">
        <f t="shared" si="87"/>
        <v>74.545454545454547</v>
      </c>
      <c r="F260" s="134">
        <f t="shared" si="88"/>
        <v>5.2340425531914896</v>
      </c>
      <c r="G260" s="181">
        <f>12300000</f>
        <v>12300000</v>
      </c>
      <c r="H260" s="134">
        <f t="shared" si="89"/>
        <v>74.545454545454547</v>
      </c>
      <c r="I260" s="134">
        <f t="shared" si="90"/>
        <v>5.2340425531914896</v>
      </c>
      <c r="J260" s="6">
        <f t="shared" si="91"/>
        <v>-4200000</v>
      </c>
      <c r="K260" s="10"/>
    </row>
    <row r="261" spans="1:14" x14ac:dyDescent="0.25">
      <c r="A261" s="49" t="s">
        <v>588</v>
      </c>
      <c r="B261" s="316" t="s">
        <v>533</v>
      </c>
      <c r="C261" s="178">
        <v>2500000</v>
      </c>
      <c r="D261" s="134"/>
      <c r="E261" s="134"/>
      <c r="F261" s="134"/>
      <c r="G261" s="181">
        <f>2500000</f>
        <v>2500000</v>
      </c>
      <c r="H261" s="134"/>
      <c r="I261" s="134"/>
      <c r="J261" s="6">
        <f t="shared" si="91"/>
        <v>0</v>
      </c>
      <c r="K261" s="10"/>
    </row>
    <row r="262" spans="1:14" ht="25.5" x14ac:dyDescent="0.25">
      <c r="A262" s="49" t="s">
        <v>116</v>
      </c>
      <c r="B262" s="133" t="s">
        <v>371</v>
      </c>
      <c r="C262" s="178">
        <v>4824300</v>
      </c>
      <c r="D262" s="134">
        <f>C262/C250*100</f>
        <v>2.0528936170212764</v>
      </c>
      <c r="E262" s="134">
        <f t="shared" si="87"/>
        <v>100</v>
      </c>
      <c r="F262" s="134">
        <f t="shared" si="88"/>
        <v>2.0528936170212764</v>
      </c>
      <c r="G262" s="181">
        <f>2999800+1824500</f>
        <v>4824300</v>
      </c>
      <c r="H262" s="134">
        <f t="shared" si="89"/>
        <v>100</v>
      </c>
      <c r="I262" s="134">
        <f t="shared" si="90"/>
        <v>2.0528936170212764</v>
      </c>
      <c r="J262" s="6">
        <f t="shared" si="91"/>
        <v>0</v>
      </c>
      <c r="K262" s="10"/>
    </row>
    <row r="263" spans="1:14" x14ac:dyDescent="0.25">
      <c r="A263" s="749" t="s">
        <v>121</v>
      </c>
      <c r="B263" s="315" t="s">
        <v>191</v>
      </c>
      <c r="C263" s="178">
        <v>19400000</v>
      </c>
      <c r="D263" s="134"/>
      <c r="E263" s="134"/>
      <c r="F263" s="134"/>
      <c r="G263" s="181">
        <f>19400000</f>
        <v>19400000</v>
      </c>
      <c r="H263" s="134"/>
      <c r="I263" s="134"/>
      <c r="J263" s="6">
        <f t="shared" si="91"/>
        <v>0</v>
      </c>
      <c r="K263" s="10"/>
    </row>
    <row r="264" spans="1:14" x14ac:dyDescent="0.25">
      <c r="A264" s="749" t="s">
        <v>589</v>
      </c>
      <c r="B264" s="315" t="s">
        <v>207</v>
      </c>
      <c r="C264" s="178">
        <v>6000000</v>
      </c>
      <c r="D264" s="134"/>
      <c r="E264" s="134"/>
      <c r="F264" s="134"/>
      <c r="G264" s="181"/>
      <c r="H264" s="134"/>
      <c r="I264" s="134"/>
      <c r="J264" s="6"/>
      <c r="K264" s="10"/>
    </row>
    <row r="265" spans="1:14" x14ac:dyDescent="0.25">
      <c r="A265" s="749" t="s">
        <v>590</v>
      </c>
      <c r="B265" s="133" t="s">
        <v>424</v>
      </c>
      <c r="C265" s="178">
        <v>4125000</v>
      </c>
      <c r="D265" s="134"/>
      <c r="E265" s="134"/>
      <c r="F265" s="134"/>
      <c r="G265" s="181">
        <v>4125000</v>
      </c>
      <c r="H265" s="134"/>
      <c r="I265" s="134"/>
      <c r="J265" s="6">
        <f t="shared" si="91"/>
        <v>0</v>
      </c>
      <c r="K265" s="10"/>
    </row>
    <row r="266" spans="1:14" x14ac:dyDescent="0.25">
      <c r="A266" s="49" t="s">
        <v>584</v>
      </c>
      <c r="B266" s="133" t="s">
        <v>583</v>
      </c>
      <c r="C266" s="178">
        <v>32200000</v>
      </c>
      <c r="D266" s="134"/>
      <c r="E266" s="134"/>
      <c r="F266" s="134"/>
      <c r="G266" s="181"/>
      <c r="H266" s="134"/>
      <c r="I266" s="134"/>
      <c r="J266" s="6"/>
      <c r="K266" s="10"/>
    </row>
    <row r="267" spans="1:14" x14ac:dyDescent="0.25">
      <c r="A267" s="70"/>
      <c r="B267" s="920" t="s">
        <v>136</v>
      </c>
      <c r="C267" s="43">
        <f>SUM(C251:C266)</f>
        <v>235000000</v>
      </c>
      <c r="D267" s="12">
        <f>SUM(D251:D262)</f>
        <v>65.378723404255325</v>
      </c>
      <c r="E267" s="134"/>
      <c r="F267" s="134"/>
      <c r="G267" s="837">
        <f>SUM(G251:G266)</f>
        <v>147331400</v>
      </c>
      <c r="H267" s="134"/>
      <c r="I267" s="134"/>
      <c r="J267" s="734"/>
      <c r="K267" s="3"/>
    </row>
    <row r="268" spans="1:14" x14ac:dyDescent="0.25">
      <c r="A268" s="53"/>
      <c r="B268" s="5"/>
      <c r="C268" s="189"/>
      <c r="D268" s="29"/>
      <c r="E268" s="30"/>
      <c r="F268" s="23"/>
      <c r="G268" s="11"/>
      <c r="H268" s="32"/>
      <c r="I268" s="23"/>
      <c r="J268" s="15"/>
      <c r="K268" s="37"/>
    </row>
    <row r="269" spans="1:14" ht="31.5" x14ac:dyDescent="0.25">
      <c r="A269" s="55"/>
      <c r="B269" s="46" t="s">
        <v>145</v>
      </c>
      <c r="C269" s="155"/>
      <c r="D269" s="44"/>
      <c r="E269" s="45"/>
      <c r="F269" s="45"/>
      <c r="G269" s="48"/>
      <c r="H269" s="45"/>
      <c r="I269" s="45"/>
      <c r="J269" s="44"/>
      <c r="K269" s="44"/>
      <c r="L269" s="1"/>
      <c r="M269" s="1"/>
      <c r="N269" s="1"/>
    </row>
    <row r="270" spans="1:14" x14ac:dyDescent="0.25">
      <c r="A270" s="1087" t="s">
        <v>2</v>
      </c>
      <c r="B270" s="1089" t="s">
        <v>169</v>
      </c>
      <c r="C270" s="1087" t="s">
        <v>4</v>
      </c>
      <c r="D270" s="1090" t="s">
        <v>5</v>
      </c>
      <c r="E270" s="1090"/>
      <c r="F270" s="1090"/>
      <c r="G270" s="1091" t="s">
        <v>6</v>
      </c>
      <c r="H270" s="1091"/>
      <c r="I270" s="1091"/>
      <c r="J270" s="1087" t="s">
        <v>7</v>
      </c>
      <c r="K270" s="108" t="s">
        <v>8</v>
      </c>
    </row>
    <row r="271" spans="1:14" x14ac:dyDescent="0.25">
      <c r="A271" s="1087"/>
      <c r="B271" s="1089"/>
      <c r="C271" s="1087"/>
      <c r="D271" s="108" t="s">
        <v>9</v>
      </c>
      <c r="E271" s="300" t="s">
        <v>10</v>
      </c>
      <c r="F271" s="300" t="s">
        <v>11</v>
      </c>
      <c r="G271" s="301" t="s">
        <v>12</v>
      </c>
      <c r="H271" s="300" t="s">
        <v>13</v>
      </c>
      <c r="I271" s="300" t="s">
        <v>11</v>
      </c>
      <c r="J271" s="1088"/>
      <c r="K271" s="109"/>
    </row>
    <row r="272" spans="1:14" x14ac:dyDescent="0.25">
      <c r="A272" s="1087"/>
      <c r="B272" s="1089"/>
      <c r="C272" s="1087"/>
      <c r="D272" s="112" t="s">
        <v>14</v>
      </c>
      <c r="E272" s="113" t="s">
        <v>14</v>
      </c>
      <c r="F272" s="113" t="s">
        <v>14</v>
      </c>
      <c r="G272" s="114" t="s">
        <v>15</v>
      </c>
      <c r="H272" s="113" t="s">
        <v>14</v>
      </c>
      <c r="I272" s="113" t="s">
        <v>14</v>
      </c>
      <c r="J272" s="112" t="s">
        <v>15</v>
      </c>
      <c r="K272" s="112"/>
    </row>
    <row r="273" spans="1:11" x14ac:dyDescent="0.25">
      <c r="A273" s="79" t="s">
        <v>185</v>
      </c>
      <c r="B273" s="199" t="s">
        <v>146</v>
      </c>
      <c r="C273" s="24"/>
      <c r="D273" s="10"/>
      <c r="E273" s="34"/>
      <c r="F273" s="34"/>
      <c r="G273" s="6"/>
      <c r="H273" s="34"/>
      <c r="I273" s="34"/>
      <c r="J273" s="10"/>
      <c r="K273" s="10"/>
    </row>
    <row r="274" spans="1:11" x14ac:dyDescent="0.25">
      <c r="A274" s="125" t="s">
        <v>184</v>
      </c>
      <c r="B274" s="280" t="s">
        <v>147</v>
      </c>
      <c r="C274" s="252">
        <f>SUM(C275:C276)</f>
        <v>2930640000</v>
      </c>
      <c r="D274" s="10"/>
      <c r="E274" s="34"/>
      <c r="F274" s="34"/>
      <c r="G274" s="6"/>
      <c r="H274" s="34"/>
      <c r="I274" s="34"/>
      <c r="J274" s="10"/>
      <c r="K274" s="10"/>
    </row>
    <row r="275" spans="1:11" ht="25.5" x14ac:dyDescent="0.25">
      <c r="A275" s="313" t="s">
        <v>44</v>
      </c>
      <c r="B275" s="707" t="s">
        <v>384</v>
      </c>
      <c r="C275" s="253">
        <v>35640000</v>
      </c>
      <c r="D275" s="134">
        <f>C275/C274*100</f>
        <v>1.2161166161657522</v>
      </c>
      <c r="E275" s="134">
        <f t="shared" ref="E275:E276" si="92">G275/C275*100</f>
        <v>50</v>
      </c>
      <c r="F275" s="134">
        <f t="shared" ref="F275:F276" si="93">(D275*E275)/100</f>
        <v>0.60805830808287609</v>
      </c>
      <c r="G275" s="181">
        <f>17820000</f>
        <v>17820000</v>
      </c>
      <c r="H275" s="134">
        <f t="shared" ref="H275:H276" si="94">G275/C275*100</f>
        <v>50</v>
      </c>
      <c r="I275" s="134">
        <f t="shared" ref="I275:I276" si="95">(D275*H275)/100</f>
        <v>0.60805830808287609</v>
      </c>
      <c r="J275" s="6">
        <f t="shared" ref="J275:J276" si="96">G275-C275</f>
        <v>-17820000</v>
      </c>
      <c r="K275" s="10"/>
    </row>
    <row r="276" spans="1:11" x14ac:dyDescent="0.25">
      <c r="A276" s="49" t="s">
        <v>148</v>
      </c>
      <c r="B276" s="133" t="s">
        <v>534</v>
      </c>
      <c r="C276" s="256">
        <v>2895000000</v>
      </c>
      <c r="D276" s="268">
        <f>C276/C274*100</f>
        <v>98.783883383834251</v>
      </c>
      <c r="E276" s="134">
        <f t="shared" si="92"/>
        <v>84.843787564766842</v>
      </c>
      <c r="F276" s="134">
        <f t="shared" si="93"/>
        <v>83.811988166407332</v>
      </c>
      <c r="G276" s="181">
        <f>1282077100+1174150550</f>
        <v>2456227650</v>
      </c>
      <c r="H276" s="134">
        <f t="shared" si="94"/>
        <v>84.843787564766842</v>
      </c>
      <c r="I276" s="134">
        <f t="shared" si="95"/>
        <v>83.811988166407332</v>
      </c>
      <c r="J276" s="6">
        <f t="shared" si="96"/>
        <v>-438772350</v>
      </c>
      <c r="K276" s="3"/>
    </row>
    <row r="277" spans="1:11" x14ac:dyDescent="0.25">
      <c r="A277" s="71"/>
      <c r="B277" s="76" t="s">
        <v>95</v>
      </c>
      <c r="C277" s="808">
        <f>SUM(C275:C276)</f>
        <v>2930640000</v>
      </c>
      <c r="D277" s="274">
        <f>SUM(D275:D276)</f>
        <v>100</v>
      </c>
      <c r="E277" s="134"/>
      <c r="F277" s="134"/>
      <c r="G277" s="181">
        <f>SUM(G275:G276)</f>
        <v>2474047650</v>
      </c>
      <c r="H277" s="134"/>
      <c r="I277" s="134"/>
      <c r="J277" s="734"/>
      <c r="K277" s="40"/>
    </row>
    <row r="278" spans="1:11" x14ac:dyDescent="0.25">
      <c r="A278" s="53"/>
      <c r="B278" s="5"/>
      <c r="C278" s="189"/>
      <c r="D278" s="29"/>
      <c r="E278" s="30"/>
      <c r="F278" s="23"/>
      <c r="G278" s="11"/>
      <c r="H278" s="32"/>
      <c r="I278" s="23"/>
      <c r="J278" s="15"/>
      <c r="K278" s="37"/>
    </row>
    <row r="279" spans="1:11" x14ac:dyDescent="0.25">
      <c r="A279" s="1087" t="s">
        <v>2</v>
      </c>
      <c r="B279" s="1089" t="s">
        <v>169</v>
      </c>
      <c r="C279" s="1087" t="s">
        <v>4</v>
      </c>
      <c r="D279" s="1090" t="s">
        <v>5</v>
      </c>
      <c r="E279" s="1090"/>
      <c r="F279" s="1090"/>
      <c r="G279" s="1091" t="s">
        <v>6</v>
      </c>
      <c r="H279" s="1091"/>
      <c r="I279" s="1091"/>
      <c r="J279" s="1087" t="s">
        <v>7</v>
      </c>
      <c r="K279" s="108" t="s">
        <v>8</v>
      </c>
    </row>
    <row r="280" spans="1:11" x14ac:dyDescent="0.25">
      <c r="A280" s="1087"/>
      <c r="B280" s="1089"/>
      <c r="C280" s="1087"/>
      <c r="D280" s="108" t="s">
        <v>9</v>
      </c>
      <c r="E280" s="300" t="s">
        <v>10</v>
      </c>
      <c r="F280" s="300" t="s">
        <v>11</v>
      </c>
      <c r="G280" s="301" t="s">
        <v>12</v>
      </c>
      <c r="H280" s="300" t="s">
        <v>13</v>
      </c>
      <c r="I280" s="300" t="s">
        <v>11</v>
      </c>
      <c r="J280" s="1088"/>
      <c r="K280" s="109"/>
    </row>
    <row r="281" spans="1:11" x14ac:dyDescent="0.25">
      <c r="A281" s="1087"/>
      <c r="B281" s="1089"/>
      <c r="C281" s="1087"/>
      <c r="D281" s="112" t="s">
        <v>14</v>
      </c>
      <c r="E281" s="113" t="s">
        <v>14</v>
      </c>
      <c r="F281" s="113" t="s">
        <v>14</v>
      </c>
      <c r="G281" s="114" t="s">
        <v>15</v>
      </c>
      <c r="H281" s="113" t="s">
        <v>14</v>
      </c>
      <c r="I281" s="113" t="s">
        <v>14</v>
      </c>
      <c r="J281" s="112" t="s">
        <v>15</v>
      </c>
      <c r="K281" s="112"/>
    </row>
    <row r="282" spans="1:11" x14ac:dyDescent="0.25">
      <c r="A282" s="79" t="s">
        <v>185</v>
      </c>
      <c r="B282" s="199" t="s">
        <v>146</v>
      </c>
      <c r="C282" s="24"/>
      <c r="D282" s="10"/>
      <c r="E282" s="34"/>
      <c r="F282" s="34"/>
      <c r="G282" s="6"/>
      <c r="H282" s="34"/>
      <c r="I282" s="34"/>
      <c r="J282" s="10"/>
      <c r="K282" s="10"/>
    </row>
    <row r="283" spans="1:11" x14ac:dyDescent="0.25">
      <c r="A283" s="125" t="s">
        <v>187</v>
      </c>
      <c r="B283" s="280" t="s">
        <v>150</v>
      </c>
      <c r="C283" s="252">
        <f>SUM(C284:C288)</f>
        <v>1769445176</v>
      </c>
      <c r="D283" s="10"/>
      <c r="E283" s="34"/>
      <c r="F283" s="34"/>
      <c r="G283" s="6"/>
      <c r="H283" s="34"/>
      <c r="I283" s="34"/>
      <c r="J283" s="10"/>
      <c r="K283" s="10"/>
    </row>
    <row r="284" spans="1:11" ht="25.5" x14ac:dyDescent="0.25">
      <c r="A284" s="313" t="s">
        <v>44</v>
      </c>
      <c r="B284" s="707" t="s">
        <v>384</v>
      </c>
      <c r="C284" s="253">
        <v>30210000</v>
      </c>
      <c r="D284" s="134">
        <f>C284/C283*100</f>
        <v>1.707314835732441</v>
      </c>
      <c r="E284" s="134">
        <f t="shared" ref="E284:E287" si="97">G284/C284*100</f>
        <v>66.666666666666657</v>
      </c>
      <c r="F284" s="134">
        <f t="shared" ref="F284:F287" si="98">(D284*E284)/100</f>
        <v>1.1382098904882938</v>
      </c>
      <c r="G284" s="181">
        <f>20140000</f>
        <v>20140000</v>
      </c>
      <c r="H284" s="134">
        <f t="shared" ref="H284:H287" si="99">G284/C284*100</f>
        <v>66.666666666666657</v>
      </c>
      <c r="I284" s="134">
        <f t="shared" ref="I284:I287" si="100">(D284*H284)/100</f>
        <v>1.1382098904882938</v>
      </c>
      <c r="J284" s="6">
        <f t="shared" ref="J284:J288" si="101">G284-C284</f>
        <v>-10070000</v>
      </c>
      <c r="K284" s="10"/>
    </row>
    <row r="285" spans="1:11" x14ac:dyDescent="0.25">
      <c r="A285" s="313" t="s">
        <v>59</v>
      </c>
      <c r="B285" s="707" t="s">
        <v>197</v>
      </c>
      <c r="C285" s="253">
        <v>690000</v>
      </c>
      <c r="D285" s="134">
        <f>C285/C283*100</f>
        <v>3.8995274301734002E-2</v>
      </c>
      <c r="E285" s="134">
        <f t="shared" si="97"/>
        <v>100</v>
      </c>
      <c r="F285" s="134">
        <f t="shared" si="98"/>
        <v>3.8995274301734002E-2</v>
      </c>
      <c r="G285" s="181">
        <f>690000</f>
        <v>690000</v>
      </c>
      <c r="H285" s="134">
        <f t="shared" si="99"/>
        <v>100</v>
      </c>
      <c r="I285" s="134">
        <f t="shared" si="100"/>
        <v>3.8995274301734002E-2</v>
      </c>
      <c r="J285" s="6">
        <f t="shared" si="101"/>
        <v>0</v>
      </c>
      <c r="K285" s="10"/>
    </row>
    <row r="286" spans="1:11" x14ac:dyDescent="0.25">
      <c r="A286" s="312" t="s">
        <v>157</v>
      </c>
      <c r="B286" s="133" t="s">
        <v>534</v>
      </c>
      <c r="C286" s="256">
        <v>1237700000</v>
      </c>
      <c r="D286" s="134">
        <f>C286/C283*100</f>
        <v>69.948479714864021</v>
      </c>
      <c r="E286" s="134">
        <f t="shared" si="97"/>
        <v>62.718906035388223</v>
      </c>
      <c r="F286" s="134">
        <f t="shared" si="98"/>
        <v>43.870921265548162</v>
      </c>
      <c r="G286" s="181">
        <f>573572400+202699500</f>
        <v>776271900</v>
      </c>
      <c r="H286" s="134">
        <f t="shared" si="99"/>
        <v>62.718906035388223</v>
      </c>
      <c r="I286" s="134">
        <f t="shared" si="100"/>
        <v>43.870921265548162</v>
      </c>
      <c r="J286" s="6">
        <f t="shared" si="101"/>
        <v>-461428100</v>
      </c>
      <c r="K286" s="10"/>
    </row>
    <row r="287" spans="1:11" s="84" customFormat="1" ht="25.5" x14ac:dyDescent="0.2">
      <c r="A287" s="312" t="s">
        <v>152</v>
      </c>
      <c r="B287" s="133" t="s">
        <v>159</v>
      </c>
      <c r="C287" s="256">
        <v>492000000</v>
      </c>
      <c r="D287" s="134">
        <f>C287/C283*100</f>
        <v>27.805326023845119</v>
      </c>
      <c r="E287" s="134">
        <f t="shared" si="97"/>
        <v>66.666666666666657</v>
      </c>
      <c r="F287" s="134">
        <f t="shared" si="98"/>
        <v>18.536884015896746</v>
      </c>
      <c r="G287" s="181">
        <f>328000000</f>
        <v>328000000</v>
      </c>
      <c r="H287" s="134">
        <f t="shared" si="99"/>
        <v>66.666666666666657</v>
      </c>
      <c r="I287" s="134">
        <f t="shared" si="100"/>
        <v>18.536884015896746</v>
      </c>
      <c r="J287" s="6">
        <f t="shared" si="101"/>
        <v>-164000000</v>
      </c>
      <c r="K287" s="38"/>
    </row>
    <row r="288" spans="1:11" s="84" customFormat="1" x14ac:dyDescent="0.2">
      <c r="A288" s="749" t="s">
        <v>234</v>
      </c>
      <c r="B288" s="133" t="s">
        <v>522</v>
      </c>
      <c r="C288" s="256">
        <v>8845176</v>
      </c>
      <c r="D288" s="804"/>
      <c r="E288" s="134"/>
      <c r="F288" s="134"/>
      <c r="G288" s="181">
        <f>8197968</f>
        <v>8197968</v>
      </c>
      <c r="H288" s="134"/>
      <c r="I288" s="134"/>
      <c r="J288" s="6">
        <f t="shared" si="101"/>
        <v>-647208</v>
      </c>
      <c r="K288" s="805"/>
    </row>
    <row r="289" spans="1:11" x14ac:dyDescent="0.25">
      <c r="A289" s="70"/>
      <c r="B289" s="129" t="s">
        <v>95</v>
      </c>
      <c r="C289" s="807">
        <f>SUM(C284:C288)</f>
        <v>1769445176</v>
      </c>
      <c r="D289" s="271">
        <f>SUM(D284:D287)</f>
        <v>99.50011584874332</v>
      </c>
      <c r="E289" s="134"/>
      <c r="F289" s="134"/>
      <c r="G289" s="181">
        <f>SUM(G284:G288)</f>
        <v>1133299868</v>
      </c>
      <c r="H289" s="134"/>
      <c r="I289" s="134"/>
      <c r="J289" s="56">
        <v>0</v>
      </c>
      <c r="K289" s="130"/>
    </row>
    <row r="290" spans="1:11" x14ac:dyDescent="0.25">
      <c r="A290" s="53"/>
      <c r="B290" s="5"/>
      <c r="C290" s="189"/>
      <c r="D290" s="29"/>
      <c r="E290" s="30"/>
      <c r="F290" s="23"/>
      <c r="G290" s="11"/>
      <c r="H290" s="32"/>
      <c r="I290" s="23"/>
      <c r="J290" s="15"/>
      <c r="K290" s="37"/>
    </row>
    <row r="291" spans="1:11" x14ac:dyDescent="0.25">
      <c r="A291" s="50"/>
      <c r="B291" s="5"/>
      <c r="C291" s="50"/>
      <c r="D291" s="9"/>
      <c r="E291" s="23"/>
      <c r="F291" s="23"/>
      <c r="G291" s="11"/>
      <c r="H291" s="23"/>
      <c r="I291" s="23"/>
      <c r="J291" s="9"/>
      <c r="K291" s="9"/>
    </row>
    <row r="292" spans="1:11" x14ac:dyDescent="0.25">
      <c r="A292" s="50"/>
      <c r="B292" s="5"/>
      <c r="C292" s="50"/>
      <c r="D292" s="9"/>
      <c r="E292" s="23"/>
      <c r="F292" s="23"/>
      <c r="G292" s="11"/>
      <c r="H292" s="23"/>
      <c r="I292" s="23"/>
      <c r="J292" s="9"/>
      <c r="K292" s="9"/>
    </row>
    <row r="293" spans="1:11" x14ac:dyDescent="0.25">
      <c r="A293" s="1103" t="s">
        <v>2</v>
      </c>
      <c r="B293" s="1116" t="s">
        <v>137</v>
      </c>
      <c r="C293" s="1103" t="s">
        <v>4</v>
      </c>
      <c r="D293" s="1105" t="s">
        <v>5</v>
      </c>
      <c r="E293" s="1106"/>
      <c r="F293" s="1106"/>
      <c r="G293" s="1107" t="s">
        <v>6</v>
      </c>
      <c r="H293" s="1106"/>
      <c r="I293" s="1106"/>
      <c r="J293" s="1108" t="s">
        <v>7</v>
      </c>
      <c r="K293" s="1108" t="s">
        <v>8</v>
      </c>
    </row>
    <row r="294" spans="1:11" x14ac:dyDescent="0.25">
      <c r="A294" s="1103"/>
      <c r="B294" s="1117"/>
      <c r="C294" s="1103"/>
      <c r="D294" s="102" t="s">
        <v>9</v>
      </c>
      <c r="E294" s="103" t="s">
        <v>10</v>
      </c>
      <c r="F294" s="103" t="s">
        <v>11</v>
      </c>
      <c r="G294" s="104" t="s">
        <v>12</v>
      </c>
      <c r="H294" s="103" t="s">
        <v>13</v>
      </c>
      <c r="I294" s="103" t="s">
        <v>11</v>
      </c>
      <c r="J294" s="1109"/>
      <c r="K294" s="1109"/>
    </row>
    <row r="295" spans="1:11" x14ac:dyDescent="0.25">
      <c r="A295" s="1103"/>
      <c r="B295" s="1118"/>
      <c r="C295" s="1103"/>
      <c r="D295" s="105" t="s">
        <v>14</v>
      </c>
      <c r="E295" s="106" t="s">
        <v>14</v>
      </c>
      <c r="F295" s="106" t="s">
        <v>14</v>
      </c>
      <c r="G295" s="107" t="s">
        <v>15</v>
      </c>
      <c r="H295" s="106" t="s">
        <v>14</v>
      </c>
      <c r="I295" s="106" t="s">
        <v>14</v>
      </c>
      <c r="J295" s="105" t="s">
        <v>15</v>
      </c>
      <c r="K295" s="1110"/>
    </row>
    <row r="296" spans="1:11" ht="25.5" x14ac:dyDescent="0.25">
      <c r="A296" s="79" t="s">
        <v>180</v>
      </c>
      <c r="B296" s="696" t="s">
        <v>379</v>
      </c>
      <c r="C296" s="64"/>
      <c r="D296" s="10"/>
      <c r="E296" s="34"/>
      <c r="F296" s="34"/>
      <c r="G296" s="6"/>
      <c r="H296" s="34"/>
      <c r="I296" s="34"/>
      <c r="J296" s="10"/>
      <c r="K296" s="10"/>
    </row>
    <row r="297" spans="1:11" ht="25.5" x14ac:dyDescent="0.25">
      <c r="A297" s="140" t="s">
        <v>181</v>
      </c>
      <c r="B297" s="697" t="s">
        <v>380</v>
      </c>
      <c r="C297" s="86">
        <f>SUM(C298:C315)</f>
        <v>235000000</v>
      </c>
      <c r="D297" s="179"/>
      <c r="E297" s="168"/>
      <c r="F297" s="168"/>
      <c r="G297" s="169"/>
      <c r="H297" s="168"/>
      <c r="I297" s="168"/>
      <c r="J297" s="167"/>
      <c r="K297" s="167"/>
    </row>
    <row r="298" spans="1:11" ht="25.5" x14ac:dyDescent="0.25">
      <c r="A298" s="170" t="s">
        <v>44</v>
      </c>
      <c r="B298" s="707" t="s">
        <v>384</v>
      </c>
      <c r="C298" s="58">
        <v>9200000</v>
      </c>
      <c r="D298" s="180">
        <f>C298/C297*100</f>
        <v>3.9148936170212765</v>
      </c>
      <c r="E298" s="134">
        <f t="shared" ref="E298:E312" si="102">G298/C298*100</f>
        <v>93.260869565217391</v>
      </c>
      <c r="F298" s="134">
        <f t="shared" ref="F298:F312" si="103">(D298*E298)/100</f>
        <v>3.6510638297872338</v>
      </c>
      <c r="G298" s="181">
        <f>8580000</f>
        <v>8580000</v>
      </c>
      <c r="H298" s="134">
        <f t="shared" ref="H298:H312" si="104">G298/C298*100</f>
        <v>93.260869565217391</v>
      </c>
      <c r="I298" s="134">
        <f t="shared" ref="I298:I312" si="105">(D298*H298)/100</f>
        <v>3.6510638297872338</v>
      </c>
      <c r="J298" s="6">
        <f t="shared" ref="J298:J315" si="106">G298-C298</f>
        <v>-620000</v>
      </c>
      <c r="K298" s="167"/>
    </row>
    <row r="299" spans="1:11" x14ac:dyDescent="0.25">
      <c r="A299" s="170" t="s">
        <v>448</v>
      </c>
      <c r="B299" s="707" t="s">
        <v>578</v>
      </c>
      <c r="C299" s="58">
        <v>510000</v>
      </c>
      <c r="D299" s="180"/>
      <c r="E299" s="134"/>
      <c r="F299" s="134"/>
      <c r="G299" s="181"/>
      <c r="H299" s="134"/>
      <c r="I299" s="134"/>
      <c r="J299" s="6"/>
      <c r="K299" s="167"/>
    </row>
    <row r="300" spans="1:11" x14ac:dyDescent="0.25">
      <c r="A300" s="170" t="s">
        <v>221</v>
      </c>
      <c r="B300" s="707" t="s">
        <v>530</v>
      </c>
      <c r="C300" s="58">
        <v>1350000</v>
      </c>
      <c r="D300" s="180"/>
      <c r="E300" s="134"/>
      <c r="F300" s="134"/>
      <c r="G300" s="181">
        <f>1350000</f>
        <v>1350000</v>
      </c>
      <c r="H300" s="134"/>
      <c r="I300" s="134"/>
      <c r="J300" s="6">
        <f t="shared" si="106"/>
        <v>0</v>
      </c>
      <c r="K300" s="167"/>
    </row>
    <row r="301" spans="1:11" x14ac:dyDescent="0.25">
      <c r="A301" s="170" t="s">
        <v>59</v>
      </c>
      <c r="B301" s="707" t="s">
        <v>197</v>
      </c>
      <c r="C301" s="58">
        <v>14758000</v>
      </c>
      <c r="D301" s="729">
        <f>C301/C297*100</f>
        <v>6.2799999999999994</v>
      </c>
      <c r="E301" s="134">
        <f t="shared" si="102"/>
        <v>88.087816777341104</v>
      </c>
      <c r="F301" s="134">
        <f t="shared" si="103"/>
        <v>5.5319148936170208</v>
      </c>
      <c r="G301" s="181">
        <f>8000000+5000000</f>
        <v>13000000</v>
      </c>
      <c r="H301" s="134">
        <f t="shared" si="104"/>
        <v>88.087816777341104</v>
      </c>
      <c r="I301" s="134">
        <f t="shared" si="105"/>
        <v>5.5319148936170208</v>
      </c>
      <c r="J301" s="6">
        <f t="shared" si="106"/>
        <v>-1758000</v>
      </c>
      <c r="K301" s="167"/>
    </row>
    <row r="302" spans="1:11" x14ac:dyDescent="0.25">
      <c r="A302" s="170" t="s">
        <v>62</v>
      </c>
      <c r="B302" s="707" t="s">
        <v>334</v>
      </c>
      <c r="C302" s="58">
        <v>8500000</v>
      </c>
      <c r="D302" s="729">
        <f>C302/C297*100</f>
        <v>3.6170212765957444</v>
      </c>
      <c r="E302" s="134">
        <f t="shared" si="102"/>
        <v>94.117647058823522</v>
      </c>
      <c r="F302" s="134">
        <f t="shared" si="103"/>
        <v>3.4042553191489358</v>
      </c>
      <c r="G302" s="181">
        <f>5000000+3000000</f>
        <v>8000000</v>
      </c>
      <c r="H302" s="134">
        <f t="shared" si="104"/>
        <v>94.117647058823522</v>
      </c>
      <c r="I302" s="134">
        <f t="shared" si="105"/>
        <v>3.4042553191489358</v>
      </c>
      <c r="J302" s="6">
        <f t="shared" si="106"/>
        <v>-500000</v>
      </c>
      <c r="K302" s="167"/>
    </row>
    <row r="303" spans="1:11" x14ac:dyDescent="0.25">
      <c r="A303" s="49" t="s">
        <v>148</v>
      </c>
      <c r="B303" s="133" t="s">
        <v>534</v>
      </c>
      <c r="C303" s="58">
        <v>10500000</v>
      </c>
      <c r="D303" s="729"/>
      <c r="E303" s="134"/>
      <c r="F303" s="134"/>
      <c r="G303" s="181">
        <f>10500000</f>
        <v>10500000</v>
      </c>
      <c r="H303" s="134"/>
      <c r="I303" s="134"/>
      <c r="J303" s="6">
        <f t="shared" si="106"/>
        <v>0</v>
      </c>
      <c r="K303" s="167"/>
    </row>
    <row r="304" spans="1:11" x14ac:dyDescent="0.25">
      <c r="A304" s="49" t="s">
        <v>579</v>
      </c>
      <c r="B304" s="133" t="s">
        <v>580</v>
      </c>
      <c r="C304" s="58">
        <v>11110000</v>
      </c>
      <c r="D304" s="729"/>
      <c r="E304" s="134"/>
      <c r="F304" s="134"/>
      <c r="G304" s="181"/>
      <c r="H304" s="134"/>
      <c r="I304" s="134"/>
      <c r="J304" s="6"/>
      <c r="K304" s="167"/>
    </row>
    <row r="305" spans="1:14" x14ac:dyDescent="0.25">
      <c r="A305" s="170" t="s">
        <v>77</v>
      </c>
      <c r="B305" s="49" t="s">
        <v>135</v>
      </c>
      <c r="C305" s="58">
        <v>81132000</v>
      </c>
      <c r="D305" s="729">
        <f>C305/C297*100</f>
        <v>34.524255319148942</v>
      </c>
      <c r="E305" s="134">
        <f t="shared" si="102"/>
        <v>51.474140906177588</v>
      </c>
      <c r="F305" s="134">
        <f t="shared" si="103"/>
        <v>17.771063829787238</v>
      </c>
      <c r="G305" s="181">
        <f>41762000</f>
        <v>41762000</v>
      </c>
      <c r="H305" s="134">
        <f t="shared" si="104"/>
        <v>51.474140906177588</v>
      </c>
      <c r="I305" s="134">
        <f t="shared" si="105"/>
        <v>17.771063829787238</v>
      </c>
      <c r="J305" s="6">
        <f t="shared" si="106"/>
        <v>-39370000</v>
      </c>
      <c r="K305" s="167"/>
    </row>
    <row r="306" spans="1:14" x14ac:dyDescent="0.25">
      <c r="A306" s="170" t="s">
        <v>592</v>
      </c>
      <c r="B306" s="49" t="s">
        <v>591</v>
      </c>
      <c r="C306" s="58">
        <v>3000000</v>
      </c>
      <c r="D306" s="729"/>
      <c r="E306" s="134"/>
      <c r="F306" s="134"/>
      <c r="G306" s="181"/>
      <c r="H306" s="134"/>
      <c r="I306" s="134"/>
      <c r="J306" s="6"/>
      <c r="K306" s="167"/>
    </row>
    <row r="307" spans="1:14" x14ac:dyDescent="0.25">
      <c r="A307" s="170" t="s">
        <v>104</v>
      </c>
      <c r="B307" s="170" t="s">
        <v>179</v>
      </c>
      <c r="C307" s="58">
        <v>34200000</v>
      </c>
      <c r="D307" s="729">
        <f>C307/C297*100</f>
        <v>14.553191489361703</v>
      </c>
      <c r="E307" s="134">
        <f t="shared" si="102"/>
        <v>100</v>
      </c>
      <c r="F307" s="134">
        <f t="shared" si="103"/>
        <v>14.553191489361701</v>
      </c>
      <c r="G307" s="181">
        <f>34200000</f>
        <v>34200000</v>
      </c>
      <c r="H307" s="134">
        <f t="shared" si="104"/>
        <v>100</v>
      </c>
      <c r="I307" s="134">
        <f t="shared" si="105"/>
        <v>14.553191489361701</v>
      </c>
      <c r="J307" s="6">
        <f t="shared" si="106"/>
        <v>0</v>
      </c>
      <c r="K307" s="167"/>
    </row>
    <row r="308" spans="1:14" x14ac:dyDescent="0.25">
      <c r="A308" s="170" t="s">
        <v>130</v>
      </c>
      <c r="B308" s="170" t="s">
        <v>131</v>
      </c>
      <c r="C308" s="58">
        <v>7050000</v>
      </c>
      <c r="D308" s="729">
        <f>C308/C297*100</f>
        <v>3</v>
      </c>
      <c r="E308" s="134">
        <f t="shared" si="102"/>
        <v>42.553191489361701</v>
      </c>
      <c r="F308" s="134">
        <f t="shared" si="103"/>
        <v>1.2765957446808511</v>
      </c>
      <c r="G308" s="181">
        <f>3000000</f>
        <v>3000000</v>
      </c>
      <c r="H308" s="134">
        <f t="shared" si="104"/>
        <v>42.553191489361701</v>
      </c>
      <c r="I308" s="134">
        <f t="shared" si="105"/>
        <v>1.2765957446808511</v>
      </c>
      <c r="J308" s="6">
        <f t="shared" si="106"/>
        <v>-4050000</v>
      </c>
      <c r="K308" s="167"/>
    </row>
    <row r="309" spans="1:14" ht="25.5" x14ac:dyDescent="0.25">
      <c r="A309" s="170" t="s">
        <v>106</v>
      </c>
      <c r="B309" s="316" t="s">
        <v>375</v>
      </c>
      <c r="C309" s="58">
        <v>13950000</v>
      </c>
      <c r="D309" s="180">
        <f>C309/C297*100</f>
        <v>5.9361702127659575</v>
      </c>
      <c r="E309" s="134">
        <f t="shared" si="102"/>
        <v>82.795698924731184</v>
      </c>
      <c r="F309" s="134">
        <f t="shared" si="103"/>
        <v>4.9148936170212769</v>
      </c>
      <c r="G309" s="181">
        <f>11550000</f>
        <v>11550000</v>
      </c>
      <c r="H309" s="134">
        <f t="shared" si="104"/>
        <v>82.795698924731184</v>
      </c>
      <c r="I309" s="134">
        <f t="shared" si="105"/>
        <v>4.9148936170212769</v>
      </c>
      <c r="J309" s="6">
        <f t="shared" si="106"/>
        <v>-2400000</v>
      </c>
      <c r="K309" s="167"/>
    </row>
    <row r="310" spans="1:14" x14ac:dyDescent="0.25">
      <c r="A310" s="170" t="s">
        <v>162</v>
      </c>
      <c r="B310" s="170" t="s">
        <v>535</v>
      </c>
      <c r="C310" s="178">
        <v>2800000</v>
      </c>
      <c r="D310" s="729">
        <f>C310/C297*100</f>
        <v>1.1914893617021276</v>
      </c>
      <c r="E310" s="134">
        <f t="shared" si="102"/>
        <v>100</v>
      </c>
      <c r="F310" s="134">
        <f t="shared" si="103"/>
        <v>1.1914893617021276</v>
      </c>
      <c r="G310" s="181">
        <f>2800000</f>
        <v>2800000</v>
      </c>
      <c r="H310" s="134">
        <f t="shared" si="104"/>
        <v>100</v>
      </c>
      <c r="I310" s="134">
        <f t="shared" si="105"/>
        <v>1.1914893617021276</v>
      </c>
      <c r="J310" s="6">
        <f t="shared" si="106"/>
        <v>0</v>
      </c>
      <c r="K310" s="167"/>
    </row>
    <row r="311" spans="1:14" ht="25.5" x14ac:dyDescent="0.25">
      <c r="A311" s="170" t="s">
        <v>116</v>
      </c>
      <c r="B311" s="750" t="s">
        <v>420</v>
      </c>
      <c r="C311" s="178">
        <v>5465000</v>
      </c>
      <c r="D311" s="729">
        <f>C311/C298*100</f>
        <v>59.402173913043477</v>
      </c>
      <c r="E311" s="134"/>
      <c r="F311" s="134"/>
      <c r="G311" s="181">
        <f>1057000</f>
        <v>1057000</v>
      </c>
      <c r="H311" s="134"/>
      <c r="I311" s="134"/>
      <c r="J311" s="6">
        <f t="shared" si="106"/>
        <v>-4408000</v>
      </c>
      <c r="K311" s="167"/>
    </row>
    <row r="312" spans="1:14" x14ac:dyDescent="0.25">
      <c r="A312" s="170" t="s">
        <v>65</v>
      </c>
      <c r="B312" s="170" t="s">
        <v>190</v>
      </c>
      <c r="C312" s="178">
        <v>7000000</v>
      </c>
      <c r="D312" s="729">
        <f>C312/C297*100</f>
        <v>2.9787234042553195</v>
      </c>
      <c r="E312" s="134">
        <f t="shared" si="102"/>
        <v>99.033714285714282</v>
      </c>
      <c r="F312" s="134">
        <f t="shared" si="103"/>
        <v>2.9499404255319148</v>
      </c>
      <c r="G312" s="181">
        <f>6932360</f>
        <v>6932360</v>
      </c>
      <c r="H312" s="134">
        <f t="shared" si="104"/>
        <v>99.033714285714282</v>
      </c>
      <c r="I312" s="134">
        <f t="shared" si="105"/>
        <v>2.9499404255319148</v>
      </c>
      <c r="J312" s="6">
        <f t="shared" si="106"/>
        <v>-67640</v>
      </c>
      <c r="K312" s="167"/>
    </row>
    <row r="313" spans="1:14" x14ac:dyDescent="0.25">
      <c r="A313" s="68" t="s">
        <v>594</v>
      </c>
      <c r="B313" s="170" t="s">
        <v>593</v>
      </c>
      <c r="C313" s="178">
        <v>6000000</v>
      </c>
      <c r="D313" s="729"/>
      <c r="E313" s="134"/>
      <c r="F313" s="134"/>
      <c r="G313" s="181"/>
      <c r="H313" s="134"/>
      <c r="I313" s="134"/>
      <c r="J313" s="6"/>
      <c r="K313" s="167"/>
    </row>
    <row r="314" spans="1:14" x14ac:dyDescent="0.25">
      <c r="A314" s="68" t="s">
        <v>584</v>
      </c>
      <c r="B314" s="170" t="s">
        <v>583</v>
      </c>
      <c r="C314" s="178">
        <v>12000000</v>
      </c>
      <c r="D314" s="729"/>
      <c r="E314" s="134"/>
      <c r="F314" s="134"/>
      <c r="G314" s="181"/>
      <c r="H314" s="134"/>
      <c r="I314" s="134"/>
      <c r="J314" s="6"/>
      <c r="K314" s="167"/>
    </row>
    <row r="315" spans="1:14" x14ac:dyDescent="0.25">
      <c r="A315" s="68" t="s">
        <v>301</v>
      </c>
      <c r="B315" s="170" t="s">
        <v>409</v>
      </c>
      <c r="C315" s="58">
        <v>6475000</v>
      </c>
      <c r="D315" s="269"/>
      <c r="E315" s="134"/>
      <c r="F315" s="134"/>
      <c r="G315" s="181">
        <f>6475000</f>
        <v>6475000</v>
      </c>
      <c r="H315" s="134"/>
      <c r="I315" s="134"/>
      <c r="J315" s="6">
        <f t="shared" si="106"/>
        <v>0</v>
      </c>
      <c r="K315" s="167"/>
    </row>
    <row r="316" spans="1:14" x14ac:dyDescent="0.25">
      <c r="A316" s="68"/>
      <c r="B316" s="67" t="s">
        <v>128</v>
      </c>
      <c r="C316" s="60">
        <f>SUM(C298:C315)</f>
        <v>235000000</v>
      </c>
      <c r="D316" s="270">
        <f>SUM(D298:D312)</f>
        <v>135.39791859389453</v>
      </c>
      <c r="E316" s="134"/>
      <c r="F316" s="134"/>
      <c r="G316" s="837">
        <f>SUM(G298:G315)</f>
        <v>149206360</v>
      </c>
      <c r="H316" s="134"/>
      <c r="I316" s="134"/>
      <c r="J316" s="56">
        <v>0</v>
      </c>
      <c r="K316" s="3"/>
    </row>
    <row r="317" spans="1:14" x14ac:dyDescent="0.25">
      <c r="A317" s="190"/>
      <c r="B317" s="2"/>
      <c r="C317" s="59"/>
      <c r="D317" s="41"/>
      <c r="E317" s="31"/>
      <c r="F317" s="31"/>
      <c r="G317" s="36"/>
      <c r="H317" s="31"/>
      <c r="I317" s="31"/>
      <c r="J317" s="33"/>
      <c r="K317" s="37"/>
    </row>
    <row r="318" spans="1:14" ht="31.5" x14ac:dyDescent="0.25">
      <c r="A318" s="55"/>
      <c r="B318" s="46" t="s">
        <v>145</v>
      </c>
      <c r="C318" s="155"/>
      <c r="D318" s="44"/>
      <c r="E318" s="45"/>
      <c r="F318" s="45"/>
      <c r="G318" s="48"/>
      <c r="H318" s="45"/>
      <c r="I318" s="45"/>
      <c r="J318" s="44"/>
      <c r="K318" s="44"/>
      <c r="L318" s="1"/>
      <c r="M318" s="1"/>
      <c r="N318" s="1"/>
    </row>
    <row r="319" spans="1:14" x14ac:dyDescent="0.25">
      <c r="A319" s="1111" t="s">
        <v>2</v>
      </c>
      <c r="B319" s="1104" t="s">
        <v>170</v>
      </c>
      <c r="C319" s="1111" t="s">
        <v>4</v>
      </c>
      <c r="D319" s="1112" t="s">
        <v>5</v>
      </c>
      <c r="E319" s="1113"/>
      <c r="F319" s="1113"/>
      <c r="G319" s="1114" t="s">
        <v>6</v>
      </c>
      <c r="H319" s="1113"/>
      <c r="I319" s="1113"/>
      <c r="J319" s="1111" t="s">
        <v>7</v>
      </c>
      <c r="K319" s="285" t="s">
        <v>8</v>
      </c>
    </row>
    <row r="320" spans="1:14" x14ac:dyDescent="0.25">
      <c r="A320" s="1111"/>
      <c r="B320" s="1104"/>
      <c r="C320" s="1111"/>
      <c r="D320" s="285" t="s">
        <v>9</v>
      </c>
      <c r="E320" s="304" t="s">
        <v>10</v>
      </c>
      <c r="F320" s="304" t="s">
        <v>11</v>
      </c>
      <c r="G320" s="305" t="s">
        <v>12</v>
      </c>
      <c r="H320" s="304" t="s">
        <v>13</v>
      </c>
      <c r="I320" s="304" t="s">
        <v>11</v>
      </c>
      <c r="J320" s="1115"/>
      <c r="K320" s="287"/>
    </row>
    <row r="321" spans="1:11" x14ac:dyDescent="0.25">
      <c r="A321" s="1111"/>
      <c r="B321" s="1104"/>
      <c r="C321" s="1111"/>
      <c r="D321" s="286" t="s">
        <v>14</v>
      </c>
      <c r="E321" s="302" t="s">
        <v>14</v>
      </c>
      <c r="F321" s="302" t="s">
        <v>14</v>
      </c>
      <c r="G321" s="303" t="s">
        <v>15</v>
      </c>
      <c r="H321" s="302" t="s">
        <v>14</v>
      </c>
      <c r="I321" s="302" t="s">
        <v>14</v>
      </c>
      <c r="J321" s="286" t="s">
        <v>15</v>
      </c>
      <c r="K321" s="286"/>
    </row>
    <row r="322" spans="1:11" x14ac:dyDescent="0.25">
      <c r="A322" s="144" t="s">
        <v>185</v>
      </c>
      <c r="B322" s="199" t="s">
        <v>146</v>
      </c>
      <c r="C322" s="145"/>
      <c r="D322" s="146"/>
      <c r="E322" s="147"/>
      <c r="F322" s="147"/>
      <c r="G322" s="148"/>
      <c r="H322" s="147"/>
      <c r="I322" s="147"/>
      <c r="J322" s="146"/>
      <c r="K322" s="146"/>
    </row>
    <row r="323" spans="1:11" x14ac:dyDescent="0.25">
      <c r="A323" s="318" t="s">
        <v>184</v>
      </c>
      <c r="B323" s="280" t="s">
        <v>147</v>
      </c>
      <c r="C323" s="257">
        <f>SUM(C324:C325)</f>
        <v>2480900000</v>
      </c>
      <c r="D323" s="146"/>
      <c r="E323" s="147"/>
      <c r="F323" s="147"/>
      <c r="G323" s="148"/>
      <c r="H323" s="147"/>
      <c r="I323" s="147"/>
      <c r="J323" s="146"/>
      <c r="K323" s="146"/>
    </row>
    <row r="324" spans="1:11" ht="25.5" x14ac:dyDescent="0.25">
      <c r="A324" s="319" t="s">
        <v>44</v>
      </c>
      <c r="B324" s="707" t="s">
        <v>384</v>
      </c>
      <c r="C324" s="149">
        <v>30900000</v>
      </c>
      <c r="D324" s="267">
        <f>C324/C323*100</f>
        <v>1.2455157402555526</v>
      </c>
      <c r="E324" s="134">
        <f t="shared" ref="E324:E325" si="107">G324/C324*100</f>
        <v>41.666666666666671</v>
      </c>
      <c r="F324" s="134">
        <f t="shared" ref="F324:F325" si="108">(D324*E324)/100</f>
        <v>0.51896489177314697</v>
      </c>
      <c r="G324" s="181">
        <f>12875000</f>
        <v>12875000</v>
      </c>
      <c r="H324" s="134">
        <f t="shared" ref="H324:H325" si="109">G324/C324*100</f>
        <v>41.666666666666671</v>
      </c>
      <c r="I324" s="134">
        <f t="shared" ref="I324:I325" si="110">(D324*H324)/100</f>
        <v>0.51896489177314697</v>
      </c>
      <c r="J324" s="6">
        <f t="shared" ref="J324:J325" si="111">G324-C324</f>
        <v>-18025000</v>
      </c>
      <c r="K324" s="146"/>
    </row>
    <row r="325" spans="1:11" x14ac:dyDescent="0.25">
      <c r="A325" s="49" t="s">
        <v>148</v>
      </c>
      <c r="B325" s="133" t="s">
        <v>534</v>
      </c>
      <c r="C325" s="149">
        <v>2450000000</v>
      </c>
      <c r="D325" s="267">
        <f>C325/C323*100</f>
        <v>98.754484259744444</v>
      </c>
      <c r="E325" s="134">
        <f t="shared" si="107"/>
        <v>94.693877551020407</v>
      </c>
      <c r="F325" s="134">
        <f t="shared" si="108"/>
        <v>93.514450401064138</v>
      </c>
      <c r="G325" s="181">
        <f>695250000+1624750000</f>
        <v>2320000000</v>
      </c>
      <c r="H325" s="134">
        <f t="shared" si="109"/>
        <v>94.693877551020407</v>
      </c>
      <c r="I325" s="134">
        <f t="shared" si="110"/>
        <v>93.514450401064138</v>
      </c>
      <c r="J325" s="6">
        <f t="shared" si="111"/>
        <v>-130000000</v>
      </c>
      <c r="K325" s="146"/>
    </row>
    <row r="326" spans="1:11" x14ac:dyDescent="0.25">
      <c r="A326" s="71"/>
      <c r="B326" s="76" t="s">
        <v>95</v>
      </c>
      <c r="C326" s="809">
        <f>SUM(C324:C325)</f>
        <v>2480900000</v>
      </c>
      <c r="D326" s="141">
        <f>SUM(D324:D325)</f>
        <v>100</v>
      </c>
      <c r="E326" s="134"/>
      <c r="F326" s="134"/>
      <c r="G326" s="181">
        <f>SUM(G324:G325)</f>
        <v>2332875000</v>
      </c>
      <c r="H326" s="134"/>
      <c r="I326" s="134"/>
      <c r="J326" s="56">
        <v>0</v>
      </c>
      <c r="K326" s="143"/>
    </row>
    <row r="327" spans="1:11" x14ac:dyDescent="0.25">
      <c r="A327" s="190"/>
      <c r="B327" s="2"/>
      <c r="C327" s="59"/>
      <c r="D327" s="41"/>
      <c r="E327" s="31"/>
      <c r="F327" s="31"/>
      <c r="G327" s="36"/>
      <c r="H327" s="31"/>
      <c r="I327" s="31"/>
      <c r="J327" s="33"/>
      <c r="K327" s="37"/>
    </row>
    <row r="328" spans="1:11" x14ac:dyDescent="0.25">
      <c r="A328" s="1103" t="s">
        <v>2</v>
      </c>
      <c r="B328" s="1104" t="s">
        <v>170</v>
      </c>
      <c r="C328" s="1103" t="s">
        <v>4</v>
      </c>
      <c r="D328" s="1105" t="s">
        <v>5</v>
      </c>
      <c r="E328" s="1106"/>
      <c r="F328" s="1106"/>
      <c r="G328" s="1107" t="s">
        <v>6</v>
      </c>
      <c r="H328" s="1106"/>
      <c r="I328" s="1106"/>
      <c r="J328" s="1103" t="s">
        <v>7</v>
      </c>
      <c r="K328" s="288" t="s">
        <v>8</v>
      </c>
    </row>
    <row r="329" spans="1:11" x14ac:dyDescent="0.25">
      <c r="A329" s="1103"/>
      <c r="B329" s="1104"/>
      <c r="C329" s="1103"/>
      <c r="D329" s="288" t="s">
        <v>9</v>
      </c>
      <c r="E329" s="306" t="s">
        <v>10</v>
      </c>
      <c r="F329" s="306" t="s">
        <v>11</v>
      </c>
      <c r="G329" s="307" t="s">
        <v>12</v>
      </c>
      <c r="H329" s="306" t="s">
        <v>13</v>
      </c>
      <c r="I329" s="306" t="s">
        <v>11</v>
      </c>
      <c r="J329" s="1108"/>
      <c r="K329" s="102"/>
    </row>
    <row r="330" spans="1:11" x14ac:dyDescent="0.25">
      <c r="A330" s="1103"/>
      <c r="B330" s="1104"/>
      <c r="C330" s="1103"/>
      <c r="D330" s="105" t="s">
        <v>14</v>
      </c>
      <c r="E330" s="106" t="s">
        <v>14</v>
      </c>
      <c r="F330" s="106" t="s">
        <v>14</v>
      </c>
      <c r="G330" s="107" t="s">
        <v>15</v>
      </c>
      <c r="H330" s="106" t="s">
        <v>14</v>
      </c>
      <c r="I330" s="106" t="s">
        <v>14</v>
      </c>
      <c r="J330" s="105" t="s">
        <v>15</v>
      </c>
      <c r="K330" s="105"/>
    </row>
    <row r="331" spans="1:11" x14ac:dyDescent="0.25">
      <c r="A331" s="79" t="s">
        <v>185</v>
      </c>
      <c r="B331" s="199" t="s">
        <v>146</v>
      </c>
      <c r="C331" s="24"/>
      <c r="D331" s="10"/>
      <c r="E331" s="34"/>
      <c r="F331" s="34"/>
      <c r="G331" s="6"/>
      <c r="H331" s="34"/>
      <c r="I331" s="34"/>
      <c r="J331" s="10"/>
      <c r="K331" s="10"/>
    </row>
    <row r="332" spans="1:11" x14ac:dyDescent="0.25">
      <c r="A332" s="125" t="s">
        <v>187</v>
      </c>
      <c r="B332" s="280" t="s">
        <v>150</v>
      </c>
      <c r="C332" s="131">
        <f>SUM(C333:C336)</f>
        <v>1508450760</v>
      </c>
      <c r="D332" s="10"/>
      <c r="E332" s="34"/>
      <c r="F332" s="34"/>
      <c r="G332" s="6"/>
      <c r="H332" s="34"/>
      <c r="I332" s="34"/>
      <c r="J332" s="10"/>
      <c r="K332" s="10"/>
    </row>
    <row r="333" spans="1:11" ht="25.5" x14ac:dyDescent="0.25">
      <c r="A333" s="124" t="s">
        <v>44</v>
      </c>
      <c r="B333" s="707" t="s">
        <v>384</v>
      </c>
      <c r="C333" s="253">
        <v>30900000</v>
      </c>
      <c r="D333" s="134">
        <f>C333/C332*100</f>
        <v>2.0484593080121489</v>
      </c>
      <c r="E333" s="134">
        <f t="shared" ref="E333:E335" si="112">G333/C333*100</f>
        <v>41.666666666666671</v>
      </c>
      <c r="F333" s="134">
        <f t="shared" ref="F333:F335" si="113">(D333*E333)/100</f>
        <v>0.85352471167172883</v>
      </c>
      <c r="G333" s="181">
        <f>12875000</f>
        <v>12875000</v>
      </c>
      <c r="H333" s="134">
        <f t="shared" ref="H333:H335" si="114">G333/C333*100</f>
        <v>41.666666666666671</v>
      </c>
      <c r="I333" s="134">
        <f t="shared" ref="I333:I335" si="115">(D333*H333)/100</f>
        <v>0.85352471167172883</v>
      </c>
      <c r="J333" s="6">
        <f t="shared" ref="J333:J336" si="116">G333-C333</f>
        <v>-18025000</v>
      </c>
      <c r="K333" s="10"/>
    </row>
    <row r="334" spans="1:11" x14ac:dyDescent="0.25">
      <c r="A334" s="49" t="s">
        <v>148</v>
      </c>
      <c r="B334" s="133" t="s">
        <v>534</v>
      </c>
      <c r="C334" s="256">
        <v>1050000000</v>
      </c>
      <c r="D334" s="134">
        <f>C334/C332*100</f>
        <v>69.607840563519616</v>
      </c>
      <c r="E334" s="134">
        <f t="shared" si="112"/>
        <v>96.481504761904759</v>
      </c>
      <c r="F334" s="134">
        <f t="shared" si="113"/>
        <v>67.158692007951245</v>
      </c>
      <c r="G334" s="181">
        <f>975805800+37250000</f>
        <v>1013055800</v>
      </c>
      <c r="H334" s="134">
        <f t="shared" si="114"/>
        <v>96.481504761904759</v>
      </c>
      <c r="I334" s="134">
        <f t="shared" si="115"/>
        <v>67.158692007951245</v>
      </c>
      <c r="J334" s="6">
        <f t="shared" si="116"/>
        <v>-36944200</v>
      </c>
      <c r="K334" s="10"/>
    </row>
    <row r="335" spans="1:11" s="84" customFormat="1" ht="25.5" x14ac:dyDescent="0.2">
      <c r="A335" s="49" t="s">
        <v>152</v>
      </c>
      <c r="B335" s="133" t="s">
        <v>153</v>
      </c>
      <c r="C335" s="256">
        <v>420000000</v>
      </c>
      <c r="D335" s="134">
        <f>C335/C332*100</f>
        <v>27.84313622540785</v>
      </c>
      <c r="E335" s="134">
        <f t="shared" si="112"/>
        <v>58.333333333333336</v>
      </c>
      <c r="F335" s="134">
        <f t="shared" si="113"/>
        <v>16.241829464821247</v>
      </c>
      <c r="G335" s="181">
        <f>245000000</f>
        <v>245000000</v>
      </c>
      <c r="H335" s="134">
        <f t="shared" si="114"/>
        <v>58.333333333333336</v>
      </c>
      <c r="I335" s="134">
        <f t="shared" si="115"/>
        <v>16.241829464821247</v>
      </c>
      <c r="J335" s="6">
        <f t="shared" si="116"/>
        <v>-175000000</v>
      </c>
      <c r="K335" s="38"/>
    </row>
    <row r="336" spans="1:11" s="84" customFormat="1" x14ac:dyDescent="0.2">
      <c r="A336" s="749" t="s">
        <v>234</v>
      </c>
      <c r="B336" s="133" t="s">
        <v>522</v>
      </c>
      <c r="C336" s="256">
        <v>7550760</v>
      </c>
      <c r="D336" s="804"/>
      <c r="E336" s="134"/>
      <c r="F336" s="134"/>
      <c r="G336" s="181">
        <f>7550760</f>
        <v>7550760</v>
      </c>
      <c r="H336" s="134"/>
      <c r="I336" s="134"/>
      <c r="J336" s="6">
        <f t="shared" si="116"/>
        <v>0</v>
      </c>
      <c r="K336" s="805"/>
    </row>
    <row r="337" spans="1:15" x14ac:dyDescent="0.25">
      <c r="A337" s="70"/>
      <c r="B337" s="129" t="s">
        <v>95</v>
      </c>
      <c r="C337" s="807">
        <f>SUM(C333:C336)</f>
        <v>1508450760</v>
      </c>
      <c r="D337" s="271">
        <f>SUM(D333:D335)</f>
        <v>99.499436096939618</v>
      </c>
      <c r="E337" s="134"/>
      <c r="F337" s="134"/>
      <c r="G337" s="181">
        <f>SUM(G333:G336)</f>
        <v>1278481560</v>
      </c>
      <c r="H337" s="134"/>
      <c r="I337" s="134"/>
      <c r="J337" s="56">
        <v>0</v>
      </c>
      <c r="K337" s="130"/>
    </row>
    <row r="338" spans="1:15" x14ac:dyDescent="0.25">
      <c r="A338" s="190"/>
      <c r="B338" s="2"/>
      <c r="C338" s="59"/>
      <c r="D338" s="41"/>
      <c r="E338" s="31"/>
      <c r="F338" s="31"/>
      <c r="G338" s="36"/>
      <c r="H338" s="31"/>
      <c r="I338" s="31"/>
      <c r="J338" s="33"/>
      <c r="K338" s="37"/>
    </row>
    <row r="339" spans="1:15" x14ac:dyDescent="0.25">
      <c r="A339" s="50"/>
      <c r="B339" s="5"/>
      <c r="C339" s="50"/>
      <c r="D339" s="9"/>
      <c r="E339" s="23"/>
      <c r="F339" s="23"/>
      <c r="G339" s="11"/>
      <c r="H339" s="23"/>
      <c r="I339" s="23"/>
      <c r="J339" s="9"/>
      <c r="K339" s="9"/>
    </row>
    <row r="340" spans="1:15" x14ac:dyDescent="0.25">
      <c r="A340" s="1123" t="s">
        <v>2</v>
      </c>
      <c r="B340" s="1126" t="s">
        <v>138</v>
      </c>
      <c r="C340" s="1129" t="s">
        <v>4</v>
      </c>
      <c r="D340" s="1121" t="s">
        <v>5</v>
      </c>
      <c r="E340" s="1132"/>
      <c r="F340" s="1132"/>
      <c r="G340" s="1122" t="s">
        <v>6</v>
      </c>
      <c r="H340" s="1132"/>
      <c r="I340" s="1132"/>
      <c r="J340" s="1123" t="s">
        <v>7</v>
      </c>
      <c r="K340" s="1123" t="s">
        <v>8</v>
      </c>
    </row>
    <row r="341" spans="1:15" x14ac:dyDescent="0.25">
      <c r="A341" s="1124"/>
      <c r="B341" s="1127"/>
      <c r="C341" s="1130"/>
      <c r="D341" s="289" t="s">
        <v>9</v>
      </c>
      <c r="E341" s="308" t="s">
        <v>10</v>
      </c>
      <c r="F341" s="308" t="s">
        <v>11</v>
      </c>
      <c r="G341" s="117" t="s">
        <v>12</v>
      </c>
      <c r="H341" s="116" t="s">
        <v>13</v>
      </c>
      <c r="I341" s="116" t="s">
        <v>11</v>
      </c>
      <c r="J341" s="1124"/>
      <c r="K341" s="1124"/>
    </row>
    <row r="342" spans="1:15" x14ac:dyDescent="0.25">
      <c r="A342" s="1125"/>
      <c r="B342" s="1128"/>
      <c r="C342" s="1131"/>
      <c r="D342" s="115" t="s">
        <v>14</v>
      </c>
      <c r="E342" s="119" t="s">
        <v>14</v>
      </c>
      <c r="F342" s="119" t="s">
        <v>14</v>
      </c>
      <c r="G342" s="120" t="s">
        <v>15</v>
      </c>
      <c r="H342" s="119" t="s">
        <v>14</v>
      </c>
      <c r="I342" s="119" t="s">
        <v>14</v>
      </c>
      <c r="J342" s="118" t="s">
        <v>15</v>
      </c>
      <c r="K342" s="1125"/>
    </row>
    <row r="343" spans="1:15" ht="25.5" x14ac:dyDescent="0.25">
      <c r="A343" s="79" t="s">
        <v>180</v>
      </c>
      <c r="B343" s="696" t="s">
        <v>379</v>
      </c>
      <c r="C343" s="127"/>
      <c r="D343" s="121"/>
      <c r="E343" s="34"/>
      <c r="F343" s="34"/>
      <c r="G343" s="6"/>
      <c r="H343" s="34"/>
      <c r="I343" s="34"/>
      <c r="J343" s="10"/>
      <c r="K343" s="85"/>
    </row>
    <row r="344" spans="1:15" ht="25.5" x14ac:dyDescent="0.25">
      <c r="A344" s="125" t="s">
        <v>181</v>
      </c>
      <c r="B344" s="697" t="s">
        <v>380</v>
      </c>
      <c r="C344" s="88">
        <f>SUM(C345:C368)</f>
        <v>235000000</v>
      </c>
      <c r="D344" s="121"/>
      <c r="E344" s="34"/>
      <c r="F344" s="34"/>
      <c r="G344" s="6"/>
      <c r="H344" s="34"/>
      <c r="I344" s="34"/>
      <c r="J344" s="10"/>
      <c r="K344" s="156"/>
    </row>
    <row r="345" spans="1:15" ht="25.5" x14ac:dyDescent="0.25">
      <c r="A345" s="49" t="s">
        <v>44</v>
      </c>
      <c r="B345" s="707" t="s">
        <v>384</v>
      </c>
      <c r="C345" s="39">
        <v>9690000</v>
      </c>
      <c r="D345" s="727">
        <f>C345/C344*100</f>
        <v>4.1234042553191488</v>
      </c>
      <c r="E345" s="134">
        <f t="shared" ref="E345:E356" si="117">G345/C345*100</f>
        <v>90.092879256965944</v>
      </c>
      <c r="F345" s="134">
        <f t="shared" ref="F345:F356" si="118">(D345*E345)/100</f>
        <v>3.7148936170212767</v>
      </c>
      <c r="G345" s="181">
        <f>8730000</f>
        <v>8730000</v>
      </c>
      <c r="H345" s="134">
        <f t="shared" ref="H345:H356" si="119">G345/C345*100</f>
        <v>90.092879256965944</v>
      </c>
      <c r="I345" s="134">
        <f t="shared" ref="I345:I356" si="120">(D345*H345)/100</f>
        <v>3.7148936170212767</v>
      </c>
      <c r="J345" s="6">
        <f t="shared" ref="J345:J368" si="121">G345-C345</f>
        <v>-960000</v>
      </c>
      <c r="K345" s="10"/>
      <c r="O345" s="717"/>
    </row>
    <row r="346" spans="1:15" x14ac:dyDescent="0.25">
      <c r="A346" s="49" t="s">
        <v>448</v>
      </c>
      <c r="B346" s="707" t="s">
        <v>578</v>
      </c>
      <c r="C346" s="39">
        <v>510000</v>
      </c>
      <c r="D346" s="727"/>
      <c r="E346" s="134"/>
      <c r="F346" s="134"/>
      <c r="G346" s="181"/>
      <c r="H346" s="134"/>
      <c r="I346" s="134"/>
      <c r="J346" s="6"/>
      <c r="K346" s="10"/>
      <c r="O346" s="717"/>
    </row>
    <row r="347" spans="1:15" x14ac:dyDescent="0.25">
      <c r="A347" s="49" t="s">
        <v>59</v>
      </c>
      <c r="B347" s="707" t="s">
        <v>197</v>
      </c>
      <c r="C347" s="39">
        <v>15090500</v>
      </c>
      <c r="D347" s="727">
        <f>C347/C344*100</f>
        <v>6.421489361702128</v>
      </c>
      <c r="E347" s="134">
        <f t="shared" si="117"/>
        <v>79.520227957986805</v>
      </c>
      <c r="F347" s="134">
        <f t="shared" si="118"/>
        <v>5.1063829787234036</v>
      </c>
      <c r="G347" s="181">
        <f>12000000</f>
        <v>12000000</v>
      </c>
      <c r="H347" s="134">
        <f t="shared" si="119"/>
        <v>79.520227957986805</v>
      </c>
      <c r="I347" s="134">
        <f t="shared" si="120"/>
        <v>5.1063829787234036</v>
      </c>
      <c r="J347" s="6">
        <f t="shared" si="121"/>
        <v>-3090500</v>
      </c>
      <c r="K347" s="10"/>
    </row>
    <row r="348" spans="1:15" x14ac:dyDescent="0.25">
      <c r="A348" s="49" t="s">
        <v>62</v>
      </c>
      <c r="B348" s="707" t="s">
        <v>414</v>
      </c>
      <c r="C348" s="39">
        <v>5172500</v>
      </c>
      <c r="D348" s="727"/>
      <c r="E348" s="134"/>
      <c r="F348" s="134"/>
      <c r="G348" s="181">
        <f>1485000</f>
        <v>1485000</v>
      </c>
      <c r="H348" s="134"/>
      <c r="I348" s="134"/>
      <c r="J348" s="6">
        <f t="shared" si="121"/>
        <v>-3687500</v>
      </c>
      <c r="K348" s="10"/>
    </row>
    <row r="349" spans="1:15" x14ac:dyDescent="0.25">
      <c r="A349" s="49" t="s">
        <v>54</v>
      </c>
      <c r="B349" s="707" t="s">
        <v>536</v>
      </c>
      <c r="C349" s="39">
        <v>800000</v>
      </c>
      <c r="D349" s="727"/>
      <c r="E349" s="134"/>
      <c r="F349" s="134"/>
      <c r="G349" s="181">
        <f>800000</f>
        <v>800000</v>
      </c>
      <c r="H349" s="134"/>
      <c r="I349" s="134"/>
      <c r="J349" s="6">
        <f t="shared" si="121"/>
        <v>0</v>
      </c>
      <c r="K349" s="10"/>
    </row>
    <row r="350" spans="1:15" ht="25.5" x14ac:dyDescent="0.25">
      <c r="A350" s="49" t="s">
        <v>193</v>
      </c>
      <c r="B350" s="707" t="s">
        <v>537</v>
      </c>
      <c r="C350" s="39">
        <v>8750000</v>
      </c>
      <c r="D350" s="727"/>
      <c r="E350" s="134"/>
      <c r="F350" s="134"/>
      <c r="G350" s="181">
        <f>8750000</f>
        <v>8750000</v>
      </c>
      <c r="H350" s="134"/>
      <c r="I350" s="134"/>
      <c r="J350" s="6">
        <f t="shared" si="121"/>
        <v>0</v>
      </c>
      <c r="K350" s="10"/>
    </row>
    <row r="351" spans="1:15" x14ac:dyDescent="0.25">
      <c r="A351" s="49" t="s">
        <v>148</v>
      </c>
      <c r="B351" s="133" t="s">
        <v>534</v>
      </c>
      <c r="C351" s="39">
        <v>10000000</v>
      </c>
      <c r="D351" s="727"/>
      <c r="E351" s="134"/>
      <c r="F351" s="134"/>
      <c r="G351" s="181">
        <f>10000000</f>
        <v>10000000</v>
      </c>
      <c r="H351" s="134"/>
      <c r="I351" s="134"/>
      <c r="J351" s="6">
        <f t="shared" si="121"/>
        <v>0</v>
      </c>
      <c r="K351" s="10"/>
    </row>
    <row r="352" spans="1:15" x14ac:dyDescent="0.25">
      <c r="A352" s="49" t="s">
        <v>579</v>
      </c>
      <c r="B352" s="133" t="s">
        <v>580</v>
      </c>
      <c r="C352" s="39">
        <v>7300000</v>
      </c>
      <c r="D352" s="727"/>
      <c r="E352" s="134"/>
      <c r="F352" s="134"/>
      <c r="G352" s="181"/>
      <c r="H352" s="134"/>
      <c r="I352" s="134"/>
      <c r="J352" s="6"/>
      <c r="K352" s="10"/>
    </row>
    <row r="353" spans="1:11" x14ac:dyDescent="0.25">
      <c r="A353" s="49" t="s">
        <v>77</v>
      </c>
      <c r="B353" s="49" t="s">
        <v>139</v>
      </c>
      <c r="C353" s="39">
        <v>88530000</v>
      </c>
      <c r="D353" s="727">
        <f>C353/C344*100</f>
        <v>37.672340425531914</v>
      </c>
      <c r="E353" s="134">
        <f t="shared" si="117"/>
        <v>68.078617417824461</v>
      </c>
      <c r="F353" s="134">
        <f t="shared" si="118"/>
        <v>25.646808510638294</v>
      </c>
      <c r="G353" s="181">
        <f>60270000</f>
        <v>60270000</v>
      </c>
      <c r="H353" s="134">
        <f t="shared" si="119"/>
        <v>68.078617417824461</v>
      </c>
      <c r="I353" s="134">
        <f t="shared" si="120"/>
        <v>25.646808510638294</v>
      </c>
      <c r="J353" s="6">
        <f t="shared" si="121"/>
        <v>-28260000</v>
      </c>
      <c r="K353" s="10"/>
    </row>
    <row r="354" spans="1:11" x14ac:dyDescent="0.25">
      <c r="A354" s="49" t="s">
        <v>601</v>
      </c>
      <c r="B354" s="49" t="s">
        <v>345</v>
      </c>
      <c r="C354" s="39">
        <v>9100000</v>
      </c>
      <c r="D354" s="727"/>
      <c r="E354" s="134"/>
      <c r="F354" s="134"/>
      <c r="G354" s="181"/>
      <c r="H354" s="134"/>
      <c r="I354" s="134"/>
      <c r="J354" s="6"/>
      <c r="K354" s="10"/>
    </row>
    <row r="355" spans="1:11" x14ac:dyDescent="0.25">
      <c r="A355" s="49" t="s">
        <v>104</v>
      </c>
      <c r="B355" s="170" t="s">
        <v>418</v>
      </c>
      <c r="C355" s="39">
        <v>7300000</v>
      </c>
      <c r="D355" s="727">
        <f>C355/C344*100</f>
        <v>3.1063829787234045</v>
      </c>
      <c r="E355" s="134">
        <f t="shared" si="117"/>
        <v>100</v>
      </c>
      <c r="F355" s="134">
        <f t="shared" si="118"/>
        <v>3.1063829787234045</v>
      </c>
      <c r="G355" s="181">
        <f>7300000</f>
        <v>7300000</v>
      </c>
      <c r="H355" s="134">
        <f t="shared" si="119"/>
        <v>100</v>
      </c>
      <c r="I355" s="134">
        <f t="shared" si="120"/>
        <v>3.1063829787234045</v>
      </c>
      <c r="J355" s="6">
        <f t="shared" si="121"/>
        <v>0</v>
      </c>
      <c r="K355" s="10"/>
    </row>
    <row r="356" spans="1:11" ht="25.5" x14ac:dyDescent="0.25">
      <c r="A356" s="49" t="s">
        <v>192</v>
      </c>
      <c r="B356" s="316" t="s">
        <v>375</v>
      </c>
      <c r="C356" s="39">
        <v>13050000</v>
      </c>
      <c r="D356" s="727">
        <f>C356/C344*100</f>
        <v>5.5531914893617023</v>
      </c>
      <c r="E356" s="134">
        <f t="shared" si="117"/>
        <v>73.563218390804593</v>
      </c>
      <c r="F356" s="134">
        <f t="shared" si="118"/>
        <v>4.0851063829787231</v>
      </c>
      <c r="G356" s="181">
        <f>9600000</f>
        <v>9600000</v>
      </c>
      <c r="H356" s="134">
        <f t="shared" si="119"/>
        <v>73.563218390804593</v>
      </c>
      <c r="I356" s="134">
        <f t="shared" si="120"/>
        <v>4.0851063829787231</v>
      </c>
      <c r="J356" s="6">
        <f t="shared" si="121"/>
        <v>-3450000</v>
      </c>
      <c r="K356" s="10"/>
    </row>
    <row r="357" spans="1:11" x14ac:dyDescent="0.25">
      <c r="A357" s="749" t="s">
        <v>162</v>
      </c>
      <c r="B357" s="316" t="s">
        <v>538</v>
      </c>
      <c r="C357" s="751">
        <v>2000000</v>
      </c>
      <c r="D357" s="727"/>
      <c r="E357" s="134"/>
      <c r="F357" s="134"/>
      <c r="G357" s="181">
        <f>2000000</f>
        <v>2000000</v>
      </c>
      <c r="H357" s="134"/>
      <c r="I357" s="134"/>
      <c r="J357" s="6">
        <f t="shared" si="121"/>
        <v>0</v>
      </c>
      <c r="K357" s="130"/>
    </row>
    <row r="358" spans="1:11" x14ac:dyDescent="0.25">
      <c r="A358" s="749" t="s">
        <v>527</v>
      </c>
      <c r="B358" s="316" t="s">
        <v>523</v>
      </c>
      <c r="C358" s="751">
        <v>1150000</v>
      </c>
      <c r="D358" s="727"/>
      <c r="E358" s="134"/>
      <c r="F358" s="134"/>
      <c r="G358" s="181">
        <f>1150000</f>
        <v>1150000</v>
      </c>
      <c r="H358" s="134"/>
      <c r="I358" s="134"/>
      <c r="J358" s="6">
        <f t="shared" si="121"/>
        <v>0</v>
      </c>
      <c r="K358" s="130"/>
    </row>
    <row r="359" spans="1:11" x14ac:dyDescent="0.25">
      <c r="A359" s="749" t="s">
        <v>112</v>
      </c>
      <c r="B359" s="316" t="s">
        <v>525</v>
      </c>
      <c r="C359" s="751">
        <v>800000</v>
      </c>
      <c r="D359" s="727"/>
      <c r="E359" s="134"/>
      <c r="F359" s="134"/>
      <c r="G359" s="181">
        <f>800000</f>
        <v>800000</v>
      </c>
      <c r="H359" s="134"/>
      <c r="I359" s="134"/>
      <c r="J359" s="6">
        <f t="shared" si="121"/>
        <v>0</v>
      </c>
      <c r="K359" s="130"/>
    </row>
    <row r="360" spans="1:11" x14ac:dyDescent="0.25">
      <c r="A360" s="749" t="s">
        <v>521</v>
      </c>
      <c r="B360" s="316" t="s">
        <v>539</v>
      </c>
      <c r="C360" s="751">
        <v>1000000</v>
      </c>
      <c r="D360" s="727"/>
      <c r="E360" s="134"/>
      <c r="F360" s="134"/>
      <c r="G360" s="181">
        <f>1000000</f>
        <v>1000000</v>
      </c>
      <c r="H360" s="134"/>
      <c r="I360" s="134"/>
      <c r="J360" s="6">
        <f t="shared" si="121"/>
        <v>0</v>
      </c>
      <c r="K360" s="130"/>
    </row>
    <row r="361" spans="1:11" ht="25.5" x14ac:dyDescent="0.25">
      <c r="A361" s="749" t="s">
        <v>116</v>
      </c>
      <c r="B361" s="316" t="s">
        <v>420</v>
      </c>
      <c r="C361" s="751">
        <v>1382000</v>
      </c>
      <c r="D361" s="727">
        <f>C361/C345*100</f>
        <v>14.262125902992775</v>
      </c>
      <c r="E361" s="134"/>
      <c r="F361" s="134"/>
      <c r="G361" s="181">
        <f>1382000</f>
        <v>1382000</v>
      </c>
      <c r="H361" s="134"/>
      <c r="I361" s="134"/>
      <c r="J361" s="6">
        <f t="shared" si="121"/>
        <v>0</v>
      </c>
      <c r="K361" s="130"/>
    </row>
    <row r="362" spans="1:11" x14ac:dyDescent="0.25">
      <c r="A362" s="749" t="s">
        <v>65</v>
      </c>
      <c r="B362" s="754" t="s">
        <v>190</v>
      </c>
      <c r="C362" s="751">
        <v>7000000</v>
      </c>
      <c r="D362" s="727" t="e">
        <f>C362/#REF!*100</f>
        <v>#REF!</v>
      </c>
      <c r="E362" s="134"/>
      <c r="F362" s="134"/>
      <c r="G362" s="181">
        <f>6932360</f>
        <v>6932360</v>
      </c>
      <c r="H362" s="134"/>
      <c r="I362" s="134"/>
      <c r="J362" s="6">
        <f t="shared" si="121"/>
        <v>-67640</v>
      </c>
      <c r="K362" s="130"/>
    </row>
    <row r="363" spans="1:11" x14ac:dyDescent="0.25">
      <c r="A363" s="749" t="s">
        <v>541</v>
      </c>
      <c r="B363" s="754" t="s">
        <v>401</v>
      </c>
      <c r="C363" s="751">
        <v>3900000</v>
      </c>
      <c r="D363" s="727" t="e">
        <f>C363/#REF!*100</f>
        <v>#REF!</v>
      </c>
      <c r="E363" s="134"/>
      <c r="F363" s="134"/>
      <c r="G363" s="181">
        <f>3900000</f>
        <v>3900000</v>
      </c>
      <c r="H363" s="134"/>
      <c r="I363" s="134"/>
      <c r="J363" s="6">
        <f t="shared" si="121"/>
        <v>0</v>
      </c>
      <c r="K363" s="130"/>
    </row>
    <row r="364" spans="1:11" x14ac:dyDescent="0.25">
      <c r="A364" s="749" t="s">
        <v>603</v>
      </c>
      <c r="B364" s="754" t="s">
        <v>602</v>
      </c>
      <c r="C364" s="751">
        <v>5000000</v>
      </c>
      <c r="D364" s="727"/>
      <c r="E364" s="134"/>
      <c r="F364" s="134"/>
      <c r="G364" s="181"/>
      <c r="H364" s="134"/>
      <c r="I364" s="134"/>
      <c r="J364" s="6"/>
      <c r="K364" s="130"/>
    </row>
    <row r="365" spans="1:11" x14ac:dyDescent="0.25">
      <c r="A365" s="749" t="s">
        <v>590</v>
      </c>
      <c r="B365" s="754" t="s">
        <v>598</v>
      </c>
      <c r="C365" s="751">
        <v>8500000</v>
      </c>
      <c r="D365" s="727"/>
      <c r="E365" s="134"/>
      <c r="F365" s="134"/>
      <c r="G365" s="181"/>
      <c r="H365" s="134"/>
      <c r="I365" s="134"/>
      <c r="J365" s="6"/>
      <c r="K365" s="130"/>
    </row>
    <row r="366" spans="1:11" x14ac:dyDescent="0.25">
      <c r="A366" s="749" t="s">
        <v>584</v>
      </c>
      <c r="B366" s="754" t="s">
        <v>583</v>
      </c>
      <c r="C366" s="751">
        <v>17500000</v>
      </c>
      <c r="D366" s="727"/>
      <c r="E366" s="134"/>
      <c r="F366" s="134"/>
      <c r="G366" s="181"/>
      <c r="H366" s="134"/>
      <c r="I366" s="134"/>
      <c r="J366" s="6"/>
      <c r="K366" s="130"/>
    </row>
    <row r="367" spans="1:11" x14ac:dyDescent="0.25">
      <c r="A367" s="749" t="s">
        <v>275</v>
      </c>
      <c r="B367" s="754" t="s">
        <v>421</v>
      </c>
      <c r="C367" s="751">
        <v>11475000</v>
      </c>
      <c r="D367" s="727" t="e">
        <f>C367/#REF!*100</f>
        <v>#REF!</v>
      </c>
      <c r="E367" s="134"/>
      <c r="F367" s="134"/>
      <c r="G367" s="181">
        <f>5000000</f>
        <v>5000000</v>
      </c>
      <c r="H367" s="134"/>
      <c r="I367" s="134"/>
      <c r="J367" s="6">
        <f t="shared" si="121"/>
        <v>-6475000</v>
      </c>
      <c r="K367" s="130"/>
    </row>
    <row r="368" spans="1:11" x14ac:dyDescent="0.25">
      <c r="A368" s="749" t="s">
        <v>542</v>
      </c>
      <c r="B368" s="316" t="s">
        <v>540</v>
      </c>
      <c r="C368" s="751">
        <v>0</v>
      </c>
      <c r="D368" s="752"/>
      <c r="E368" s="134"/>
      <c r="F368" s="134"/>
      <c r="G368" s="181"/>
      <c r="H368" s="134"/>
      <c r="I368" s="134"/>
      <c r="J368" s="6">
        <f t="shared" si="121"/>
        <v>0</v>
      </c>
      <c r="K368" s="130"/>
    </row>
    <row r="369" spans="1:14" x14ac:dyDescent="0.25">
      <c r="A369" s="70"/>
      <c r="B369" s="164" t="s">
        <v>140</v>
      </c>
      <c r="C369" s="165">
        <f>SUM(C345:C368)</f>
        <v>235000000</v>
      </c>
      <c r="D369" s="166">
        <f>SUM(D345:D356)</f>
        <v>56.876808510638291</v>
      </c>
      <c r="E369" s="134"/>
      <c r="F369" s="134"/>
      <c r="G369" s="837">
        <f>SUM(G345:G368)</f>
        <v>141099360</v>
      </c>
      <c r="H369" s="134"/>
      <c r="I369" s="134"/>
      <c r="J369" s="734"/>
      <c r="K369" s="40"/>
    </row>
    <row r="370" spans="1:14" x14ac:dyDescent="0.25">
      <c r="A370" s="53"/>
      <c r="B370" s="5"/>
      <c r="C370" s="191"/>
      <c r="D370" s="41"/>
      <c r="E370" s="30"/>
      <c r="F370" s="31"/>
      <c r="G370" s="36"/>
      <c r="H370" s="23"/>
      <c r="I370" s="23"/>
      <c r="J370" s="33"/>
      <c r="K370" s="37"/>
    </row>
    <row r="371" spans="1:14" ht="31.5" x14ac:dyDescent="0.25">
      <c r="A371" s="55"/>
      <c r="B371" s="46" t="s">
        <v>145</v>
      </c>
      <c r="C371" s="155"/>
      <c r="D371" s="44"/>
      <c r="E371" s="45"/>
      <c r="F371" s="45"/>
      <c r="G371" s="48"/>
      <c r="H371" s="45"/>
      <c r="I371" s="45"/>
      <c r="J371" s="44"/>
      <c r="K371" s="44"/>
      <c r="L371" s="1"/>
      <c r="M371" s="1"/>
      <c r="N371" s="1"/>
    </row>
    <row r="372" spans="1:14" x14ac:dyDescent="0.25">
      <c r="A372" s="1119" t="s">
        <v>2</v>
      </c>
      <c r="B372" s="1120" t="s">
        <v>177</v>
      </c>
      <c r="C372" s="1119" t="s">
        <v>4</v>
      </c>
      <c r="D372" s="1121" t="s">
        <v>5</v>
      </c>
      <c r="E372" s="1121"/>
      <c r="F372" s="1121"/>
      <c r="G372" s="1122" t="s">
        <v>6</v>
      </c>
      <c r="H372" s="1122"/>
      <c r="I372" s="1122"/>
      <c r="J372" s="1119" t="s">
        <v>7</v>
      </c>
      <c r="K372" s="289" t="s">
        <v>8</v>
      </c>
    </row>
    <row r="373" spans="1:14" x14ac:dyDescent="0.25">
      <c r="A373" s="1119"/>
      <c r="B373" s="1120"/>
      <c r="C373" s="1119"/>
      <c r="D373" s="289" t="s">
        <v>9</v>
      </c>
      <c r="E373" s="308" t="s">
        <v>10</v>
      </c>
      <c r="F373" s="308" t="s">
        <v>11</v>
      </c>
      <c r="G373" s="309" t="s">
        <v>12</v>
      </c>
      <c r="H373" s="308" t="s">
        <v>13</v>
      </c>
      <c r="I373" s="308" t="s">
        <v>11</v>
      </c>
      <c r="J373" s="1123"/>
      <c r="K373" s="115"/>
    </row>
    <row r="374" spans="1:14" x14ac:dyDescent="0.25">
      <c r="A374" s="1119"/>
      <c r="B374" s="1120"/>
      <c r="C374" s="1119"/>
      <c r="D374" s="118" t="s">
        <v>14</v>
      </c>
      <c r="E374" s="119" t="s">
        <v>14</v>
      </c>
      <c r="F374" s="119" t="s">
        <v>14</v>
      </c>
      <c r="G374" s="120" t="s">
        <v>15</v>
      </c>
      <c r="H374" s="119" t="s">
        <v>14</v>
      </c>
      <c r="I374" s="119" t="s">
        <v>14</v>
      </c>
      <c r="J374" s="118" t="s">
        <v>15</v>
      </c>
      <c r="K374" s="118"/>
    </row>
    <row r="375" spans="1:14" x14ac:dyDescent="0.25">
      <c r="A375" s="79" t="s">
        <v>185</v>
      </c>
      <c r="B375" s="199" t="s">
        <v>146</v>
      </c>
      <c r="C375" s="260"/>
      <c r="D375" s="10"/>
      <c r="E375" s="34"/>
      <c r="F375" s="34"/>
      <c r="G375" s="6"/>
      <c r="H375" s="34"/>
      <c r="I375" s="34"/>
      <c r="J375" s="10"/>
      <c r="K375" s="10"/>
    </row>
    <row r="376" spans="1:14" x14ac:dyDescent="0.25">
      <c r="A376" s="125" t="s">
        <v>184</v>
      </c>
      <c r="B376" s="280" t="s">
        <v>147</v>
      </c>
      <c r="C376" s="131">
        <f>SUM(C377:C378)</f>
        <v>3395640000</v>
      </c>
      <c r="D376" s="10"/>
      <c r="E376" s="34"/>
      <c r="F376" s="34"/>
      <c r="G376" s="6"/>
      <c r="H376" s="34"/>
      <c r="I376" s="34"/>
      <c r="J376" s="10"/>
      <c r="K376" s="10"/>
    </row>
    <row r="377" spans="1:14" ht="25.5" x14ac:dyDescent="0.25">
      <c r="A377" s="313" t="s">
        <v>44</v>
      </c>
      <c r="B377" s="707" t="s">
        <v>384</v>
      </c>
      <c r="C377" s="253">
        <v>35640000</v>
      </c>
      <c r="D377" s="134">
        <f>C377/C376*100</f>
        <v>1.0495812276919816</v>
      </c>
      <c r="E377" s="134">
        <f t="shared" ref="E377:E378" si="122">G377/C377*100</f>
        <v>66.666666666666657</v>
      </c>
      <c r="F377" s="134">
        <f t="shared" ref="F377:F378" si="123">(D377*E377)/100</f>
        <v>0.69972081846132095</v>
      </c>
      <c r="G377" s="181">
        <f>23760000</f>
        <v>23760000</v>
      </c>
      <c r="H377" s="134">
        <f t="shared" ref="H377:H378" si="124">G377/C377*100</f>
        <v>66.666666666666657</v>
      </c>
      <c r="I377" s="134">
        <f t="shared" ref="I377:I378" si="125">(D377*H377)/100</f>
        <v>0.69972081846132095</v>
      </c>
      <c r="J377" s="6">
        <f t="shared" ref="J377:J378" si="126">G377-C377</f>
        <v>-11880000</v>
      </c>
      <c r="K377" s="10"/>
    </row>
    <row r="378" spans="1:14" x14ac:dyDescent="0.25">
      <c r="A378" s="49" t="s">
        <v>148</v>
      </c>
      <c r="B378" s="133" t="s">
        <v>534</v>
      </c>
      <c r="C378" s="256">
        <v>3360000000</v>
      </c>
      <c r="D378" s="134">
        <f>C378/C376*100</f>
        <v>98.950418772308012</v>
      </c>
      <c r="E378" s="134">
        <f t="shared" si="122"/>
        <v>100</v>
      </c>
      <c r="F378" s="134">
        <f t="shared" si="123"/>
        <v>98.950418772307998</v>
      </c>
      <c r="G378" s="181">
        <f>2220557000+1139443000</f>
        <v>3360000000</v>
      </c>
      <c r="H378" s="134">
        <f t="shared" si="124"/>
        <v>100</v>
      </c>
      <c r="I378" s="134">
        <f t="shared" si="125"/>
        <v>98.950418772307998</v>
      </c>
      <c r="J378" s="6">
        <f t="shared" si="126"/>
        <v>0</v>
      </c>
      <c r="K378" s="10"/>
    </row>
    <row r="379" spans="1:14" x14ac:dyDescent="0.25">
      <c r="A379" s="70"/>
      <c r="B379" s="129" t="s">
        <v>95</v>
      </c>
      <c r="C379" s="807">
        <f>SUM(C377:C378)</f>
        <v>3395640000</v>
      </c>
      <c r="D379" s="271">
        <f>SUM(D377:D378)</f>
        <v>100</v>
      </c>
      <c r="E379" s="134"/>
      <c r="F379" s="134"/>
      <c r="G379" s="181">
        <f>SUM(G377:G378)</f>
        <v>3383760000</v>
      </c>
      <c r="H379" s="134"/>
      <c r="I379" s="134"/>
      <c r="J379" s="734"/>
      <c r="K379" s="130"/>
    </row>
    <row r="380" spans="1:14" x14ac:dyDescent="0.25">
      <c r="A380" s="230"/>
      <c r="B380" s="231"/>
      <c r="C380" s="232"/>
      <c r="D380" s="23"/>
      <c r="E380" s="23"/>
      <c r="F380" s="23"/>
      <c r="G380" s="11"/>
      <c r="H380" s="23"/>
      <c r="I380" s="23"/>
      <c r="J380" s="9"/>
      <c r="K380" s="9"/>
    </row>
    <row r="381" spans="1:14" x14ac:dyDescent="0.25">
      <c r="A381" s="1119" t="s">
        <v>2</v>
      </c>
      <c r="B381" s="1120" t="s">
        <v>177</v>
      </c>
      <c r="C381" s="1119" t="s">
        <v>4</v>
      </c>
      <c r="D381" s="1121" t="s">
        <v>5</v>
      </c>
      <c r="E381" s="1121"/>
      <c r="F381" s="1121"/>
      <c r="G381" s="1122" t="s">
        <v>6</v>
      </c>
      <c r="H381" s="1122"/>
      <c r="I381" s="1122"/>
      <c r="J381" s="1119" t="s">
        <v>7</v>
      </c>
      <c r="K381" s="289" t="s">
        <v>8</v>
      </c>
    </row>
    <row r="382" spans="1:14" x14ac:dyDescent="0.25">
      <c r="A382" s="1119"/>
      <c r="B382" s="1120"/>
      <c r="C382" s="1119"/>
      <c r="D382" s="289" t="s">
        <v>9</v>
      </c>
      <c r="E382" s="308" t="s">
        <v>10</v>
      </c>
      <c r="F382" s="308" t="s">
        <v>11</v>
      </c>
      <c r="G382" s="309" t="s">
        <v>12</v>
      </c>
      <c r="H382" s="308" t="s">
        <v>13</v>
      </c>
      <c r="I382" s="308" t="s">
        <v>11</v>
      </c>
      <c r="J382" s="1123"/>
      <c r="K382" s="115"/>
    </row>
    <row r="383" spans="1:14" x14ac:dyDescent="0.25">
      <c r="A383" s="1119"/>
      <c r="B383" s="1120"/>
      <c r="C383" s="1119"/>
      <c r="D383" s="118" t="s">
        <v>14</v>
      </c>
      <c r="E383" s="119" t="s">
        <v>14</v>
      </c>
      <c r="F383" s="119" t="s">
        <v>14</v>
      </c>
      <c r="G383" s="120" t="s">
        <v>15</v>
      </c>
      <c r="H383" s="119" t="s">
        <v>14</v>
      </c>
      <c r="I383" s="119" t="s">
        <v>14</v>
      </c>
      <c r="J383" s="118" t="s">
        <v>15</v>
      </c>
      <c r="K383" s="118"/>
    </row>
    <row r="384" spans="1:14" x14ac:dyDescent="0.25">
      <c r="A384" s="139" t="s">
        <v>185</v>
      </c>
      <c r="B384" s="199" t="s">
        <v>146</v>
      </c>
      <c r="C384" s="24"/>
      <c r="D384" s="10"/>
      <c r="E384" s="34"/>
      <c r="F384" s="34"/>
      <c r="G384" s="6"/>
      <c r="H384" s="34"/>
      <c r="I384" s="34"/>
      <c r="J384" s="10"/>
      <c r="K384" s="10"/>
    </row>
    <row r="385" spans="1:11" x14ac:dyDescent="0.25">
      <c r="A385" s="140" t="s">
        <v>187</v>
      </c>
      <c r="B385" s="280" t="s">
        <v>150</v>
      </c>
      <c r="C385" s="252">
        <f>SUM(C386:C390)</f>
        <v>2057255328</v>
      </c>
      <c r="D385" s="10"/>
      <c r="E385" s="34"/>
      <c r="F385" s="34"/>
      <c r="G385" s="6"/>
      <c r="H385" s="34"/>
      <c r="I385" s="34"/>
      <c r="J385" s="10"/>
      <c r="K385" s="10"/>
    </row>
    <row r="386" spans="1:11" ht="25.5" x14ac:dyDescent="0.25">
      <c r="A386" s="159" t="s">
        <v>44</v>
      </c>
      <c r="B386" s="707" t="s">
        <v>384</v>
      </c>
      <c r="C386" s="253">
        <v>30210000</v>
      </c>
      <c r="D386" s="134">
        <f>C386/C385*100</f>
        <v>1.4684613809880966</v>
      </c>
      <c r="E386" s="134">
        <f t="shared" ref="E386:E389" si="127">G386/C386*100</f>
        <v>64.200595829195635</v>
      </c>
      <c r="F386" s="134">
        <f t="shared" ref="F386:F389" si="128">(D386*E386)/100</f>
        <v>0.94276095611599264</v>
      </c>
      <c r="G386" s="181">
        <f>19395000</f>
        <v>19395000</v>
      </c>
      <c r="H386" s="134">
        <f t="shared" ref="H386:H389" si="129">G386/C386*100</f>
        <v>64.200595829195635</v>
      </c>
      <c r="I386" s="134">
        <f t="shared" ref="I386:I389" si="130">(D386*H386)/100</f>
        <v>0.94276095611599264</v>
      </c>
      <c r="J386" s="6">
        <f t="shared" ref="J386:J390" si="131">G386-C386</f>
        <v>-10815000</v>
      </c>
      <c r="K386" s="10"/>
    </row>
    <row r="387" spans="1:11" x14ac:dyDescent="0.25">
      <c r="A387" s="313" t="s">
        <v>59</v>
      </c>
      <c r="B387" s="707" t="s">
        <v>197</v>
      </c>
      <c r="C387" s="253">
        <v>690000</v>
      </c>
      <c r="D387" s="134">
        <f>C387/C385*100</f>
        <v>3.3539832932200815E-2</v>
      </c>
      <c r="E387" s="134">
        <f t="shared" si="127"/>
        <v>100</v>
      </c>
      <c r="F387" s="134">
        <f t="shared" si="128"/>
        <v>3.3539832932200815E-2</v>
      </c>
      <c r="G387" s="181">
        <f>690000</f>
        <v>690000</v>
      </c>
      <c r="H387" s="134">
        <f t="shared" si="129"/>
        <v>100</v>
      </c>
      <c r="I387" s="134">
        <f t="shared" si="130"/>
        <v>3.3539832932200815E-2</v>
      </c>
      <c r="J387" s="6">
        <f t="shared" si="131"/>
        <v>0</v>
      </c>
      <c r="K387" s="10"/>
    </row>
    <row r="388" spans="1:11" x14ac:dyDescent="0.25">
      <c r="A388" s="313" t="s">
        <v>62</v>
      </c>
      <c r="B388" s="133" t="s">
        <v>534</v>
      </c>
      <c r="C388" s="253">
        <v>1440000000</v>
      </c>
      <c r="D388" s="134">
        <f>C388/C385*100</f>
        <v>69.99617307589736</v>
      </c>
      <c r="E388" s="134">
        <f t="shared" si="127"/>
        <v>51.962194444444442</v>
      </c>
      <c r="F388" s="134">
        <f t="shared" si="128"/>
        <v>36.371547557367656</v>
      </c>
      <c r="G388" s="181">
        <f>636255600+112000000</f>
        <v>748255600</v>
      </c>
      <c r="H388" s="134">
        <f t="shared" si="129"/>
        <v>51.962194444444442</v>
      </c>
      <c r="I388" s="134">
        <f t="shared" si="130"/>
        <v>36.371547557367656</v>
      </c>
      <c r="J388" s="6">
        <f t="shared" si="131"/>
        <v>-691744400</v>
      </c>
      <c r="K388" s="10"/>
    </row>
    <row r="389" spans="1:11" s="725" customFormat="1" ht="25.5" x14ac:dyDescent="0.2">
      <c r="A389" s="723" t="s">
        <v>152</v>
      </c>
      <c r="B389" s="133" t="s">
        <v>153</v>
      </c>
      <c r="C389" s="724">
        <v>576000000</v>
      </c>
      <c r="D389" s="728">
        <f>C389/C385*100</f>
        <v>27.998469230358946</v>
      </c>
      <c r="E389" s="728">
        <f t="shared" si="127"/>
        <v>50</v>
      </c>
      <c r="F389" s="728">
        <f t="shared" si="128"/>
        <v>13.999234615179473</v>
      </c>
      <c r="G389" s="181">
        <f>288000000</f>
        <v>288000000</v>
      </c>
      <c r="H389" s="728">
        <f t="shared" si="129"/>
        <v>50</v>
      </c>
      <c r="I389" s="728">
        <f t="shared" si="130"/>
        <v>13.999234615179473</v>
      </c>
      <c r="J389" s="6">
        <f t="shared" si="131"/>
        <v>-288000000</v>
      </c>
      <c r="K389" s="313"/>
    </row>
    <row r="390" spans="1:11" s="725" customFormat="1" x14ac:dyDescent="0.2">
      <c r="A390" s="749" t="s">
        <v>234</v>
      </c>
      <c r="B390" s="133" t="s">
        <v>522</v>
      </c>
      <c r="C390" s="724">
        <v>10355328</v>
      </c>
      <c r="D390" s="820"/>
      <c r="E390" s="728"/>
      <c r="F390" s="728"/>
      <c r="G390" s="181">
        <f>10085658</f>
        <v>10085658</v>
      </c>
      <c r="H390" s="728"/>
      <c r="I390" s="728"/>
      <c r="J390" s="6">
        <f t="shared" si="131"/>
        <v>-269670</v>
      </c>
      <c r="K390" s="821"/>
    </row>
    <row r="391" spans="1:11" x14ac:dyDescent="0.25">
      <c r="A391" s="70"/>
      <c r="B391" s="129" t="s">
        <v>95</v>
      </c>
      <c r="C391" s="807">
        <f>SUM(C386:C390)</f>
        <v>2057255328</v>
      </c>
      <c r="D391" s="271">
        <f>SUM(D386:D389)</f>
        <v>99.496643520176605</v>
      </c>
      <c r="E391" s="134"/>
      <c r="F391" s="134"/>
      <c r="G391" s="181">
        <f>SUM(G386:G390)</f>
        <v>1066426258</v>
      </c>
      <c r="H391" s="134"/>
      <c r="I391" s="134"/>
      <c r="J391" s="734"/>
      <c r="K391" s="130"/>
    </row>
    <row r="392" spans="1:11" x14ac:dyDescent="0.25">
      <c r="A392" s="50"/>
      <c r="B392" s="5"/>
      <c r="C392" s="50"/>
      <c r="D392" s="9"/>
      <c r="E392" s="23"/>
      <c r="F392" s="23"/>
      <c r="G392" s="11"/>
      <c r="H392" s="23"/>
      <c r="I392" s="23"/>
      <c r="J392" s="9"/>
      <c r="K392" s="9"/>
    </row>
    <row r="393" spans="1:11" x14ac:dyDescent="0.25">
      <c r="A393" s="50"/>
      <c r="B393" s="5"/>
      <c r="C393" s="50"/>
      <c r="D393" s="9"/>
      <c r="E393" s="23"/>
      <c r="F393" s="23"/>
      <c r="G393" s="11"/>
      <c r="H393" s="23"/>
      <c r="I393" s="23"/>
      <c r="J393" s="9"/>
      <c r="K393" s="9"/>
    </row>
    <row r="394" spans="1:11" x14ac:dyDescent="0.25">
      <c r="A394" s="1139" t="s">
        <v>2</v>
      </c>
      <c r="B394" s="1142" t="s">
        <v>175</v>
      </c>
      <c r="C394" s="290"/>
      <c r="D394" s="1145" t="s">
        <v>5</v>
      </c>
      <c r="E394" s="1146"/>
      <c r="F394" s="1147"/>
      <c r="G394" s="1148" t="s">
        <v>6</v>
      </c>
      <c r="H394" s="1149"/>
      <c r="I394" s="1150"/>
      <c r="J394" s="1138" t="s">
        <v>7</v>
      </c>
      <c r="K394" s="198" t="s">
        <v>8</v>
      </c>
    </row>
    <row r="395" spans="1:11" x14ac:dyDescent="0.25">
      <c r="A395" s="1140"/>
      <c r="B395" s="1143"/>
      <c r="C395" s="919" t="s">
        <v>4</v>
      </c>
      <c r="D395" s="198" t="s">
        <v>9</v>
      </c>
      <c r="E395" s="310" t="s">
        <v>10</v>
      </c>
      <c r="F395" s="310" t="s">
        <v>11</v>
      </c>
      <c r="G395" s="194" t="s">
        <v>12</v>
      </c>
      <c r="H395" s="193" t="s">
        <v>13</v>
      </c>
      <c r="I395" s="193" t="s">
        <v>11</v>
      </c>
      <c r="J395" s="1151"/>
      <c r="K395" s="192"/>
    </row>
    <row r="396" spans="1:11" x14ac:dyDescent="0.25">
      <c r="A396" s="1141"/>
      <c r="B396" s="1144"/>
      <c r="C396" s="229"/>
      <c r="D396" s="197" t="s">
        <v>14</v>
      </c>
      <c r="E396" s="195" t="s">
        <v>14</v>
      </c>
      <c r="F396" s="195" t="s">
        <v>14</v>
      </c>
      <c r="G396" s="196" t="s">
        <v>15</v>
      </c>
      <c r="H396" s="195" t="s">
        <v>14</v>
      </c>
      <c r="I396" s="195" t="s">
        <v>14</v>
      </c>
      <c r="J396" s="197" t="s">
        <v>15</v>
      </c>
      <c r="K396" s="197"/>
    </row>
    <row r="397" spans="1:11" ht="25.5" x14ac:dyDescent="0.25">
      <c r="A397" s="321" t="s">
        <v>180</v>
      </c>
      <c r="B397" s="696" t="s">
        <v>379</v>
      </c>
      <c r="C397" s="291"/>
      <c r="D397" s="121"/>
      <c r="E397" s="122"/>
      <c r="F397" s="122"/>
      <c r="G397" s="123"/>
      <c r="H397" s="122"/>
      <c r="I397" s="122"/>
      <c r="J397" s="121"/>
      <c r="K397" s="121"/>
    </row>
    <row r="398" spans="1:11" ht="25.5" x14ac:dyDescent="0.25">
      <c r="A398" s="160" t="s">
        <v>181</v>
      </c>
      <c r="B398" s="697" t="s">
        <v>380</v>
      </c>
      <c r="C398" s="261">
        <f>SUM(C399:C418)</f>
        <v>293839000</v>
      </c>
      <c r="D398" s="161"/>
      <c r="E398" s="161"/>
      <c r="F398" s="161"/>
      <c r="G398" s="82"/>
      <c r="H398" s="161"/>
      <c r="I398" s="161"/>
      <c r="J398" s="162"/>
      <c r="K398" s="162"/>
    </row>
    <row r="399" spans="1:11" ht="25.5" x14ac:dyDescent="0.25">
      <c r="A399" s="314" t="s">
        <v>44</v>
      </c>
      <c r="B399" s="707" t="s">
        <v>384</v>
      </c>
      <c r="C399" s="262">
        <v>8580000</v>
      </c>
      <c r="D399" s="134">
        <f>C399/C398*100</f>
        <v>2.9199663761447598</v>
      </c>
      <c r="E399" s="134">
        <f t="shared" ref="E399:E410" si="132">G399/C399*100</f>
        <v>89.16083916083916</v>
      </c>
      <c r="F399" s="134">
        <f t="shared" ref="F399:F410" si="133">(D399*E399)/100</f>
        <v>2.6034665241850132</v>
      </c>
      <c r="G399" s="181">
        <f>7650000</f>
        <v>7650000</v>
      </c>
      <c r="H399" s="134">
        <f t="shared" ref="H399:H410" si="134">G399/C399*100</f>
        <v>89.16083916083916</v>
      </c>
      <c r="I399" s="134">
        <f t="shared" ref="I399:I410" si="135">(D399*H399)/100</f>
        <v>2.6034665241850132</v>
      </c>
      <c r="J399" s="6">
        <f t="shared" ref="J399:J418" si="136">G399-C399</f>
        <v>-930000</v>
      </c>
      <c r="K399" s="10"/>
    </row>
    <row r="400" spans="1:11" x14ac:dyDescent="0.25">
      <c r="A400" s="314" t="s">
        <v>448</v>
      </c>
      <c r="B400" s="707" t="s">
        <v>578</v>
      </c>
      <c r="C400" s="262">
        <v>1700000</v>
      </c>
      <c r="D400" s="134"/>
      <c r="E400" s="134"/>
      <c r="F400" s="134"/>
      <c r="G400" s="181"/>
      <c r="H400" s="134"/>
      <c r="I400" s="134"/>
      <c r="J400" s="6"/>
      <c r="K400" s="10"/>
    </row>
    <row r="401" spans="1:11" x14ac:dyDescent="0.25">
      <c r="A401" s="314" t="s">
        <v>59</v>
      </c>
      <c r="B401" s="707" t="s">
        <v>197</v>
      </c>
      <c r="C401" s="262">
        <v>16992575</v>
      </c>
      <c r="D401" s="134">
        <f>C401/C398*100</f>
        <v>5.7829542708762283</v>
      </c>
      <c r="E401" s="134">
        <f t="shared" si="132"/>
        <v>35.30953960774044</v>
      </c>
      <c r="F401" s="134">
        <f t="shared" si="133"/>
        <v>2.041934528772559</v>
      </c>
      <c r="G401" s="181">
        <f>6000000</f>
        <v>6000000</v>
      </c>
      <c r="H401" s="134">
        <f t="shared" si="134"/>
        <v>35.30953960774044</v>
      </c>
      <c r="I401" s="134">
        <f t="shared" si="135"/>
        <v>2.041934528772559</v>
      </c>
      <c r="J401" s="6">
        <f t="shared" si="136"/>
        <v>-10992575</v>
      </c>
      <c r="K401" s="10"/>
    </row>
    <row r="402" spans="1:11" x14ac:dyDescent="0.25">
      <c r="A402" s="314" t="s">
        <v>62</v>
      </c>
      <c r="B402" s="707" t="s">
        <v>334</v>
      </c>
      <c r="C402" s="262">
        <v>11387825</v>
      </c>
      <c r="D402" s="134">
        <f>C402/C398*100</f>
        <v>3.8755321791865609</v>
      </c>
      <c r="E402" s="134">
        <f t="shared" si="132"/>
        <v>0</v>
      </c>
      <c r="F402" s="134">
        <f t="shared" si="133"/>
        <v>0</v>
      </c>
      <c r="G402" s="181">
        <v>0</v>
      </c>
      <c r="H402" s="134">
        <f t="shared" si="134"/>
        <v>0</v>
      </c>
      <c r="I402" s="134">
        <f t="shared" si="135"/>
        <v>0</v>
      </c>
      <c r="J402" s="6">
        <f t="shared" si="136"/>
        <v>-11387825</v>
      </c>
      <c r="K402" s="10"/>
    </row>
    <row r="403" spans="1:11" x14ac:dyDescent="0.25">
      <c r="A403" s="314" t="s">
        <v>148</v>
      </c>
      <c r="B403" s="133" t="s">
        <v>534</v>
      </c>
      <c r="C403" s="262">
        <v>8000000</v>
      </c>
      <c r="D403" s="134"/>
      <c r="E403" s="134"/>
      <c r="F403" s="134"/>
      <c r="G403" s="181">
        <f>8000000</f>
        <v>8000000</v>
      </c>
      <c r="H403" s="134"/>
      <c r="I403" s="134"/>
      <c r="J403" s="6">
        <f t="shared" si="136"/>
        <v>0</v>
      </c>
      <c r="K403" s="10"/>
    </row>
    <row r="404" spans="1:11" ht="25.5" x14ac:dyDescent="0.25">
      <c r="A404" s="314" t="s">
        <v>605</v>
      </c>
      <c r="B404" s="133" t="s">
        <v>604</v>
      </c>
      <c r="C404" s="262">
        <v>26000000</v>
      </c>
      <c r="D404" s="134"/>
      <c r="E404" s="134"/>
      <c r="F404" s="134"/>
      <c r="G404" s="181"/>
      <c r="H404" s="134"/>
      <c r="I404" s="134"/>
      <c r="J404" s="6"/>
      <c r="K404" s="10"/>
    </row>
    <row r="405" spans="1:11" x14ac:dyDescent="0.25">
      <c r="A405" s="314" t="s">
        <v>579</v>
      </c>
      <c r="B405" s="133" t="s">
        <v>580</v>
      </c>
      <c r="C405" s="262">
        <v>12350000</v>
      </c>
      <c r="D405" s="134"/>
      <c r="E405" s="134"/>
      <c r="F405" s="134"/>
      <c r="G405" s="181"/>
      <c r="H405" s="134"/>
      <c r="I405" s="134"/>
      <c r="J405" s="6"/>
      <c r="K405" s="10"/>
    </row>
    <row r="406" spans="1:11" x14ac:dyDescent="0.25">
      <c r="A406" s="314" t="s">
        <v>194</v>
      </c>
      <c r="B406" s="49" t="s">
        <v>139</v>
      </c>
      <c r="C406" s="263">
        <v>58590000</v>
      </c>
      <c r="D406" s="134">
        <f>C406/C398*100</f>
        <v>19.939490673464039</v>
      </c>
      <c r="E406" s="134">
        <f t="shared" si="132"/>
        <v>59.720088752346811</v>
      </c>
      <c r="F406" s="134">
        <f t="shared" si="133"/>
        <v>11.90788152695864</v>
      </c>
      <c r="G406" s="181">
        <f>34990000</f>
        <v>34990000</v>
      </c>
      <c r="H406" s="134">
        <f t="shared" si="134"/>
        <v>59.720088752346811</v>
      </c>
      <c r="I406" s="134">
        <f t="shared" si="135"/>
        <v>11.90788152695864</v>
      </c>
      <c r="J406" s="6">
        <f t="shared" si="136"/>
        <v>-23600000</v>
      </c>
      <c r="K406" s="10"/>
    </row>
    <row r="407" spans="1:11" x14ac:dyDescent="0.25">
      <c r="A407" s="314" t="s">
        <v>183</v>
      </c>
      <c r="B407" s="49" t="s">
        <v>417</v>
      </c>
      <c r="C407" s="263">
        <v>22850000</v>
      </c>
      <c r="D407" s="134"/>
      <c r="E407" s="134">
        <f t="shared" si="132"/>
        <v>19.693654266958426</v>
      </c>
      <c r="F407" s="134"/>
      <c r="G407" s="181">
        <f>4500000</f>
        <v>4500000</v>
      </c>
      <c r="H407" s="134">
        <f t="shared" si="134"/>
        <v>19.693654266958426</v>
      </c>
      <c r="I407" s="134"/>
      <c r="J407" s="6">
        <f t="shared" si="136"/>
        <v>-18350000</v>
      </c>
      <c r="K407" s="10"/>
    </row>
    <row r="408" spans="1:11" x14ac:dyDescent="0.25">
      <c r="A408" s="322" t="s">
        <v>195</v>
      </c>
      <c r="B408" s="170" t="s">
        <v>179</v>
      </c>
      <c r="C408" s="178">
        <v>24500000</v>
      </c>
      <c r="D408" s="134">
        <f>C408/C398*100</f>
        <v>8.337899325821283</v>
      </c>
      <c r="E408" s="134">
        <f t="shared" si="132"/>
        <v>100</v>
      </c>
      <c r="F408" s="134">
        <f t="shared" si="133"/>
        <v>8.337899325821283</v>
      </c>
      <c r="G408" s="181">
        <f>24500000</f>
        <v>24500000</v>
      </c>
      <c r="H408" s="134">
        <f t="shared" si="134"/>
        <v>100</v>
      </c>
      <c r="I408" s="134">
        <f t="shared" si="135"/>
        <v>8.337899325821283</v>
      </c>
      <c r="J408" s="6">
        <f t="shared" si="136"/>
        <v>0</v>
      </c>
      <c r="K408" s="10"/>
    </row>
    <row r="409" spans="1:11" x14ac:dyDescent="0.25">
      <c r="A409" s="322" t="s">
        <v>62</v>
      </c>
      <c r="B409" s="170" t="s">
        <v>418</v>
      </c>
      <c r="C409" s="178">
        <v>7500000</v>
      </c>
      <c r="D409" s="134"/>
      <c r="E409" s="134"/>
      <c r="F409" s="134"/>
      <c r="G409" s="181">
        <f>7500000</f>
        <v>7500000</v>
      </c>
      <c r="H409" s="134"/>
      <c r="I409" s="134"/>
      <c r="J409" s="6">
        <f t="shared" si="136"/>
        <v>0</v>
      </c>
      <c r="K409" s="10"/>
    </row>
    <row r="410" spans="1:11" ht="25.5" x14ac:dyDescent="0.25">
      <c r="A410" s="314" t="s">
        <v>106</v>
      </c>
      <c r="B410" s="316" t="s">
        <v>375</v>
      </c>
      <c r="C410" s="263">
        <v>26650000</v>
      </c>
      <c r="D410" s="134">
        <f>C410/C398*100</f>
        <v>9.0695925319647834</v>
      </c>
      <c r="E410" s="134">
        <f t="shared" si="132"/>
        <v>57.973733583489683</v>
      </c>
      <c r="F410" s="134">
        <f t="shared" si="133"/>
        <v>5.2579814115893395</v>
      </c>
      <c r="G410" s="181">
        <f>15450000</f>
        <v>15450000</v>
      </c>
      <c r="H410" s="134">
        <f t="shared" si="134"/>
        <v>57.973733583489683</v>
      </c>
      <c r="I410" s="134">
        <f t="shared" si="135"/>
        <v>5.2579814115893395</v>
      </c>
      <c r="J410" s="6">
        <f t="shared" si="136"/>
        <v>-11200000</v>
      </c>
      <c r="K410" s="10"/>
    </row>
    <row r="411" spans="1:11" x14ac:dyDescent="0.25">
      <c r="A411" s="745" t="s">
        <v>162</v>
      </c>
      <c r="B411" s="746" t="s">
        <v>538</v>
      </c>
      <c r="C411" s="263">
        <v>3000000</v>
      </c>
      <c r="D411" s="134"/>
      <c r="E411" s="134"/>
      <c r="F411" s="134"/>
      <c r="G411" s="181">
        <f>3000000</f>
        <v>3000000</v>
      </c>
      <c r="H411" s="134"/>
      <c r="I411" s="134"/>
      <c r="J411" s="6">
        <f t="shared" si="136"/>
        <v>0</v>
      </c>
      <c r="K411" s="10"/>
    </row>
    <row r="412" spans="1:11" x14ac:dyDescent="0.25">
      <c r="A412" s="745" t="s">
        <v>521</v>
      </c>
      <c r="B412" s="746" t="s">
        <v>539</v>
      </c>
      <c r="C412" s="263">
        <v>3000000</v>
      </c>
      <c r="D412" s="134"/>
      <c r="E412" s="134"/>
      <c r="F412" s="134"/>
      <c r="G412" s="181">
        <f>3000000</f>
        <v>3000000</v>
      </c>
      <c r="H412" s="134"/>
      <c r="I412" s="134"/>
      <c r="J412" s="6">
        <f t="shared" si="136"/>
        <v>0</v>
      </c>
      <c r="K412" s="10"/>
    </row>
    <row r="413" spans="1:11" ht="25.5" x14ac:dyDescent="0.25">
      <c r="A413" s="745" t="s">
        <v>116</v>
      </c>
      <c r="B413" s="316" t="s">
        <v>420</v>
      </c>
      <c r="C413" s="263">
        <v>5838600</v>
      </c>
      <c r="D413" s="134"/>
      <c r="E413" s="134"/>
      <c r="F413" s="134"/>
      <c r="G413" s="181">
        <f>3000000</f>
        <v>3000000</v>
      </c>
      <c r="H413" s="134"/>
      <c r="I413" s="134"/>
      <c r="J413" s="6">
        <f t="shared" si="136"/>
        <v>-2838600</v>
      </c>
      <c r="K413" s="10"/>
    </row>
    <row r="414" spans="1:11" x14ac:dyDescent="0.25">
      <c r="A414" s="745" t="s">
        <v>65</v>
      </c>
      <c r="B414" s="754" t="s">
        <v>190</v>
      </c>
      <c r="C414" s="263">
        <v>7000000</v>
      </c>
      <c r="D414" s="134"/>
      <c r="E414" s="134"/>
      <c r="F414" s="134"/>
      <c r="G414" s="181">
        <f>6932360</f>
        <v>6932360</v>
      </c>
      <c r="H414" s="134"/>
      <c r="I414" s="134"/>
      <c r="J414" s="6">
        <f t="shared" si="136"/>
        <v>-67640</v>
      </c>
      <c r="K414" s="10"/>
    </row>
    <row r="415" spans="1:11" x14ac:dyDescent="0.25">
      <c r="A415" s="745" t="s">
        <v>400</v>
      </c>
      <c r="B415" s="754" t="s">
        <v>401</v>
      </c>
      <c r="C415" s="263">
        <v>7000000</v>
      </c>
      <c r="D415" s="134"/>
      <c r="E415" s="134"/>
      <c r="F415" s="134"/>
      <c r="G415" s="181">
        <f>7000000</f>
        <v>7000000</v>
      </c>
      <c r="H415" s="134"/>
      <c r="I415" s="134"/>
      <c r="J415" s="6">
        <f t="shared" si="136"/>
        <v>0</v>
      </c>
      <c r="K415" s="10"/>
    </row>
    <row r="416" spans="1:11" x14ac:dyDescent="0.25">
      <c r="A416" s="745" t="s">
        <v>584</v>
      </c>
      <c r="B416" s="926" t="s">
        <v>583</v>
      </c>
      <c r="C416" s="263">
        <v>17500000</v>
      </c>
      <c r="D416" s="134"/>
      <c r="E416" s="134"/>
      <c r="F416" s="134"/>
      <c r="G416" s="181"/>
      <c r="H416" s="134"/>
      <c r="I416" s="134"/>
      <c r="J416" s="6"/>
      <c r="K416" s="10"/>
    </row>
    <row r="417" spans="1:14" x14ac:dyDescent="0.25">
      <c r="A417" s="745" t="s">
        <v>301</v>
      </c>
      <c r="B417" s="746" t="s">
        <v>409</v>
      </c>
      <c r="C417" s="263">
        <v>20400000</v>
      </c>
      <c r="D417" s="134">
        <f>C417/C399*100</f>
        <v>237.76223776223776</v>
      </c>
      <c r="E417" s="134"/>
      <c r="F417" s="134"/>
      <c r="G417" s="181">
        <f>20400000</f>
        <v>20400000</v>
      </c>
      <c r="H417" s="134"/>
      <c r="I417" s="134"/>
      <c r="J417" s="6">
        <f t="shared" si="136"/>
        <v>0</v>
      </c>
      <c r="K417" s="10"/>
    </row>
    <row r="418" spans="1:14" x14ac:dyDescent="0.25">
      <c r="A418" s="745" t="s">
        <v>275</v>
      </c>
      <c r="B418" s="316" t="s">
        <v>543</v>
      </c>
      <c r="C418" s="263">
        <v>5000000</v>
      </c>
      <c r="D418" s="134"/>
      <c r="E418" s="134"/>
      <c r="F418" s="134"/>
      <c r="G418" s="181">
        <f>5000000</f>
        <v>5000000</v>
      </c>
      <c r="H418" s="134"/>
      <c r="I418" s="134"/>
      <c r="J418" s="6">
        <f t="shared" si="136"/>
        <v>0</v>
      </c>
      <c r="K418" s="10"/>
    </row>
    <row r="419" spans="1:14" x14ac:dyDescent="0.25">
      <c r="A419" s="1152" t="s">
        <v>95</v>
      </c>
      <c r="B419" s="1154"/>
      <c r="C419" s="822">
        <f>SUM(C399:C418)</f>
        <v>293839000</v>
      </c>
      <c r="D419" s="12">
        <f>SUM(D399:D410)</f>
        <v>49.925435357457658</v>
      </c>
      <c r="E419" s="134"/>
      <c r="F419" s="134"/>
      <c r="G419" s="837">
        <f>SUM(G399:G418)</f>
        <v>156922360</v>
      </c>
      <c r="H419" s="134"/>
      <c r="I419" s="134"/>
      <c r="J419" s="56">
        <v>0</v>
      </c>
      <c r="K419" s="3">
        <v>0</v>
      </c>
    </row>
    <row r="420" spans="1:14" x14ac:dyDescent="0.25">
      <c r="A420" s="5"/>
      <c r="B420" s="5"/>
      <c r="C420" s="5"/>
      <c r="D420" s="29"/>
      <c r="E420" s="30"/>
      <c r="F420" s="31"/>
      <c r="G420" s="36"/>
      <c r="H420" s="32"/>
      <c r="I420" s="31"/>
      <c r="J420" s="36"/>
      <c r="K420" s="37"/>
    </row>
    <row r="421" spans="1:14" ht="31.5" x14ac:dyDescent="0.25">
      <c r="A421" s="55"/>
      <c r="B421" s="46" t="s">
        <v>145</v>
      </c>
      <c r="C421" s="155"/>
      <c r="D421" s="44"/>
      <c r="E421" s="45"/>
      <c r="F421" s="45"/>
      <c r="G421" s="48"/>
      <c r="H421" s="45"/>
      <c r="I421" s="45"/>
      <c r="J421" s="44"/>
      <c r="K421" s="44"/>
      <c r="L421" s="1"/>
      <c r="M421" s="1"/>
      <c r="N421" s="1"/>
    </row>
    <row r="422" spans="1:14" x14ac:dyDescent="0.25">
      <c r="A422" s="1133" t="s">
        <v>2</v>
      </c>
      <c r="B422" s="1134" t="s">
        <v>175</v>
      </c>
      <c r="C422" s="1133" t="s">
        <v>4</v>
      </c>
      <c r="D422" s="1135" t="s">
        <v>5</v>
      </c>
      <c r="E422" s="1136"/>
      <c r="F422" s="1136"/>
      <c r="G422" s="1137" t="s">
        <v>6</v>
      </c>
      <c r="H422" s="1136"/>
      <c r="I422" s="1136"/>
      <c r="J422" s="1133" t="s">
        <v>7</v>
      </c>
      <c r="K422" s="198" t="s">
        <v>8</v>
      </c>
    </row>
    <row r="423" spans="1:14" x14ac:dyDescent="0.25">
      <c r="A423" s="1133"/>
      <c r="B423" s="1134"/>
      <c r="C423" s="1133"/>
      <c r="D423" s="198" t="s">
        <v>9</v>
      </c>
      <c r="E423" s="310" t="s">
        <v>10</v>
      </c>
      <c r="F423" s="310" t="s">
        <v>11</v>
      </c>
      <c r="G423" s="311" t="s">
        <v>12</v>
      </c>
      <c r="H423" s="310" t="s">
        <v>13</v>
      </c>
      <c r="I423" s="310" t="s">
        <v>11</v>
      </c>
      <c r="J423" s="1138"/>
      <c r="K423" s="192"/>
    </row>
    <row r="424" spans="1:14" x14ac:dyDescent="0.25">
      <c r="A424" s="1133"/>
      <c r="B424" s="1134"/>
      <c r="C424" s="1133"/>
      <c r="D424" s="197" t="s">
        <v>14</v>
      </c>
      <c r="E424" s="195" t="s">
        <v>14</v>
      </c>
      <c r="F424" s="195" t="s">
        <v>14</v>
      </c>
      <c r="G424" s="196" t="s">
        <v>15</v>
      </c>
      <c r="H424" s="195" t="s">
        <v>14</v>
      </c>
      <c r="I424" s="195" t="s">
        <v>14</v>
      </c>
      <c r="J424" s="197" t="s">
        <v>15</v>
      </c>
      <c r="K424" s="197"/>
    </row>
    <row r="425" spans="1:14" x14ac:dyDescent="0.25">
      <c r="A425" s="79" t="s">
        <v>185</v>
      </c>
      <c r="B425" s="199" t="s">
        <v>146</v>
      </c>
      <c r="C425" s="24"/>
      <c r="D425" s="10"/>
      <c r="E425" s="34"/>
      <c r="F425" s="34"/>
      <c r="G425" s="6"/>
      <c r="H425" s="34"/>
      <c r="I425" s="34"/>
      <c r="J425" s="10"/>
      <c r="K425" s="10"/>
    </row>
    <row r="426" spans="1:14" x14ac:dyDescent="0.25">
      <c r="A426" s="125" t="s">
        <v>184</v>
      </c>
      <c r="B426" s="280" t="s">
        <v>147</v>
      </c>
      <c r="C426" s="252">
        <f>SUM(C427:C428)</f>
        <v>1430900000</v>
      </c>
      <c r="D426" s="10"/>
      <c r="E426" s="34"/>
      <c r="F426" s="34"/>
      <c r="G426" s="6"/>
      <c r="H426" s="34"/>
      <c r="I426" s="34"/>
      <c r="J426" s="10"/>
      <c r="K426" s="10"/>
    </row>
    <row r="427" spans="1:14" ht="25.5" x14ac:dyDescent="0.25">
      <c r="A427" s="154" t="s">
        <v>44</v>
      </c>
      <c r="B427" s="707" t="s">
        <v>384</v>
      </c>
      <c r="C427" s="253">
        <v>30900000</v>
      </c>
      <c r="D427" s="134">
        <f>C427/C426*100</f>
        <v>2.1594800475225382</v>
      </c>
      <c r="E427" s="134">
        <f t="shared" ref="E427:E428" si="137">G427/C427*100</f>
        <v>65.4368932038835</v>
      </c>
      <c r="F427" s="134">
        <f t="shared" ref="F427:F428" si="138">(D427*E427)/100</f>
        <v>1.4130966524564961</v>
      </c>
      <c r="G427" s="181">
        <f>20220000</f>
        <v>20220000</v>
      </c>
      <c r="H427" s="134">
        <f t="shared" ref="H427:H428" si="139">G427/C427*100</f>
        <v>65.4368932038835</v>
      </c>
      <c r="I427" s="134">
        <f t="shared" ref="I427:I428" si="140">(D427*H427)/100</f>
        <v>1.4130966524564961</v>
      </c>
      <c r="J427" s="6">
        <f t="shared" ref="J427:J428" si="141">G427-C427</f>
        <v>-10680000</v>
      </c>
      <c r="K427" s="10"/>
    </row>
    <row r="428" spans="1:14" x14ac:dyDescent="0.25">
      <c r="A428" s="124" t="s">
        <v>148</v>
      </c>
      <c r="B428" s="133" t="s">
        <v>534</v>
      </c>
      <c r="C428" s="256">
        <v>1400000000</v>
      </c>
      <c r="D428" s="134">
        <f>C428/C426*100</f>
        <v>97.840519952477464</v>
      </c>
      <c r="E428" s="134">
        <f t="shared" si="137"/>
        <v>99.555000000000007</v>
      </c>
      <c r="F428" s="134">
        <f t="shared" si="138"/>
        <v>97.405129638688948</v>
      </c>
      <c r="G428" s="181">
        <f>425559463+968210537</f>
        <v>1393770000</v>
      </c>
      <c r="H428" s="134">
        <f t="shared" si="139"/>
        <v>99.555000000000007</v>
      </c>
      <c r="I428" s="134">
        <f t="shared" si="140"/>
        <v>97.405129638688948</v>
      </c>
      <c r="J428" s="6">
        <f t="shared" si="141"/>
        <v>-6230000</v>
      </c>
      <c r="K428" s="10"/>
    </row>
    <row r="429" spans="1:14" x14ac:dyDescent="0.25">
      <c r="A429" s="70"/>
      <c r="B429" s="129" t="s">
        <v>95</v>
      </c>
      <c r="C429" s="807">
        <f>SUM(C427:C428)</f>
        <v>1430900000</v>
      </c>
      <c r="D429" s="271">
        <f>SUM(D427:D428)</f>
        <v>100</v>
      </c>
      <c r="E429" s="134"/>
      <c r="F429" s="134"/>
      <c r="G429" s="181">
        <f>SUM(G427:G428)</f>
        <v>1413990000</v>
      </c>
      <c r="H429" s="134"/>
      <c r="I429" s="134"/>
      <c r="J429" s="56">
        <v>0</v>
      </c>
      <c r="K429" s="130"/>
    </row>
    <row r="430" spans="1:14" x14ac:dyDescent="0.25">
      <c r="A430" s="5"/>
      <c r="B430" s="5"/>
      <c r="C430" s="5"/>
      <c r="D430" s="29"/>
      <c r="E430" s="30"/>
      <c r="F430" s="31"/>
      <c r="G430" s="36"/>
      <c r="H430" s="32"/>
      <c r="I430" s="31"/>
      <c r="J430" s="36"/>
      <c r="K430" s="37"/>
    </row>
    <row r="431" spans="1:14" x14ac:dyDescent="0.25">
      <c r="A431" s="1133" t="s">
        <v>2</v>
      </c>
      <c r="B431" s="1134" t="s">
        <v>175</v>
      </c>
      <c r="C431" s="1133" t="s">
        <v>4</v>
      </c>
      <c r="D431" s="1135" t="s">
        <v>5</v>
      </c>
      <c r="E431" s="1136"/>
      <c r="F431" s="1136"/>
      <c r="G431" s="1137" t="s">
        <v>6</v>
      </c>
      <c r="H431" s="1136"/>
      <c r="I431" s="1136"/>
      <c r="J431" s="1133" t="s">
        <v>7</v>
      </c>
      <c r="K431" s="198" t="s">
        <v>8</v>
      </c>
    </row>
    <row r="432" spans="1:14" x14ac:dyDescent="0.25">
      <c r="A432" s="1133"/>
      <c r="B432" s="1134"/>
      <c r="C432" s="1133"/>
      <c r="D432" s="198" t="s">
        <v>9</v>
      </c>
      <c r="E432" s="310" t="s">
        <v>10</v>
      </c>
      <c r="F432" s="310" t="s">
        <v>11</v>
      </c>
      <c r="G432" s="311" t="s">
        <v>12</v>
      </c>
      <c r="H432" s="310" t="s">
        <v>13</v>
      </c>
      <c r="I432" s="310" t="s">
        <v>11</v>
      </c>
      <c r="J432" s="1138"/>
      <c r="K432" s="192"/>
    </row>
    <row r="433" spans="1:14" x14ac:dyDescent="0.25">
      <c r="A433" s="1133"/>
      <c r="B433" s="1134"/>
      <c r="C433" s="1133"/>
      <c r="D433" s="197" t="s">
        <v>14</v>
      </c>
      <c r="E433" s="195" t="s">
        <v>14</v>
      </c>
      <c r="F433" s="195" t="s">
        <v>14</v>
      </c>
      <c r="G433" s="196" t="s">
        <v>15</v>
      </c>
      <c r="H433" s="195" t="s">
        <v>14</v>
      </c>
      <c r="I433" s="195" t="s">
        <v>14</v>
      </c>
      <c r="J433" s="197" t="s">
        <v>15</v>
      </c>
      <c r="K433" s="197"/>
    </row>
    <row r="434" spans="1:14" x14ac:dyDescent="0.25">
      <c r="A434" s="79" t="s">
        <v>185</v>
      </c>
      <c r="B434" s="199" t="s">
        <v>146</v>
      </c>
      <c r="C434" s="24"/>
      <c r="D434" s="10"/>
      <c r="E434" s="34"/>
      <c r="F434" s="34"/>
      <c r="G434" s="6"/>
      <c r="H434" s="34"/>
      <c r="I434" s="34"/>
      <c r="J434" s="10"/>
      <c r="K434" s="10"/>
    </row>
    <row r="435" spans="1:14" x14ac:dyDescent="0.25">
      <c r="A435" s="125" t="s">
        <v>187</v>
      </c>
      <c r="B435" s="280" t="s">
        <v>156</v>
      </c>
      <c r="C435" s="252">
        <f>SUM(C436:C439)</f>
        <v>870474720</v>
      </c>
      <c r="D435" s="10"/>
      <c r="E435" s="14"/>
      <c r="F435" s="34"/>
      <c r="G435" s="6"/>
      <c r="H435" s="34"/>
      <c r="I435" s="34"/>
      <c r="J435" s="35"/>
      <c r="K435" s="10"/>
    </row>
    <row r="436" spans="1:14" ht="25.5" x14ac:dyDescent="0.25">
      <c r="A436" s="49" t="s">
        <v>59</v>
      </c>
      <c r="B436" s="707" t="s">
        <v>384</v>
      </c>
      <c r="C436" s="256">
        <v>26160000</v>
      </c>
      <c r="D436" s="34">
        <f>C436/C435*100</f>
        <v>3.0052567178516112</v>
      </c>
      <c r="E436" s="134">
        <f t="shared" ref="E436:E438" si="142">G436/C436*100</f>
        <v>65.481651376146786</v>
      </c>
      <c r="F436" s="134">
        <f t="shared" ref="F436:F438" si="143">(D436*E436)/100</f>
        <v>1.9678917269418232</v>
      </c>
      <c r="G436" s="181">
        <f>17130000</f>
        <v>17130000</v>
      </c>
      <c r="H436" s="134">
        <f t="shared" ref="H436:H438" si="144">G436/C436*100</f>
        <v>65.481651376146786</v>
      </c>
      <c r="I436" s="134">
        <f t="shared" ref="I436:I438" si="145">(D436*H436)/100</f>
        <v>1.9678917269418232</v>
      </c>
      <c r="J436" s="6">
        <f t="shared" ref="J436:J439" si="146">G436-C436</f>
        <v>-9030000</v>
      </c>
      <c r="K436" s="10"/>
    </row>
    <row r="437" spans="1:14" x14ac:dyDescent="0.25">
      <c r="A437" s="49" t="s">
        <v>148</v>
      </c>
      <c r="B437" s="133" t="s">
        <v>534</v>
      </c>
      <c r="C437" s="264">
        <v>600000000</v>
      </c>
      <c r="D437" s="134">
        <f>C437/C435*100</f>
        <v>68.927906372743365</v>
      </c>
      <c r="E437" s="134">
        <f t="shared" si="142"/>
        <v>83.998699999999999</v>
      </c>
      <c r="F437" s="134">
        <f t="shared" si="143"/>
        <v>57.898545290321579</v>
      </c>
      <c r="G437" s="181">
        <f>491742200+12250000</f>
        <v>503992200</v>
      </c>
      <c r="H437" s="134">
        <f t="shared" si="144"/>
        <v>83.998699999999999</v>
      </c>
      <c r="I437" s="134">
        <f t="shared" si="145"/>
        <v>57.898545290321579</v>
      </c>
      <c r="J437" s="6">
        <f t="shared" si="146"/>
        <v>-96007800</v>
      </c>
      <c r="K437" s="3"/>
    </row>
    <row r="438" spans="1:14" s="84" customFormat="1" ht="25.5" x14ac:dyDescent="0.2">
      <c r="A438" s="723" t="s">
        <v>152</v>
      </c>
      <c r="B438" s="133" t="s">
        <v>153</v>
      </c>
      <c r="C438" s="264">
        <v>240000000</v>
      </c>
      <c r="D438" s="134">
        <f>C438/C435*100</f>
        <v>27.571162549097352</v>
      </c>
      <c r="E438" s="134">
        <f t="shared" si="142"/>
        <v>66.666666666666657</v>
      </c>
      <c r="F438" s="134">
        <f t="shared" si="143"/>
        <v>18.380775032731563</v>
      </c>
      <c r="G438" s="181">
        <f>160000000</f>
        <v>160000000</v>
      </c>
      <c r="H438" s="134">
        <f t="shared" si="144"/>
        <v>66.666666666666657</v>
      </c>
      <c r="I438" s="134">
        <f t="shared" si="145"/>
        <v>18.380775032731563</v>
      </c>
      <c r="J438" s="6">
        <f t="shared" si="146"/>
        <v>-80000000</v>
      </c>
      <c r="K438" s="85"/>
    </row>
    <row r="439" spans="1:14" s="84" customFormat="1" x14ac:dyDescent="0.2">
      <c r="A439" s="749" t="s">
        <v>234</v>
      </c>
      <c r="B439" s="133" t="s">
        <v>522</v>
      </c>
      <c r="C439" s="264">
        <v>4314720</v>
      </c>
      <c r="D439" s="804"/>
      <c r="E439" s="134"/>
      <c r="F439" s="134"/>
      <c r="G439" s="181">
        <f>4314720</f>
        <v>4314720</v>
      </c>
      <c r="H439" s="134"/>
      <c r="I439" s="134"/>
      <c r="J439" s="6">
        <f t="shared" si="146"/>
        <v>0</v>
      </c>
      <c r="K439" s="823"/>
    </row>
    <row r="440" spans="1:14" x14ac:dyDescent="0.25">
      <c r="A440" s="73"/>
      <c r="B440" s="136" t="s">
        <v>154</v>
      </c>
      <c r="C440" s="824">
        <f>SUM(C436:C439)</f>
        <v>870474720</v>
      </c>
      <c r="D440" s="272">
        <f>SUM(D436:D438)</f>
        <v>99.504325639692325</v>
      </c>
      <c r="E440" s="134"/>
      <c r="F440" s="134"/>
      <c r="G440" s="181">
        <f>SUM(G436:G439)</f>
        <v>685436920</v>
      </c>
      <c r="H440" s="134"/>
      <c r="I440" s="134"/>
      <c r="J440" s="56">
        <v>0</v>
      </c>
      <c r="K440" s="40"/>
    </row>
    <row r="441" spans="1:14" x14ac:dyDescent="0.25">
      <c r="A441" s="50"/>
      <c r="B441" s="5"/>
      <c r="C441" s="50" t="s">
        <v>141</v>
      </c>
      <c r="D441" s="9"/>
      <c r="E441" s="23"/>
      <c r="F441" s="23"/>
      <c r="G441" s="11"/>
      <c r="H441" s="23"/>
      <c r="I441" s="23"/>
      <c r="J441" s="9"/>
      <c r="K441" s="9"/>
    </row>
    <row r="442" spans="1:14" x14ac:dyDescent="0.25">
      <c r="A442" s="50"/>
      <c r="B442" s="5"/>
      <c r="C442" s="50"/>
      <c r="D442" s="9"/>
      <c r="E442" s="23"/>
      <c r="F442" s="23"/>
      <c r="G442" s="11"/>
      <c r="H442" s="23"/>
      <c r="I442" s="23"/>
      <c r="J442" s="9"/>
      <c r="K442" s="9"/>
    </row>
    <row r="443" spans="1:14" x14ac:dyDescent="0.25">
      <c r="A443" s="1123" t="s">
        <v>2</v>
      </c>
      <c r="B443" s="1126" t="s">
        <v>171</v>
      </c>
      <c r="C443" s="1123" t="s">
        <v>4</v>
      </c>
      <c r="D443" s="1155" t="s">
        <v>5</v>
      </c>
      <c r="E443" s="1156"/>
      <c r="F443" s="1157"/>
      <c r="G443" s="1158" t="s">
        <v>6</v>
      </c>
      <c r="H443" s="1159"/>
      <c r="I443" s="1160"/>
      <c r="J443" s="1123" t="s">
        <v>7</v>
      </c>
      <c r="K443" s="289" t="s">
        <v>8</v>
      </c>
    </row>
    <row r="444" spans="1:14" x14ac:dyDescent="0.25">
      <c r="A444" s="1124"/>
      <c r="B444" s="1127"/>
      <c r="C444" s="1124"/>
      <c r="D444" s="289" t="s">
        <v>9</v>
      </c>
      <c r="E444" s="308" t="s">
        <v>10</v>
      </c>
      <c r="F444" s="308" t="s">
        <v>11</v>
      </c>
      <c r="G444" s="309" t="s">
        <v>12</v>
      </c>
      <c r="H444" s="308" t="s">
        <v>13</v>
      </c>
      <c r="I444" s="308" t="s">
        <v>11</v>
      </c>
      <c r="J444" s="1124"/>
      <c r="K444" s="115"/>
    </row>
    <row r="445" spans="1:14" x14ac:dyDescent="0.25">
      <c r="A445" s="1125"/>
      <c r="B445" s="1128"/>
      <c r="C445" s="1125"/>
      <c r="D445" s="118" t="s">
        <v>14</v>
      </c>
      <c r="E445" s="119" t="s">
        <v>14</v>
      </c>
      <c r="F445" s="119" t="s">
        <v>14</v>
      </c>
      <c r="G445" s="120" t="s">
        <v>15</v>
      </c>
      <c r="H445" s="119" t="s">
        <v>14</v>
      </c>
      <c r="I445" s="119" t="s">
        <v>14</v>
      </c>
      <c r="J445" s="118" t="s">
        <v>15</v>
      </c>
      <c r="K445" s="118"/>
    </row>
    <row r="446" spans="1:14" ht="25.5" x14ac:dyDescent="0.25">
      <c r="A446" s="79" t="s">
        <v>180</v>
      </c>
      <c r="B446" s="696" t="s">
        <v>379</v>
      </c>
      <c r="C446" s="128"/>
      <c r="D446" s="10"/>
      <c r="E446" s="34"/>
      <c r="F446" s="34"/>
      <c r="G446" s="6"/>
      <c r="H446" s="34"/>
      <c r="I446" s="34"/>
      <c r="J446" s="10"/>
      <c r="K446" s="10"/>
    </row>
    <row r="447" spans="1:14" ht="25.5" x14ac:dyDescent="0.25">
      <c r="A447" s="158" t="s">
        <v>181</v>
      </c>
      <c r="B447" s="697" t="s">
        <v>380</v>
      </c>
      <c r="C447" s="265">
        <f>SUM(C448:C464)</f>
        <v>235000000</v>
      </c>
      <c r="D447" s="10"/>
      <c r="E447" s="34"/>
      <c r="F447" s="34"/>
      <c r="G447" s="6"/>
      <c r="H447" s="34"/>
      <c r="I447" s="34"/>
      <c r="J447" s="10"/>
      <c r="K447" s="10"/>
    </row>
    <row r="448" spans="1:14" ht="25.5" x14ac:dyDescent="0.25">
      <c r="A448" s="74" t="s">
        <v>44</v>
      </c>
      <c r="B448" s="707" t="s">
        <v>384</v>
      </c>
      <c r="C448" s="266">
        <v>8580000</v>
      </c>
      <c r="D448" s="134">
        <f>C448/C447*100</f>
        <v>3.6510638297872342</v>
      </c>
      <c r="E448" s="134">
        <f t="shared" ref="E448:E458" si="147">G448/C448*100</f>
        <v>100</v>
      </c>
      <c r="F448" s="134">
        <f t="shared" ref="F448:F458" si="148">(D448*E448)/100</f>
        <v>3.6510638297872346</v>
      </c>
      <c r="G448" s="181">
        <f>8580000</f>
        <v>8580000</v>
      </c>
      <c r="H448" s="134">
        <f t="shared" ref="H448:H458" si="149">G448/C448*100</f>
        <v>100</v>
      </c>
      <c r="I448" s="134">
        <f t="shared" ref="I448:I458" si="150">(D448*H448)/100</f>
        <v>3.6510638297872346</v>
      </c>
      <c r="J448" s="6">
        <f t="shared" ref="J448:J461" si="151">G448-C448</f>
        <v>0</v>
      </c>
      <c r="K448" s="10"/>
      <c r="L448" s="1"/>
      <c r="M448" s="1"/>
      <c r="N448" s="25"/>
    </row>
    <row r="449" spans="1:14" x14ac:dyDescent="0.25">
      <c r="A449" s="74" t="s">
        <v>448</v>
      </c>
      <c r="B449" s="707" t="s">
        <v>578</v>
      </c>
      <c r="C449" s="266">
        <v>510000</v>
      </c>
      <c r="D449" s="134"/>
      <c r="E449" s="134"/>
      <c r="F449" s="134"/>
      <c r="G449" s="181"/>
      <c r="H449" s="134"/>
      <c r="I449" s="134"/>
      <c r="J449" s="6"/>
      <c r="K449" s="10"/>
      <c r="L449" s="1"/>
      <c r="M449" s="1"/>
      <c r="N449" s="25"/>
    </row>
    <row r="450" spans="1:14" x14ac:dyDescent="0.25">
      <c r="A450" s="74" t="s">
        <v>59</v>
      </c>
      <c r="B450" s="707" t="s">
        <v>197</v>
      </c>
      <c r="C450" s="266">
        <v>14570000</v>
      </c>
      <c r="D450" s="134">
        <f>C450/C447*100</f>
        <v>6.2</v>
      </c>
      <c r="E450" s="134">
        <f t="shared" si="147"/>
        <v>75.900823610157858</v>
      </c>
      <c r="F450" s="134">
        <f t="shared" si="148"/>
        <v>4.7058510638297868</v>
      </c>
      <c r="G450" s="181">
        <f>11058750</f>
        <v>11058750</v>
      </c>
      <c r="H450" s="134">
        <f t="shared" si="149"/>
        <v>75.900823610157858</v>
      </c>
      <c r="I450" s="134">
        <f t="shared" si="150"/>
        <v>4.7058510638297868</v>
      </c>
      <c r="J450" s="6">
        <f t="shared" si="151"/>
        <v>-3511250</v>
      </c>
      <c r="K450" s="10"/>
      <c r="L450" s="1"/>
      <c r="M450" s="1"/>
      <c r="N450" s="1"/>
    </row>
    <row r="451" spans="1:14" x14ac:dyDescent="0.25">
      <c r="A451" s="74" t="s">
        <v>62</v>
      </c>
      <c r="B451" s="707" t="s">
        <v>334</v>
      </c>
      <c r="C451" s="266">
        <v>9840000</v>
      </c>
      <c r="D451" s="134">
        <f>C451/C447*100</f>
        <v>4.1872340425531913</v>
      </c>
      <c r="E451" s="134">
        <f t="shared" si="147"/>
        <v>72.865853658536579</v>
      </c>
      <c r="F451" s="134">
        <f t="shared" si="148"/>
        <v>3.0510638297872337</v>
      </c>
      <c r="G451" s="181">
        <f>7170000</f>
        <v>7170000</v>
      </c>
      <c r="H451" s="134">
        <f t="shared" si="149"/>
        <v>72.865853658536579</v>
      </c>
      <c r="I451" s="134">
        <f t="shared" si="150"/>
        <v>3.0510638297872337</v>
      </c>
      <c r="J451" s="6">
        <f t="shared" si="151"/>
        <v>-2670000</v>
      </c>
      <c r="K451" s="10"/>
      <c r="L451" s="1"/>
      <c r="M451" s="1"/>
      <c r="N451" s="1"/>
    </row>
    <row r="452" spans="1:14" ht="25.5" x14ac:dyDescent="0.25">
      <c r="A452" s="49" t="s">
        <v>193</v>
      </c>
      <c r="B452" s="707" t="s">
        <v>537</v>
      </c>
      <c r="C452" s="266">
        <v>5250000</v>
      </c>
      <c r="D452" s="134"/>
      <c r="E452" s="134"/>
      <c r="F452" s="134"/>
      <c r="G452" s="181">
        <f>5250000</f>
        <v>5250000</v>
      </c>
      <c r="H452" s="134"/>
      <c r="I452" s="134"/>
      <c r="J452" s="6">
        <f t="shared" si="151"/>
        <v>0</v>
      </c>
      <c r="K452" s="10"/>
      <c r="L452" s="1"/>
      <c r="M452" s="1"/>
      <c r="N452" s="1"/>
    </row>
    <row r="453" spans="1:14" x14ac:dyDescent="0.25">
      <c r="A453" s="49" t="s">
        <v>148</v>
      </c>
      <c r="B453" s="133" t="s">
        <v>534</v>
      </c>
      <c r="C453" s="266">
        <v>8000000</v>
      </c>
      <c r="D453" s="134"/>
      <c r="E453" s="134"/>
      <c r="F453" s="134"/>
      <c r="G453" s="181">
        <f>8000000</f>
        <v>8000000</v>
      </c>
      <c r="H453" s="134"/>
      <c r="I453" s="134"/>
      <c r="J453" s="6">
        <f t="shared" si="151"/>
        <v>0</v>
      </c>
      <c r="K453" s="10"/>
      <c r="L453" s="1"/>
      <c r="M453" s="1"/>
      <c r="N453" s="1"/>
    </row>
    <row r="454" spans="1:14" x14ac:dyDescent="0.25">
      <c r="A454" s="49" t="s">
        <v>579</v>
      </c>
      <c r="B454" s="133" t="s">
        <v>580</v>
      </c>
      <c r="C454" s="266">
        <v>5100000</v>
      </c>
      <c r="D454" s="134"/>
      <c r="E454" s="134"/>
      <c r="F454" s="134"/>
      <c r="G454" s="181"/>
      <c r="H454" s="134"/>
      <c r="I454" s="134"/>
      <c r="J454" s="6"/>
      <c r="K454" s="10"/>
      <c r="L454" s="1"/>
      <c r="M454" s="1"/>
      <c r="N454" s="1"/>
    </row>
    <row r="455" spans="1:14" x14ac:dyDescent="0.25">
      <c r="A455" s="74" t="s">
        <v>77</v>
      </c>
      <c r="B455" s="49" t="s">
        <v>143</v>
      </c>
      <c r="C455" s="266">
        <v>69700000</v>
      </c>
      <c r="D455" s="134">
        <f>C455/C447*100</f>
        <v>29.659574468085104</v>
      </c>
      <c r="E455" s="134">
        <f t="shared" si="147"/>
        <v>85.179340028694412</v>
      </c>
      <c r="F455" s="134">
        <f t="shared" si="148"/>
        <v>25.263829787234044</v>
      </c>
      <c r="G455" s="181">
        <f>59370000</f>
        <v>59370000</v>
      </c>
      <c r="H455" s="134">
        <f t="shared" si="149"/>
        <v>85.179340028694412</v>
      </c>
      <c r="I455" s="134">
        <f t="shared" si="150"/>
        <v>25.263829787234044</v>
      </c>
      <c r="J455" s="6">
        <f t="shared" si="151"/>
        <v>-10330000</v>
      </c>
      <c r="K455" s="10"/>
      <c r="L455" s="1"/>
      <c r="M455" s="1"/>
      <c r="N455" s="1"/>
    </row>
    <row r="456" spans="1:14" x14ac:dyDescent="0.25">
      <c r="A456" s="314" t="s">
        <v>183</v>
      </c>
      <c r="B456" s="49" t="s">
        <v>417</v>
      </c>
      <c r="C456" s="266">
        <v>20150000</v>
      </c>
      <c r="D456" s="134"/>
      <c r="E456" s="134"/>
      <c r="F456" s="134"/>
      <c r="G456" s="181">
        <f>4600000</f>
        <v>4600000</v>
      </c>
      <c r="H456" s="134"/>
      <c r="I456" s="134"/>
      <c r="J456" s="6">
        <f t="shared" si="151"/>
        <v>-15550000</v>
      </c>
      <c r="K456" s="10"/>
      <c r="L456" s="1"/>
      <c r="M456" s="1"/>
      <c r="N456" s="1"/>
    </row>
    <row r="457" spans="1:14" x14ac:dyDescent="0.25">
      <c r="A457" s="74" t="s">
        <v>186</v>
      </c>
      <c r="B457" s="170" t="s">
        <v>182</v>
      </c>
      <c r="C457" s="266">
        <v>31000000</v>
      </c>
      <c r="D457" s="134">
        <f>C457/C447*100</f>
        <v>13.191489361702127</v>
      </c>
      <c r="E457" s="134">
        <f t="shared" si="147"/>
        <v>100</v>
      </c>
      <c r="F457" s="134">
        <f t="shared" si="148"/>
        <v>13.191489361702127</v>
      </c>
      <c r="G457" s="181">
        <f>31000000</f>
        <v>31000000</v>
      </c>
      <c r="H457" s="134">
        <f t="shared" si="149"/>
        <v>100</v>
      </c>
      <c r="I457" s="134">
        <f t="shared" si="150"/>
        <v>13.191489361702127</v>
      </c>
      <c r="J457" s="6">
        <f t="shared" si="151"/>
        <v>0</v>
      </c>
      <c r="K457" s="10"/>
      <c r="L457" s="1"/>
      <c r="M457" s="1"/>
      <c r="N457" s="1"/>
    </row>
    <row r="458" spans="1:14" ht="25.5" x14ac:dyDescent="0.25">
      <c r="A458" s="74" t="s">
        <v>106</v>
      </c>
      <c r="B458" s="316" t="s">
        <v>375</v>
      </c>
      <c r="C458" s="266">
        <v>15300000</v>
      </c>
      <c r="D458" s="134">
        <f>C458/C447*100</f>
        <v>6.5106382978723403</v>
      </c>
      <c r="E458" s="134">
        <f t="shared" si="147"/>
        <v>86.928104575163403</v>
      </c>
      <c r="F458" s="134">
        <f t="shared" si="148"/>
        <v>5.6595744680851068</v>
      </c>
      <c r="G458" s="181">
        <f>13300000</f>
        <v>13300000</v>
      </c>
      <c r="H458" s="134">
        <f t="shared" si="149"/>
        <v>86.928104575163403</v>
      </c>
      <c r="I458" s="134">
        <f t="shared" si="150"/>
        <v>5.6595744680851068</v>
      </c>
      <c r="J458" s="6">
        <f t="shared" si="151"/>
        <v>-2000000</v>
      </c>
      <c r="K458" s="10"/>
      <c r="L458" s="1"/>
      <c r="M458" s="1"/>
      <c r="N458" s="1"/>
    </row>
    <row r="459" spans="1:14" x14ac:dyDescent="0.25">
      <c r="A459" s="755" t="s">
        <v>116</v>
      </c>
      <c r="B459" s="316" t="s">
        <v>538</v>
      </c>
      <c r="C459" s="266">
        <v>2000000</v>
      </c>
      <c r="D459" s="134">
        <f>C459/C448*100</f>
        <v>23.310023310023308</v>
      </c>
      <c r="E459" s="134"/>
      <c r="F459" s="134"/>
      <c r="G459" s="181">
        <f>2000000</f>
        <v>2000000</v>
      </c>
      <c r="H459" s="134"/>
      <c r="I459" s="134"/>
      <c r="J459" s="6">
        <f t="shared" si="151"/>
        <v>0</v>
      </c>
      <c r="K459" s="10"/>
      <c r="L459" s="1"/>
      <c r="M459" s="1"/>
      <c r="N459" s="1"/>
    </row>
    <row r="460" spans="1:14" x14ac:dyDescent="0.25">
      <c r="A460" s="755" t="s">
        <v>521</v>
      </c>
      <c r="B460" s="316" t="s">
        <v>539</v>
      </c>
      <c r="C460" s="266">
        <v>2000000</v>
      </c>
      <c r="D460" s="134"/>
      <c r="E460" s="134"/>
      <c r="F460" s="134"/>
      <c r="G460" s="181">
        <f>2000000</f>
        <v>2000000</v>
      </c>
      <c r="H460" s="134"/>
      <c r="I460" s="134"/>
      <c r="J460" s="6">
        <f t="shared" si="151"/>
        <v>0</v>
      </c>
      <c r="K460" s="10"/>
      <c r="L460" s="1"/>
      <c r="M460" s="1"/>
      <c r="N460" s="1"/>
    </row>
    <row r="461" spans="1:14" x14ac:dyDescent="0.25">
      <c r="A461" s="755" t="s">
        <v>65</v>
      </c>
      <c r="B461" s="316" t="s">
        <v>190</v>
      </c>
      <c r="C461" s="266">
        <v>7000000</v>
      </c>
      <c r="D461" s="134"/>
      <c r="E461" s="134"/>
      <c r="F461" s="134"/>
      <c r="G461" s="181">
        <f>6932360</f>
        <v>6932360</v>
      </c>
      <c r="H461" s="134"/>
      <c r="I461" s="134"/>
      <c r="J461" s="6">
        <f t="shared" si="151"/>
        <v>-67640</v>
      </c>
      <c r="K461" s="10"/>
      <c r="L461" s="1"/>
      <c r="M461" s="1"/>
      <c r="N461" s="1"/>
    </row>
    <row r="462" spans="1:14" x14ac:dyDescent="0.25">
      <c r="A462" s="74" t="s">
        <v>582</v>
      </c>
      <c r="B462" s="316" t="s">
        <v>581</v>
      </c>
      <c r="C462" s="266">
        <v>5000000</v>
      </c>
      <c r="D462" s="134"/>
      <c r="E462" s="134"/>
      <c r="F462" s="134"/>
      <c r="G462" s="181"/>
      <c r="H462" s="134"/>
      <c r="I462" s="134"/>
      <c r="J462" s="6"/>
      <c r="K462" s="10"/>
      <c r="L462" s="1"/>
      <c r="M462" s="1"/>
      <c r="N462" s="1"/>
    </row>
    <row r="463" spans="1:14" x14ac:dyDescent="0.25">
      <c r="A463" s="74" t="s">
        <v>584</v>
      </c>
      <c r="B463" s="316" t="s">
        <v>583</v>
      </c>
      <c r="C463" s="266">
        <v>17500000</v>
      </c>
      <c r="D463" s="134"/>
      <c r="E463" s="134"/>
      <c r="F463" s="134"/>
      <c r="G463" s="181"/>
      <c r="H463" s="134"/>
      <c r="I463" s="134"/>
      <c r="J463" s="6"/>
      <c r="K463" s="10"/>
      <c r="L463" s="1"/>
      <c r="M463" s="1"/>
      <c r="N463" s="1"/>
    </row>
    <row r="464" spans="1:14" x14ac:dyDescent="0.25">
      <c r="A464" s="74" t="s">
        <v>586</v>
      </c>
      <c r="B464" s="316" t="s">
        <v>585</v>
      </c>
      <c r="C464" s="266">
        <v>13500000</v>
      </c>
      <c r="D464" s="134"/>
      <c r="E464" s="134"/>
      <c r="F464" s="134"/>
      <c r="G464" s="181"/>
      <c r="H464" s="134"/>
      <c r="I464" s="134"/>
      <c r="J464" s="6"/>
      <c r="K464" s="10"/>
      <c r="L464" s="1"/>
      <c r="M464" s="1"/>
      <c r="N464" s="1"/>
    </row>
    <row r="465" spans="1:14" x14ac:dyDescent="0.25">
      <c r="A465" s="1152" t="s">
        <v>128</v>
      </c>
      <c r="B465" s="1154"/>
      <c r="C465" s="923">
        <f>SUM(C448:C464)</f>
        <v>235000000</v>
      </c>
      <c r="D465" s="273">
        <f>SUM(D448:D458)</f>
        <v>63.4</v>
      </c>
      <c r="E465" s="134"/>
      <c r="F465" s="134"/>
      <c r="G465" s="13">
        <f>SUM(G448:G464)</f>
        <v>159261110</v>
      </c>
      <c r="H465" s="134"/>
      <c r="I465" s="134"/>
      <c r="J465" s="56">
        <v>0</v>
      </c>
      <c r="K465" s="12"/>
      <c r="L465" s="9"/>
      <c r="M465" s="9"/>
      <c r="N465" s="9"/>
    </row>
    <row r="466" spans="1:14" x14ac:dyDescent="0.25">
      <c r="A466" s="5"/>
      <c r="B466" s="5"/>
      <c r="C466" s="65"/>
      <c r="D466" s="66"/>
      <c r="E466" s="30"/>
      <c r="F466" s="31"/>
      <c r="G466" s="36"/>
      <c r="H466" s="30"/>
      <c r="I466" s="31"/>
      <c r="J466" s="33"/>
      <c r="K466" s="29"/>
      <c r="L466" s="9"/>
      <c r="M466" s="9"/>
      <c r="N466" s="9"/>
    </row>
    <row r="467" spans="1:14" ht="31.5" x14ac:dyDescent="0.25">
      <c r="A467" s="55"/>
      <c r="B467" s="46" t="s">
        <v>145</v>
      </c>
      <c r="C467" s="155"/>
      <c r="D467" s="44"/>
      <c r="E467" s="45"/>
      <c r="F467" s="45"/>
      <c r="G467" s="48"/>
      <c r="H467" s="45"/>
      <c r="I467" s="45"/>
      <c r="J467" s="44"/>
      <c r="K467" s="44"/>
      <c r="L467" s="1"/>
      <c r="M467" s="1"/>
      <c r="N467" s="1"/>
    </row>
    <row r="468" spans="1:14" x14ac:dyDescent="0.25">
      <c r="A468" s="1119" t="s">
        <v>2</v>
      </c>
      <c r="B468" s="1120" t="s">
        <v>171</v>
      </c>
      <c r="C468" s="1119" t="s">
        <v>4</v>
      </c>
      <c r="D468" s="1121" t="s">
        <v>5</v>
      </c>
      <c r="E468" s="1132"/>
      <c r="F468" s="1132"/>
      <c r="G468" s="1122" t="s">
        <v>6</v>
      </c>
      <c r="H468" s="1132"/>
      <c r="I468" s="1132"/>
      <c r="J468" s="1119" t="s">
        <v>7</v>
      </c>
      <c r="K468" s="289" t="s">
        <v>8</v>
      </c>
      <c r="L468" s="1"/>
      <c r="M468" s="1"/>
    </row>
    <row r="469" spans="1:14" x14ac:dyDescent="0.25">
      <c r="A469" s="1119"/>
      <c r="B469" s="1120"/>
      <c r="C469" s="1119"/>
      <c r="D469" s="289" t="s">
        <v>9</v>
      </c>
      <c r="E469" s="308" t="s">
        <v>10</v>
      </c>
      <c r="F469" s="308" t="s">
        <v>11</v>
      </c>
      <c r="G469" s="309" t="s">
        <v>12</v>
      </c>
      <c r="H469" s="308" t="s">
        <v>13</v>
      </c>
      <c r="I469" s="308" t="s">
        <v>11</v>
      </c>
      <c r="J469" s="1123"/>
      <c r="K469" s="115"/>
      <c r="L469" s="1"/>
      <c r="M469" s="1"/>
    </row>
    <row r="470" spans="1:14" x14ac:dyDescent="0.25">
      <c r="A470" s="1119"/>
      <c r="B470" s="1120"/>
      <c r="C470" s="1119"/>
      <c r="D470" s="118" t="s">
        <v>14</v>
      </c>
      <c r="E470" s="119" t="s">
        <v>14</v>
      </c>
      <c r="F470" s="119" t="s">
        <v>14</v>
      </c>
      <c r="G470" s="120" t="s">
        <v>15</v>
      </c>
      <c r="H470" s="119" t="s">
        <v>14</v>
      </c>
      <c r="I470" s="119" t="s">
        <v>14</v>
      </c>
      <c r="J470" s="118" t="s">
        <v>15</v>
      </c>
      <c r="K470" s="118"/>
      <c r="L470" s="1"/>
      <c r="M470" s="1"/>
    </row>
    <row r="471" spans="1:14" x14ac:dyDescent="0.25">
      <c r="A471" s="79" t="s">
        <v>185</v>
      </c>
      <c r="B471" s="199" t="s">
        <v>146</v>
      </c>
      <c r="C471" s="24"/>
      <c r="D471" s="10"/>
      <c r="E471" s="34"/>
      <c r="F471" s="34"/>
      <c r="G471" s="6"/>
      <c r="H471" s="34"/>
      <c r="I471" s="34"/>
      <c r="J471" s="10"/>
      <c r="K471" s="10"/>
      <c r="L471" s="1"/>
      <c r="M471" s="25"/>
    </row>
    <row r="472" spans="1:14" x14ac:dyDescent="0.25">
      <c r="A472" s="125" t="s">
        <v>184</v>
      </c>
      <c r="B472" s="280" t="s">
        <v>147</v>
      </c>
      <c r="C472" s="252">
        <f>SUM(C473:C474)</f>
        <v>5850440000</v>
      </c>
      <c r="D472" s="10"/>
      <c r="E472" s="34"/>
      <c r="F472" s="34"/>
      <c r="G472" s="6"/>
      <c r="H472" s="34"/>
      <c r="I472" s="34"/>
      <c r="J472" s="10"/>
      <c r="K472" s="10"/>
      <c r="L472" s="1"/>
      <c r="M472" s="1"/>
    </row>
    <row r="473" spans="1:14" x14ac:dyDescent="0.25">
      <c r="A473" s="154" t="s">
        <v>413</v>
      </c>
      <c r="B473" s="707" t="s">
        <v>414</v>
      </c>
      <c r="C473" s="253">
        <v>40440000</v>
      </c>
      <c r="D473" s="134" t="e">
        <f>C473/#REF!*100</f>
        <v>#REF!</v>
      </c>
      <c r="E473" s="134"/>
      <c r="F473" s="134"/>
      <c r="G473" s="181">
        <v>0</v>
      </c>
      <c r="H473" s="134"/>
      <c r="I473" s="134"/>
      <c r="J473" s="6">
        <f t="shared" ref="J473:J474" si="152">G473-C473</f>
        <v>-40440000</v>
      </c>
      <c r="K473" s="10"/>
      <c r="L473" s="1"/>
      <c r="M473" s="1"/>
    </row>
    <row r="474" spans="1:14" x14ac:dyDescent="0.25">
      <c r="A474" s="124" t="s">
        <v>148</v>
      </c>
      <c r="B474" s="133" t="s">
        <v>534</v>
      </c>
      <c r="C474" s="256">
        <v>5810000000</v>
      </c>
      <c r="D474" s="134">
        <f>C474/C472*100</f>
        <v>99.308769938671276</v>
      </c>
      <c r="E474" s="134">
        <f t="shared" ref="E474" si="153">G474/C474*100</f>
        <v>90.744406196213419</v>
      </c>
      <c r="F474" s="134">
        <f t="shared" ref="F474" si="154">(D474*E474)/100</f>
        <v>90.11715358161095</v>
      </c>
      <c r="G474" s="181">
        <f>1635180000+3637070000</f>
        <v>5272250000</v>
      </c>
      <c r="H474" s="134">
        <f t="shared" ref="H474" si="155">G474/C474*100</f>
        <v>90.744406196213419</v>
      </c>
      <c r="I474" s="134">
        <f t="shared" ref="I474" si="156">(D474*H474)/100</f>
        <v>90.11715358161095</v>
      </c>
      <c r="J474" s="6">
        <f t="shared" si="152"/>
        <v>-537750000</v>
      </c>
      <c r="K474" s="10"/>
      <c r="L474" s="1"/>
      <c r="M474" s="1"/>
    </row>
    <row r="475" spans="1:14" x14ac:dyDescent="0.25">
      <c r="A475" s="72"/>
      <c r="B475" s="136" t="s">
        <v>154</v>
      </c>
      <c r="C475" s="808">
        <f>SUM(C473:C474)</f>
        <v>5850440000</v>
      </c>
      <c r="D475" s="271" t="e">
        <f>SUM(D473:D474)</f>
        <v>#REF!</v>
      </c>
      <c r="E475" s="134"/>
      <c r="F475" s="134"/>
      <c r="G475" s="181">
        <f>SUM(G473:G474)</f>
        <v>5272250000</v>
      </c>
      <c r="H475" s="134"/>
      <c r="I475" s="134"/>
      <c r="J475" s="56">
        <v>0</v>
      </c>
      <c r="K475" s="130"/>
      <c r="L475" s="1"/>
      <c r="M475" s="1"/>
    </row>
    <row r="476" spans="1:14" x14ac:dyDescent="0.25">
      <c r="A476" s="5"/>
      <c r="B476" s="5"/>
      <c r="C476" s="65"/>
      <c r="D476" s="66"/>
      <c r="E476" s="30"/>
      <c r="F476" s="31"/>
      <c r="G476" s="36"/>
      <c r="H476" s="30"/>
      <c r="I476" s="31"/>
      <c r="J476" s="33"/>
      <c r="K476" s="29"/>
      <c r="L476" s="9"/>
      <c r="M476" s="9"/>
      <c r="N476" s="9"/>
    </row>
    <row r="477" spans="1:14" x14ac:dyDescent="0.25">
      <c r="A477" s="1119" t="s">
        <v>2</v>
      </c>
      <c r="B477" s="1120" t="s">
        <v>171</v>
      </c>
      <c r="C477" s="1119" t="s">
        <v>4</v>
      </c>
      <c r="D477" s="1121" t="s">
        <v>5</v>
      </c>
      <c r="E477" s="1132"/>
      <c r="F477" s="1132"/>
      <c r="G477" s="1122" t="s">
        <v>6</v>
      </c>
      <c r="H477" s="1132"/>
      <c r="I477" s="1132"/>
      <c r="J477" s="1119" t="s">
        <v>7</v>
      </c>
      <c r="K477" s="289" t="s">
        <v>8</v>
      </c>
      <c r="L477" s="1"/>
      <c r="M477" s="1"/>
    </row>
    <row r="478" spans="1:14" x14ac:dyDescent="0.25">
      <c r="A478" s="1119"/>
      <c r="B478" s="1120"/>
      <c r="C478" s="1119"/>
      <c r="D478" s="289" t="s">
        <v>9</v>
      </c>
      <c r="E478" s="308" t="s">
        <v>10</v>
      </c>
      <c r="F478" s="308" t="s">
        <v>11</v>
      </c>
      <c r="G478" s="309" t="s">
        <v>12</v>
      </c>
      <c r="H478" s="308" t="s">
        <v>13</v>
      </c>
      <c r="I478" s="308" t="s">
        <v>11</v>
      </c>
      <c r="J478" s="1123"/>
      <c r="K478" s="115"/>
      <c r="L478" s="1"/>
      <c r="M478" s="1"/>
    </row>
    <row r="479" spans="1:14" x14ac:dyDescent="0.25">
      <c r="A479" s="1119"/>
      <c r="B479" s="1120"/>
      <c r="C479" s="1119"/>
      <c r="D479" s="118" t="s">
        <v>14</v>
      </c>
      <c r="E479" s="119" t="s">
        <v>14</v>
      </c>
      <c r="F479" s="119" t="s">
        <v>14</v>
      </c>
      <c r="G479" s="120" t="s">
        <v>15</v>
      </c>
      <c r="H479" s="119" t="s">
        <v>14</v>
      </c>
      <c r="I479" s="119" t="s">
        <v>14</v>
      </c>
      <c r="J479" s="118" t="s">
        <v>15</v>
      </c>
      <c r="K479" s="118"/>
      <c r="L479" s="1"/>
      <c r="M479" s="1"/>
    </row>
    <row r="480" spans="1:14" x14ac:dyDescent="0.25">
      <c r="A480" s="79" t="s">
        <v>185</v>
      </c>
      <c r="B480" s="199" t="s">
        <v>146</v>
      </c>
      <c r="C480" s="24"/>
      <c r="D480" s="10"/>
      <c r="E480" s="34"/>
      <c r="F480" s="34"/>
      <c r="G480" s="6"/>
      <c r="H480" s="34"/>
      <c r="I480" s="34"/>
      <c r="J480" s="10"/>
      <c r="K480" s="10"/>
      <c r="L480" s="1"/>
      <c r="M480" s="1"/>
    </row>
    <row r="481" spans="1:13" x14ac:dyDescent="0.25">
      <c r="A481" s="125" t="s">
        <v>187</v>
      </c>
      <c r="B481" s="280" t="s">
        <v>164</v>
      </c>
      <c r="C481" s="252">
        <f>SUM(C482:C488)</f>
        <v>3593637888</v>
      </c>
      <c r="D481" s="10"/>
      <c r="E481" s="34"/>
      <c r="F481" s="34"/>
      <c r="G481" s="6"/>
      <c r="H481" s="34"/>
      <c r="I481" s="34"/>
      <c r="J481" s="10"/>
      <c r="K481" s="10"/>
      <c r="L481" s="1"/>
      <c r="M481" s="1"/>
    </row>
    <row r="482" spans="1:13" ht="25.5" x14ac:dyDescent="0.25">
      <c r="A482" s="154" t="s">
        <v>44</v>
      </c>
      <c r="B482" s="707" t="s">
        <v>384</v>
      </c>
      <c r="C482" s="253">
        <v>35255000</v>
      </c>
      <c r="D482" s="134">
        <f>C482/C481*100</f>
        <v>0.98103930052954746</v>
      </c>
      <c r="E482" s="134">
        <f t="shared" ref="E482:E485" si="157">G482/C482*100</f>
        <v>0</v>
      </c>
      <c r="F482" s="134">
        <f t="shared" ref="F482:F485" si="158">(D482*E482)/100</f>
        <v>0</v>
      </c>
      <c r="G482" s="181">
        <v>0</v>
      </c>
      <c r="H482" s="134">
        <f t="shared" ref="H482:H485" si="159">G482/C482*100</f>
        <v>0</v>
      </c>
      <c r="I482" s="134">
        <f t="shared" ref="I482:I485" si="160">(D482*H482)/100</f>
        <v>0</v>
      </c>
      <c r="J482" s="6">
        <f t="shared" ref="J482:J486" si="161">G482-C482</f>
        <v>-35255000</v>
      </c>
      <c r="K482" s="10"/>
      <c r="L482" s="1"/>
      <c r="M482" s="1"/>
    </row>
    <row r="483" spans="1:13" x14ac:dyDescent="0.25">
      <c r="A483" s="154" t="s">
        <v>413</v>
      </c>
      <c r="B483" s="707" t="s">
        <v>414</v>
      </c>
      <c r="C483" s="253">
        <v>385000</v>
      </c>
      <c r="D483" s="134"/>
      <c r="E483" s="134"/>
      <c r="F483" s="134"/>
      <c r="G483" s="181">
        <v>0</v>
      </c>
      <c r="H483" s="134"/>
      <c r="I483" s="134"/>
      <c r="J483" s="6">
        <f t="shared" si="161"/>
        <v>-385000</v>
      </c>
      <c r="K483" s="10"/>
      <c r="L483" s="1"/>
      <c r="M483" s="1"/>
    </row>
    <row r="484" spans="1:13" x14ac:dyDescent="0.25">
      <c r="A484" s="124" t="s">
        <v>148</v>
      </c>
      <c r="B484" s="133" t="s">
        <v>534</v>
      </c>
      <c r="C484" s="256">
        <v>2490000000</v>
      </c>
      <c r="D484" s="134">
        <f>C484/C481*100</f>
        <v>69.289118091577734</v>
      </c>
      <c r="E484" s="134">
        <f t="shared" si="157"/>
        <v>83.858594377510045</v>
      </c>
      <c r="F484" s="134">
        <f t="shared" si="158"/>
        <v>58.104880488170103</v>
      </c>
      <c r="G484" s="181">
        <f>1123209800+964869200</f>
        <v>2088079000</v>
      </c>
      <c r="H484" s="134">
        <f t="shared" si="159"/>
        <v>83.858594377510045</v>
      </c>
      <c r="I484" s="134">
        <f t="shared" si="160"/>
        <v>58.104880488170103</v>
      </c>
      <c r="J484" s="6">
        <f t="shared" si="161"/>
        <v>-401921000</v>
      </c>
      <c r="K484" s="10"/>
    </row>
    <row r="485" spans="1:13" s="84" customFormat="1" ht="25.5" x14ac:dyDescent="0.2">
      <c r="A485" s="124" t="s">
        <v>152</v>
      </c>
      <c r="B485" s="133" t="s">
        <v>166</v>
      </c>
      <c r="C485" s="256">
        <v>996000000</v>
      </c>
      <c r="D485" s="134">
        <f>C485/C481*100</f>
        <v>27.715647236631092</v>
      </c>
      <c r="E485" s="134">
        <f t="shared" si="157"/>
        <v>75</v>
      </c>
      <c r="F485" s="134">
        <f t="shared" si="158"/>
        <v>20.786735427473317</v>
      </c>
      <c r="G485" s="181">
        <f>747000000</f>
        <v>747000000</v>
      </c>
      <c r="H485" s="134">
        <f t="shared" si="159"/>
        <v>75</v>
      </c>
      <c r="I485" s="134">
        <f t="shared" si="160"/>
        <v>20.786735427473317</v>
      </c>
      <c r="J485" s="6">
        <f t="shared" si="161"/>
        <v>-249000000</v>
      </c>
      <c r="K485" s="38"/>
    </row>
    <row r="486" spans="1:13" s="84" customFormat="1" ht="25.5" x14ac:dyDescent="0.2">
      <c r="A486" s="825" t="s">
        <v>571</v>
      </c>
      <c r="B486" s="133" t="s">
        <v>569</v>
      </c>
      <c r="C486" s="256">
        <v>52000200</v>
      </c>
      <c r="D486" s="804"/>
      <c r="E486" s="134"/>
      <c r="F486" s="134"/>
      <c r="G486" s="181"/>
      <c r="H486" s="134"/>
      <c r="I486" s="134"/>
      <c r="J486" s="6">
        <f t="shared" si="161"/>
        <v>-52000200</v>
      </c>
      <c r="K486" s="805"/>
    </row>
    <row r="487" spans="1:13" s="84" customFormat="1" ht="25.5" x14ac:dyDescent="0.2">
      <c r="A487" s="825" t="s">
        <v>572</v>
      </c>
      <c r="B487" s="133" t="s">
        <v>570</v>
      </c>
      <c r="C487" s="256">
        <v>2091600</v>
      </c>
      <c r="D487" s="804"/>
      <c r="E487" s="134"/>
      <c r="F487" s="134"/>
      <c r="G487" s="181"/>
      <c r="H487" s="134"/>
      <c r="I487" s="134"/>
      <c r="J487" s="6"/>
      <c r="K487" s="805"/>
    </row>
    <row r="488" spans="1:13" s="84" customFormat="1" x14ac:dyDescent="0.2">
      <c r="A488" s="825" t="s">
        <v>234</v>
      </c>
      <c r="B488" s="133" t="s">
        <v>522</v>
      </c>
      <c r="C488" s="256">
        <v>17906088</v>
      </c>
      <c r="D488" s="804"/>
      <c r="E488" s="134"/>
      <c r="F488" s="134"/>
      <c r="G488" s="181">
        <f>17906088</f>
        <v>17906088</v>
      </c>
      <c r="H488" s="134"/>
      <c r="I488" s="134"/>
      <c r="J488" s="6">
        <f t="shared" ref="J488" si="162">G488-C488</f>
        <v>0</v>
      </c>
      <c r="K488" s="805"/>
    </row>
    <row r="489" spans="1:13" x14ac:dyDescent="0.25">
      <c r="A489" s="70"/>
      <c r="B489" s="129" t="s">
        <v>95</v>
      </c>
      <c r="C489" s="807">
        <f>SUM(C482:C488)</f>
        <v>3593637888</v>
      </c>
      <c r="D489" s="271">
        <f>SUM(D482:D485)</f>
        <v>97.985804628738379</v>
      </c>
      <c r="E489" s="134"/>
      <c r="F489" s="134"/>
      <c r="G489" s="181">
        <f>SUM(G482:G488)</f>
        <v>2852985088</v>
      </c>
      <c r="H489" s="134"/>
      <c r="I489" s="134"/>
      <c r="J489" s="780"/>
      <c r="K489" s="130"/>
    </row>
    <row r="490" spans="1:13" x14ac:dyDescent="0.25">
      <c r="J490" s="779"/>
    </row>
    <row r="492" spans="1:13" x14ac:dyDescent="0.25">
      <c r="A492" s="50"/>
      <c r="B492" s="5"/>
      <c r="C492" s="50"/>
      <c r="D492" s="29"/>
      <c r="E492" s="30"/>
      <c r="F492" s="31"/>
      <c r="G492" s="36"/>
      <c r="H492" s="32"/>
      <c r="I492" s="31"/>
      <c r="J492" s="36"/>
      <c r="K492" s="37"/>
    </row>
    <row r="493" spans="1:13" x14ac:dyDescent="0.25">
      <c r="A493" s="1"/>
      <c r="B493" s="16" t="s">
        <v>363</v>
      </c>
      <c r="C493" s="61"/>
      <c r="D493" s="1"/>
      <c r="E493" s="1"/>
      <c r="F493" s="1"/>
      <c r="G493" s="1"/>
      <c r="H493" s="1"/>
      <c r="I493" s="18" t="s">
        <v>564</v>
      </c>
      <c r="J493" s="17"/>
      <c r="K493" s="1"/>
    </row>
    <row r="494" spans="1:13" x14ac:dyDescent="0.25">
      <c r="A494" s="1"/>
      <c r="B494" s="19"/>
      <c r="C494" s="62"/>
      <c r="D494" s="1"/>
      <c r="E494" s="1"/>
      <c r="F494" s="1"/>
      <c r="G494" s="1"/>
      <c r="H494" s="1"/>
      <c r="I494" s="63"/>
      <c r="J494" s="16"/>
      <c r="K494" s="1"/>
    </row>
    <row r="495" spans="1:13" x14ac:dyDescent="0.25">
      <c r="A495" s="1"/>
      <c r="B495" s="19"/>
      <c r="C495" s="62"/>
      <c r="D495" s="1"/>
      <c r="E495" s="1"/>
      <c r="F495" s="1"/>
      <c r="G495" s="1"/>
      <c r="H495" s="1"/>
      <c r="I495" s="63"/>
      <c r="J495" s="16"/>
      <c r="K495" s="1"/>
    </row>
    <row r="496" spans="1:13" x14ac:dyDescent="0.25">
      <c r="A496" s="1"/>
      <c r="B496" s="19"/>
      <c r="C496" s="62"/>
      <c r="D496" s="1"/>
      <c r="E496" s="1"/>
      <c r="F496" s="1"/>
      <c r="G496" s="1"/>
      <c r="H496" s="1"/>
      <c r="I496" s="18"/>
      <c r="J496" s="19"/>
      <c r="K496" s="1"/>
    </row>
    <row r="497" spans="1:14" x14ac:dyDescent="0.25">
      <c r="A497" s="1"/>
      <c r="B497" s="75" t="s">
        <v>440</v>
      </c>
      <c r="C497" s="21"/>
      <c r="D497" s="1"/>
      <c r="E497" s="1"/>
      <c r="F497" s="1"/>
      <c r="G497" s="1"/>
      <c r="H497" s="1"/>
      <c r="I497" s="20"/>
      <c r="J497" s="21"/>
      <c r="K497" s="1"/>
    </row>
    <row r="498" spans="1:14" x14ac:dyDescent="0.25">
      <c r="A498" s="1"/>
      <c r="B498" s="739" t="s">
        <v>441</v>
      </c>
      <c r="C498" s="19"/>
      <c r="D498" s="1"/>
      <c r="E498" s="1"/>
      <c r="F498" s="1"/>
      <c r="G498" s="1"/>
      <c r="H498" s="1"/>
      <c r="I498" s="22"/>
      <c r="J498" s="19"/>
      <c r="K498" s="1"/>
    </row>
    <row r="499" spans="1:14" x14ac:dyDescent="0.25">
      <c r="A499" s="5"/>
      <c r="B499" s="5"/>
      <c r="C499" s="65"/>
      <c r="D499" s="66"/>
      <c r="E499" s="30"/>
      <c r="F499" s="31"/>
      <c r="G499" s="36"/>
      <c r="H499" s="30"/>
      <c r="I499" s="31"/>
      <c r="J499" s="33"/>
      <c r="K499" s="29"/>
      <c r="L499" s="9"/>
      <c r="M499" s="9"/>
      <c r="N499" s="9"/>
    </row>
  </sheetData>
  <mergeCells count="149">
    <mergeCell ref="A1:K1"/>
    <mergeCell ref="A2:K2"/>
    <mergeCell ref="A3:K3"/>
    <mergeCell ref="A5:A7"/>
    <mergeCell ref="B5:B7"/>
    <mergeCell ref="C5:C7"/>
    <mergeCell ref="D5:F5"/>
    <mergeCell ref="G5:I5"/>
    <mergeCell ref="J5:J6"/>
    <mergeCell ref="A98:C98"/>
    <mergeCell ref="A100:K100"/>
    <mergeCell ref="A101:K101"/>
    <mergeCell ref="A102:K102"/>
    <mergeCell ref="A103:A105"/>
    <mergeCell ref="B103:B105"/>
    <mergeCell ref="C103:C105"/>
    <mergeCell ref="D103:F103"/>
    <mergeCell ref="G103:I103"/>
    <mergeCell ref="J103:J104"/>
    <mergeCell ref="K147:K149"/>
    <mergeCell ref="A170:B170"/>
    <mergeCell ref="A173:A175"/>
    <mergeCell ref="B173:B175"/>
    <mergeCell ref="C173:C175"/>
    <mergeCell ref="D173:F173"/>
    <mergeCell ref="G173:I173"/>
    <mergeCell ref="J173:J174"/>
    <mergeCell ref="A144:C144"/>
    <mergeCell ref="A147:A149"/>
    <mergeCell ref="B147:B149"/>
    <mergeCell ref="D147:F147"/>
    <mergeCell ref="G147:I147"/>
    <mergeCell ref="J147:J148"/>
    <mergeCell ref="A195:A197"/>
    <mergeCell ref="B195:B197"/>
    <mergeCell ref="C195:C197"/>
    <mergeCell ref="D195:F195"/>
    <mergeCell ref="G195:I195"/>
    <mergeCell ref="J195:J196"/>
    <mergeCell ref="A183:A185"/>
    <mergeCell ref="B183:B185"/>
    <mergeCell ref="C183:C185"/>
    <mergeCell ref="D183:F183"/>
    <mergeCell ref="G183:I183"/>
    <mergeCell ref="J183:J184"/>
    <mergeCell ref="A233:A235"/>
    <mergeCell ref="B233:B235"/>
    <mergeCell ref="C233:C235"/>
    <mergeCell ref="D233:F233"/>
    <mergeCell ref="G233:I233"/>
    <mergeCell ref="J233:J234"/>
    <mergeCell ref="A223:A225"/>
    <mergeCell ref="B223:B225"/>
    <mergeCell ref="C223:C225"/>
    <mergeCell ref="D223:F223"/>
    <mergeCell ref="G223:I223"/>
    <mergeCell ref="J223:J224"/>
    <mergeCell ref="J270:J271"/>
    <mergeCell ref="A279:A281"/>
    <mergeCell ref="B279:B281"/>
    <mergeCell ref="C279:C281"/>
    <mergeCell ref="D279:F279"/>
    <mergeCell ref="G279:I279"/>
    <mergeCell ref="J279:J280"/>
    <mergeCell ref="A246:A248"/>
    <mergeCell ref="B246:B248"/>
    <mergeCell ref="D246:F246"/>
    <mergeCell ref="G246:I246"/>
    <mergeCell ref="J246:J247"/>
    <mergeCell ref="A270:A272"/>
    <mergeCell ref="B270:B272"/>
    <mergeCell ref="C270:C272"/>
    <mergeCell ref="D270:F270"/>
    <mergeCell ref="G270:I270"/>
    <mergeCell ref="A328:A330"/>
    <mergeCell ref="B328:B330"/>
    <mergeCell ref="C328:C330"/>
    <mergeCell ref="D328:F328"/>
    <mergeCell ref="G328:I328"/>
    <mergeCell ref="J328:J329"/>
    <mergeCell ref="K293:K295"/>
    <mergeCell ref="A319:A321"/>
    <mergeCell ref="B319:B321"/>
    <mergeCell ref="C319:C321"/>
    <mergeCell ref="D319:F319"/>
    <mergeCell ref="G319:I319"/>
    <mergeCell ref="J319:J320"/>
    <mergeCell ref="A293:A295"/>
    <mergeCell ref="B293:B295"/>
    <mergeCell ref="C293:C295"/>
    <mergeCell ref="D293:F293"/>
    <mergeCell ref="G293:I293"/>
    <mergeCell ref="J293:J294"/>
    <mergeCell ref="A381:A383"/>
    <mergeCell ref="B381:B383"/>
    <mergeCell ref="C381:C383"/>
    <mergeCell ref="D381:F381"/>
    <mergeCell ref="G381:I381"/>
    <mergeCell ref="J381:J382"/>
    <mergeCell ref="K340:K342"/>
    <mergeCell ref="A372:A374"/>
    <mergeCell ref="B372:B374"/>
    <mergeCell ref="C372:C374"/>
    <mergeCell ref="D372:F372"/>
    <mergeCell ref="G372:I372"/>
    <mergeCell ref="J372:J373"/>
    <mergeCell ref="A340:A342"/>
    <mergeCell ref="B340:B342"/>
    <mergeCell ref="C340:C342"/>
    <mergeCell ref="D340:F340"/>
    <mergeCell ref="G340:I340"/>
    <mergeCell ref="J340:J341"/>
    <mergeCell ref="A422:A424"/>
    <mergeCell ref="B422:B424"/>
    <mergeCell ref="C422:C424"/>
    <mergeCell ref="D422:F422"/>
    <mergeCell ref="G422:I422"/>
    <mergeCell ref="J422:J423"/>
    <mergeCell ref="A394:A396"/>
    <mergeCell ref="B394:B396"/>
    <mergeCell ref="D394:F394"/>
    <mergeCell ref="G394:I394"/>
    <mergeCell ref="J394:J395"/>
    <mergeCell ref="A419:B419"/>
    <mergeCell ref="A443:A445"/>
    <mergeCell ref="B443:B445"/>
    <mergeCell ref="C443:C445"/>
    <mergeCell ref="D443:F443"/>
    <mergeCell ref="G443:I443"/>
    <mergeCell ref="J443:J444"/>
    <mergeCell ref="A431:A433"/>
    <mergeCell ref="B431:B433"/>
    <mergeCell ref="C431:C433"/>
    <mergeCell ref="D431:F431"/>
    <mergeCell ref="G431:I431"/>
    <mergeCell ref="J431:J432"/>
    <mergeCell ref="J468:J469"/>
    <mergeCell ref="A477:A479"/>
    <mergeCell ref="B477:B479"/>
    <mergeCell ref="C477:C479"/>
    <mergeCell ref="D477:F477"/>
    <mergeCell ref="G477:I477"/>
    <mergeCell ref="J477:J478"/>
    <mergeCell ref="A465:B465"/>
    <mergeCell ref="A468:A470"/>
    <mergeCell ref="B468:B470"/>
    <mergeCell ref="C468:C470"/>
    <mergeCell ref="D468:F468"/>
    <mergeCell ref="G468:I468"/>
  </mergeCell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99"/>
  <sheetViews>
    <sheetView topLeftCell="A223" workbookViewId="0">
      <selection activeCell="C230" sqref="C230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258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936" t="s">
        <v>1</v>
      </c>
      <c r="B4" s="936"/>
      <c r="C4" s="936"/>
      <c r="D4" s="936"/>
      <c r="E4" s="937"/>
      <c r="F4" s="937"/>
      <c r="G4" s="47"/>
      <c r="H4" s="937"/>
      <c r="I4" s="937"/>
      <c r="J4" s="936"/>
      <c r="K4" s="936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C11+C16+C21+C29+C40+C45+C53+C55+C59+C64+C66+C70+C74+C78+C81+C87+C92+C94</f>
        <v>15602615906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>
        <f>1150000</f>
        <v>1150000</v>
      </c>
      <c r="H12" s="161"/>
      <c r="I12" s="161"/>
      <c r="J12" s="6">
        <v>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18.510158013544018</v>
      </c>
      <c r="F13" s="134">
        <f>(D13*E13)/100</f>
        <v>2.7333333333333338</v>
      </c>
      <c r="G13" s="6">
        <f>820000</f>
        <v>820000</v>
      </c>
      <c r="H13" s="134">
        <f>G13/C13*100</f>
        <v>18.510158013544018</v>
      </c>
      <c r="I13" s="134">
        <f>(D13*H13)/100</f>
        <v>2.7333333333333338</v>
      </c>
      <c r="J13" s="6">
        <f t="shared" ref="J13:J15" si="0">G13-C13</f>
        <v>-3610000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f>4320000</f>
        <v>4320000</v>
      </c>
      <c r="H14" s="134"/>
      <c r="I14" s="134"/>
      <c r="J14" s="6">
        <f t="shared" si="0"/>
        <v>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f>20100000</f>
        <v>20100000</v>
      </c>
      <c r="H15" s="134"/>
      <c r="I15" s="134"/>
      <c r="J15" s="6">
        <f t="shared" si="0"/>
        <v>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/>
      <c r="H16" s="790"/>
      <c r="I16" s="790"/>
      <c r="J16" s="791"/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1700000</v>
      </c>
      <c r="D17" s="200"/>
      <c r="E17" s="134"/>
      <c r="F17" s="134"/>
      <c r="G17" s="6">
        <f>1700000</f>
        <v>1700000</v>
      </c>
      <c r="H17" s="134"/>
      <c r="I17" s="134"/>
      <c r="J17" s="6">
        <f t="shared" ref="J17:J20" si="1">G17-C17</f>
        <v>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6470000</v>
      </c>
      <c r="D18" s="200"/>
      <c r="E18" s="134"/>
      <c r="F18" s="134"/>
      <c r="G18" s="6">
        <f>4720000</f>
        <v>4720000</v>
      </c>
      <c r="H18" s="134"/>
      <c r="I18" s="134"/>
      <c r="J18" s="6">
        <f t="shared" si="1"/>
        <v>-1750000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2450000</v>
      </c>
      <c r="D19" s="200"/>
      <c r="E19" s="134"/>
      <c r="F19" s="134"/>
      <c r="G19" s="6">
        <f>1585000</f>
        <v>1585000</v>
      </c>
      <c r="H19" s="134"/>
      <c r="I19" s="134"/>
      <c r="J19" s="6">
        <f t="shared" si="1"/>
        <v>-865000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f>4460000</f>
        <v>4460000</v>
      </c>
      <c r="H20" s="134"/>
      <c r="I20" s="134"/>
      <c r="J20" s="6">
        <f t="shared" si="1"/>
        <v>-4920000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/>
      <c r="H21" s="242"/>
      <c r="I21" s="242"/>
      <c r="J21" s="791"/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1700000</v>
      </c>
      <c r="D23" s="741"/>
      <c r="E23" s="742"/>
      <c r="F23" s="742"/>
      <c r="G23" s="6">
        <f>1700000</f>
        <v>1700000</v>
      </c>
      <c r="H23" s="742"/>
      <c r="I23" s="742"/>
      <c r="J23" s="6">
        <f t="shared" si="2"/>
        <v>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6529000</v>
      </c>
      <c r="D24" s="200">
        <f>C24/C21*100</f>
        <v>13.058</v>
      </c>
      <c r="E24" s="134">
        <f>G24/C24*100</f>
        <v>83.611579108592437</v>
      </c>
      <c r="F24" s="134">
        <f t="shared" ref="F24:F26" si="3">(D24*E24)/100</f>
        <v>10.917999999999999</v>
      </c>
      <c r="G24" s="6">
        <f>5459000</f>
        <v>5459000</v>
      </c>
      <c r="H24" s="134">
        <f t="shared" ref="H24:H26" si="4">G24/C24*100</f>
        <v>83.611579108592437</v>
      </c>
      <c r="I24" s="134">
        <f t="shared" ref="I24:I26" si="5">(D24*H24)/100</f>
        <v>10.917999999999999</v>
      </c>
      <c r="J24" s="6">
        <f t="shared" si="2"/>
        <v>-1070000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99.896491046475518</v>
      </c>
      <c r="F25" s="134">
        <f t="shared" si="3"/>
        <v>19.302</v>
      </c>
      <c r="G25" s="6">
        <f>9651000</f>
        <v>9651000</v>
      </c>
      <c r="H25" s="134">
        <f t="shared" si="4"/>
        <v>99.896491046475518</v>
      </c>
      <c r="I25" s="134">
        <f t="shared" si="5"/>
        <v>19.302</v>
      </c>
      <c r="J25" s="6">
        <f t="shared" si="2"/>
        <v>-10000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11800000</v>
      </c>
      <c r="D26" s="200">
        <f>C26/C21*100</f>
        <v>23.599999999999998</v>
      </c>
      <c r="E26" s="134">
        <f>G26/C26*100</f>
        <v>100</v>
      </c>
      <c r="F26" s="134">
        <f t="shared" si="3"/>
        <v>23.6</v>
      </c>
      <c r="G26" s="6">
        <f>11800000</f>
        <v>11800000</v>
      </c>
      <c r="H26" s="134">
        <f t="shared" si="4"/>
        <v>100</v>
      </c>
      <c r="I26" s="134">
        <f t="shared" si="5"/>
        <v>23.6</v>
      </c>
      <c r="J26" s="6">
        <f t="shared" si="2"/>
        <v>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f>17851651</f>
        <v>17851651</v>
      </c>
      <c r="H27" s="134"/>
      <c r="I27" s="134"/>
      <c r="J27" s="6">
        <f t="shared" si="2"/>
        <v>-148349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12286248670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4702610725</v>
      </c>
      <c r="D30" s="200">
        <f>C30/C29*100</f>
        <v>38.275399198801992</v>
      </c>
      <c r="E30" s="134">
        <f>G30/C30*100</f>
        <v>90.117580910335718</v>
      </c>
      <c r="F30" s="134">
        <f t="shared" ref="F30:F38" si="6">(D30*E30)/100</f>
        <v>34.492863841734376</v>
      </c>
      <c r="G30" s="6">
        <f>4237879025</f>
        <v>4237879025</v>
      </c>
      <c r="H30" s="134">
        <f>G30/C30*100</f>
        <v>90.117580910335718</v>
      </c>
      <c r="I30" s="134">
        <f t="shared" ref="I30:I38" si="7">(D30*H30)/100</f>
        <v>34.492863841734376</v>
      </c>
      <c r="J30" s="6">
        <f t="shared" ref="J30:J39" si="8">G30-C30</f>
        <v>-464731700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5.7367331472056229</v>
      </c>
      <c r="E31" s="134">
        <f t="shared" ref="E31:E39" si="9">G31/C31*100</f>
        <v>57.930155287244723</v>
      </c>
      <c r="F31" s="134">
        <f t="shared" si="6"/>
        <v>3.3232984205910587</v>
      </c>
      <c r="G31" s="6">
        <f>408308708</f>
        <v>408308708</v>
      </c>
      <c r="H31" s="134">
        <f t="shared" ref="H31:H39" si="10">G31/C31*100</f>
        <v>57.930155287244723</v>
      </c>
      <c r="I31" s="134">
        <f t="shared" si="7"/>
        <v>3.3232984205910587</v>
      </c>
      <c r="J31" s="6">
        <f t="shared" si="8"/>
        <v>-296520592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3.1902919314752891</v>
      </c>
      <c r="E32" s="134">
        <f t="shared" si="9"/>
        <v>74.309789186442131</v>
      </c>
      <c r="F32" s="134">
        <f t="shared" si="6"/>
        <v>2.3706992087113603</v>
      </c>
      <c r="G32" s="6">
        <f>291270000</f>
        <v>291270000</v>
      </c>
      <c r="H32" s="134">
        <f t="shared" si="10"/>
        <v>74.309789186442131</v>
      </c>
      <c r="I32" s="134">
        <f t="shared" si="7"/>
        <v>2.3706992087113603</v>
      </c>
      <c r="J32" s="6">
        <f t="shared" si="8"/>
        <v>-100697200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0.35975179395420787</v>
      </c>
      <c r="E33" s="134">
        <f t="shared" si="9"/>
        <v>37.058823529411768</v>
      </c>
      <c r="F33" s="134">
        <f t="shared" si="6"/>
        <v>0.13331978246538292</v>
      </c>
      <c r="G33" s="6">
        <f>16380000</f>
        <v>16380000</v>
      </c>
      <c r="H33" s="134">
        <f t="shared" si="10"/>
        <v>37.058823529411768</v>
      </c>
      <c r="I33" s="134">
        <f t="shared" si="7"/>
        <v>0.13331978246538292</v>
      </c>
      <c r="J33" s="6">
        <f t="shared" si="8"/>
        <v>-27820000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128857800</v>
      </c>
      <c r="D34" s="200">
        <f>C34/C29*100</f>
        <v>1.0487969392532244</v>
      </c>
      <c r="E34" s="134">
        <f t="shared" si="9"/>
        <v>83.972409896800968</v>
      </c>
      <c r="F34" s="134">
        <f t="shared" si="6"/>
        <v>0.88070006481482022</v>
      </c>
      <c r="G34" s="6">
        <f>108205000</f>
        <v>108205000</v>
      </c>
      <c r="H34" s="134">
        <f>G34/C34*100</f>
        <v>83.972409896800968</v>
      </c>
      <c r="I34" s="134">
        <f t="shared" si="7"/>
        <v>0.88070006481482022</v>
      </c>
      <c r="J34" s="6">
        <f t="shared" si="8"/>
        <v>-20652800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288747600</v>
      </c>
      <c r="D35" s="200">
        <f>C35/C29*100</f>
        <v>2.3501689389133942</v>
      </c>
      <c r="E35" s="134">
        <f t="shared" si="9"/>
        <v>88.936261288405518</v>
      </c>
      <c r="F35" s="134">
        <f t="shared" si="6"/>
        <v>2.0901523882309636</v>
      </c>
      <c r="G35" s="6">
        <f>256801320</f>
        <v>256801320</v>
      </c>
      <c r="H35" s="134">
        <f t="shared" si="10"/>
        <v>88.936261288405518</v>
      </c>
      <c r="I35" s="134">
        <f t="shared" si="7"/>
        <v>2.0901523882309636</v>
      </c>
      <c r="J35" s="6">
        <f t="shared" si="8"/>
        <v>-31946280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25000000</v>
      </c>
      <c r="D36" s="200">
        <f>C36/C29*100</f>
        <v>0.2034795214673121</v>
      </c>
      <c r="E36" s="134">
        <f t="shared" si="9"/>
        <v>27.832832000000003</v>
      </c>
      <c r="F36" s="134">
        <f t="shared" si="6"/>
        <v>5.6634113364400919E-2</v>
      </c>
      <c r="G36" s="6">
        <f>6958208</f>
        <v>6958208</v>
      </c>
      <c r="H36" s="134">
        <f t="shared" si="10"/>
        <v>27.832832000000003</v>
      </c>
      <c r="I36" s="134">
        <f t="shared" si="7"/>
        <v>5.6634113364400919E-2</v>
      </c>
      <c r="J36" s="6">
        <f t="shared" si="8"/>
        <v>-18041792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4.6686341405460094E-3</v>
      </c>
      <c r="E37" s="134">
        <f>G37/C37*100</f>
        <v>9.6708507670850761</v>
      </c>
      <c r="F37" s="134">
        <f t="shared" si="6"/>
        <v>4.5149664059338949E-4</v>
      </c>
      <c r="G37" s="6">
        <f>55472</f>
        <v>55472</v>
      </c>
      <c r="H37" s="134">
        <f>G37/C37*100</f>
        <v>9.6708507670850761</v>
      </c>
      <c r="I37" s="134">
        <f t="shared" si="7"/>
        <v>4.5149664059338949E-4</v>
      </c>
      <c r="J37" s="6">
        <f t="shared" si="8"/>
        <v>-518128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5698212114</v>
      </c>
      <c r="D38" s="200">
        <f>C38/C29*100</f>
        <v>46.378778967038443</v>
      </c>
      <c r="E38" s="134">
        <f t="shared" si="9"/>
        <v>82.138075844889485</v>
      </c>
      <c r="F38" s="134">
        <f t="shared" si="6"/>
        <v>38.094636643879689</v>
      </c>
      <c r="G38" s="6">
        <f>4680401788</f>
        <v>4680401788</v>
      </c>
      <c r="H38" s="134">
        <f t="shared" si="10"/>
        <v>82.138075844889485</v>
      </c>
      <c r="I38" s="134">
        <f t="shared" si="7"/>
        <v>38.094636643879689</v>
      </c>
      <c r="J38" s="6">
        <f t="shared" si="8"/>
        <v>-1017810326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301250331</v>
      </c>
      <c r="D39" s="200"/>
      <c r="E39" s="134">
        <f t="shared" si="9"/>
        <v>80.250399127362286</v>
      </c>
      <c r="F39" s="134"/>
      <c r="G39" s="6">
        <f>241754593</f>
        <v>241754593</v>
      </c>
      <c r="H39" s="134">
        <f t="shared" si="10"/>
        <v>80.250399127362286</v>
      </c>
      <c r="I39" s="134"/>
      <c r="J39" s="6">
        <f t="shared" si="8"/>
        <v>-59495738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1901284136</v>
      </c>
      <c r="D40" s="241"/>
      <c r="E40" s="242"/>
      <c r="F40" s="242"/>
      <c r="G40" s="791"/>
      <c r="H40" s="242"/>
      <c r="I40" s="242"/>
      <c r="J40" s="791"/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1750199998</v>
      </c>
      <c r="D41" s="200">
        <f>C41/C40*100</f>
        <v>92.053573943037421</v>
      </c>
      <c r="E41" s="134">
        <f>G41/C41*100</f>
        <v>90.886755903195933</v>
      </c>
      <c r="F41" s="134">
        <f t="shared" ref="F41:F44" si="11">(D41*E41)/100</f>
        <v>83.664507049776404</v>
      </c>
      <c r="G41" s="6">
        <f>1590700000</f>
        <v>1590700000</v>
      </c>
      <c r="H41" s="134">
        <f t="shared" ref="H41:H44" si="12">G41/C41*100</f>
        <v>90.886755903195933</v>
      </c>
      <c r="I41" s="134">
        <f t="shared" ref="I41:I44" si="13">(D41*H41)/100</f>
        <v>83.664507049776404</v>
      </c>
      <c r="J41" s="6">
        <f t="shared" ref="J41:J44" si="14">G41-C41</f>
        <v>-159499998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133803946</v>
      </c>
      <c r="D42" s="200">
        <f>C42/C40*100</f>
        <v>7.0375565369993707</v>
      </c>
      <c r="E42" s="134">
        <f t="shared" ref="E42:E44" si="15">G42/C42*100</f>
        <v>71.646626176480623</v>
      </c>
      <c r="F42" s="134">
        <f t="shared" si="11"/>
        <v>5.0421718240224145</v>
      </c>
      <c r="G42" s="6">
        <f>95866013</f>
        <v>95866013</v>
      </c>
      <c r="H42" s="134">
        <f t="shared" si="12"/>
        <v>71.646626176480623</v>
      </c>
      <c r="I42" s="134">
        <f t="shared" si="13"/>
        <v>5.0421718240224145</v>
      </c>
      <c r="J42" s="6">
        <f t="shared" si="14"/>
        <v>-37937933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7310887</v>
      </c>
      <c r="D43" s="200">
        <f>C43/C40*100</f>
        <v>0.38452364176250614</v>
      </c>
      <c r="E43" s="134">
        <f t="shared" si="15"/>
        <v>40.00000273564617</v>
      </c>
      <c r="F43" s="134">
        <f t="shared" si="11"/>
        <v>0.15380946722420874</v>
      </c>
      <c r="G43" s="6">
        <f>2924355</f>
        <v>2924355</v>
      </c>
      <c r="H43" s="134">
        <f t="shared" si="12"/>
        <v>40.00000273564617</v>
      </c>
      <c r="I43" s="134">
        <f t="shared" si="13"/>
        <v>0.15380946722420874</v>
      </c>
      <c r="J43" s="6">
        <f t="shared" si="14"/>
        <v>-4386532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9969305</v>
      </c>
      <c r="D44" s="200">
        <f>C44/C40*100</f>
        <v>0.52434587820071099</v>
      </c>
      <c r="E44" s="134">
        <f t="shared" si="15"/>
        <v>36.667099662413776</v>
      </c>
      <c r="F44" s="134">
        <f t="shared" si="11"/>
        <v>0.19226242573561345</v>
      </c>
      <c r="G44" s="6">
        <f>3655455</f>
        <v>3655455</v>
      </c>
      <c r="H44" s="134">
        <f t="shared" si="12"/>
        <v>36.667099662413776</v>
      </c>
      <c r="I44" s="134">
        <f t="shared" si="13"/>
        <v>0.19226242573561345</v>
      </c>
      <c r="J44" s="6">
        <f t="shared" si="14"/>
        <v>-6313850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1700000</v>
      </c>
      <c r="D47" s="741"/>
      <c r="E47" s="742"/>
      <c r="F47" s="742"/>
      <c r="G47" s="6">
        <v>1700000</v>
      </c>
      <c r="H47" s="742"/>
      <c r="I47" s="742"/>
      <c r="J47" s="6">
        <f t="shared" si="16"/>
        <v>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9525400</v>
      </c>
      <c r="D48" s="200">
        <f>C48/C45*100</f>
        <v>19.050800000000002</v>
      </c>
      <c r="E48" s="134">
        <f t="shared" ref="E48:E50" si="17">G48/C48*100</f>
        <v>100</v>
      </c>
      <c r="F48" s="134">
        <f t="shared" ref="F48:F50" si="18">(D48*E48)/100</f>
        <v>19.050800000000002</v>
      </c>
      <c r="G48" s="6">
        <f>8779400+746000</f>
        <v>9525400</v>
      </c>
      <c r="H48" s="134">
        <f t="shared" ref="H48:H50" si="19">G48/C48*100</f>
        <v>100</v>
      </c>
      <c r="I48" s="134">
        <f t="shared" ref="I48:I50" si="20">(D48*H48)/100</f>
        <v>19.050800000000002</v>
      </c>
      <c r="J48" s="6">
        <f t="shared" si="16"/>
        <v>0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100</v>
      </c>
      <c r="F49" s="134">
        <f t="shared" si="18"/>
        <v>8.2492000000000001</v>
      </c>
      <c r="G49" s="6">
        <f>1749000+2375600</f>
        <v>4124600</v>
      </c>
      <c r="H49" s="134">
        <f t="shared" si="19"/>
        <v>100</v>
      </c>
      <c r="I49" s="134">
        <f t="shared" si="20"/>
        <v>8.2492000000000001</v>
      </c>
      <c r="J49" s="6">
        <f t="shared" si="16"/>
        <v>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12240000</v>
      </c>
      <c r="D50" s="200">
        <f>C50/C45*100</f>
        <v>24.48</v>
      </c>
      <c r="E50" s="134">
        <f t="shared" si="17"/>
        <v>100</v>
      </c>
      <c r="F50" s="134">
        <f t="shared" si="18"/>
        <v>24.48</v>
      </c>
      <c r="G50" s="6">
        <f>12240000</f>
        <v>12240000</v>
      </c>
      <c r="H50" s="134">
        <f t="shared" si="19"/>
        <v>100</v>
      </c>
      <c r="I50" s="134">
        <f t="shared" si="20"/>
        <v>24.48</v>
      </c>
      <c r="J50" s="6">
        <f t="shared" si="16"/>
        <v>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f>19950000</f>
        <v>19950000</v>
      </c>
      <c r="H51" s="134"/>
      <c r="I51" s="134"/>
      <c r="J51" s="6">
        <f t="shared" si="16"/>
        <v>-150000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100</v>
      </c>
      <c r="F54" s="134">
        <f t="shared" ref="F54:F57" si="21">(D54*E54)/100</f>
        <v>100</v>
      </c>
      <c r="G54" s="6">
        <f>9448000+4028500</f>
        <v>13476500</v>
      </c>
      <c r="H54" s="134">
        <f>G54/C54*100</f>
        <v>100</v>
      </c>
      <c r="I54" s="134">
        <f>(D54*H54)/100</f>
        <v>100</v>
      </c>
      <c r="J54" s="6">
        <f>G54-C54</f>
        <v>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SUM(C56:C58)</f>
        <v>16708000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1.0174766578884367</v>
      </c>
      <c r="E56" s="134">
        <f t="shared" ref="E56:E57" si="22">G56/C56*100</f>
        <v>100</v>
      </c>
      <c r="F56" s="134">
        <f t="shared" si="21"/>
        <v>1.0174766578884367</v>
      </c>
      <c r="G56" s="6">
        <f>170000</f>
        <v>170000</v>
      </c>
      <c r="H56" s="134">
        <f t="shared" ref="H56:H59" si="23">G56/C56*100</f>
        <v>100</v>
      </c>
      <c r="I56" s="134">
        <f t="shared" ref="I56:I57" si="24">(D56*H56)/100</f>
        <v>1.0174766578884367</v>
      </c>
      <c r="J56" s="6">
        <f t="shared" ref="J56:J57" si="25">G56-C56</f>
        <v>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6803000</v>
      </c>
      <c r="D57" s="200">
        <f>C57/C55*100</f>
        <v>40.717021785970793</v>
      </c>
      <c r="E57" s="134">
        <f t="shared" si="22"/>
        <v>73.217698074378944</v>
      </c>
      <c r="F57" s="134">
        <f t="shared" si="21"/>
        <v>29.812066076131192</v>
      </c>
      <c r="G57" s="6">
        <f>4981000</f>
        <v>4981000</v>
      </c>
      <c r="H57" s="134">
        <f t="shared" si="23"/>
        <v>73.217698074378944</v>
      </c>
      <c r="I57" s="134">
        <f t="shared" si="24"/>
        <v>29.812066076131192</v>
      </c>
      <c r="J57" s="6">
        <f t="shared" si="25"/>
        <v>-1822000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49" t="s">
        <v>565</v>
      </c>
      <c r="B58" s="707" t="s">
        <v>178</v>
      </c>
      <c r="C58" s="56">
        <v>9735000</v>
      </c>
      <c r="D58" s="200"/>
      <c r="E58" s="134"/>
      <c r="F58" s="134"/>
      <c r="G58" s="6"/>
      <c r="H58" s="134"/>
      <c r="I58" s="134"/>
      <c r="J58" s="6">
        <f>G58-C58</f>
        <v>-9735000</v>
      </c>
      <c r="K58" s="163"/>
      <c r="L58" s="4"/>
      <c r="M58" s="4"/>
      <c r="N58" s="4"/>
      <c r="O58" s="4"/>
      <c r="P58" s="4"/>
      <c r="Q58" s="4"/>
      <c r="R58" s="9"/>
    </row>
    <row r="59" spans="1:18" x14ac:dyDescent="0.25">
      <c r="A59" s="238" t="s">
        <v>503</v>
      </c>
      <c r="B59" s="238" t="s">
        <v>61</v>
      </c>
      <c r="C59" s="239">
        <f>SUM(C60:C63)</f>
        <v>62599600</v>
      </c>
      <c r="D59" s="241"/>
      <c r="E59" s="242"/>
      <c r="F59" s="242"/>
      <c r="G59" s="791">
        <v>0</v>
      </c>
      <c r="H59" s="242">
        <f t="shared" si="23"/>
        <v>0</v>
      </c>
      <c r="I59" s="242"/>
      <c r="J59" s="791">
        <v>0</v>
      </c>
      <c r="K59" s="237"/>
      <c r="L59" s="4"/>
      <c r="M59" s="4"/>
      <c r="N59" s="4"/>
      <c r="O59" s="4"/>
      <c r="P59" s="4"/>
      <c r="Q59" s="4"/>
      <c r="R59" s="9"/>
    </row>
    <row r="60" spans="1:18" ht="22.5" customHeight="1" x14ac:dyDescent="0.25">
      <c r="A60" s="49" t="s">
        <v>450</v>
      </c>
      <c r="B60" s="707" t="s">
        <v>384</v>
      </c>
      <c r="C60" s="56">
        <v>3090000</v>
      </c>
      <c r="D60" s="200">
        <f>C60/C59*100</f>
        <v>4.9361337772126337</v>
      </c>
      <c r="E60" s="134">
        <f>G60/C60*100</f>
        <v>100</v>
      </c>
      <c r="F60" s="134">
        <f t="shared" ref="F60:F72" si="26">(D60*E60)/100</f>
        <v>4.9361337772126337</v>
      </c>
      <c r="G60" s="6">
        <f>3090000</f>
        <v>3090000</v>
      </c>
      <c r="H60" s="134">
        <f>G60/C60*100</f>
        <v>100</v>
      </c>
      <c r="I60" s="134">
        <f>(D60*H60)/100</f>
        <v>4.9361337772126337</v>
      </c>
      <c r="J60" s="6">
        <f t="shared" ref="J60:J63" si="27">G60-C60</f>
        <v>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448</v>
      </c>
      <c r="B61" s="707" t="s">
        <v>445</v>
      </c>
      <c r="C61" s="56">
        <v>1700000</v>
      </c>
      <c r="D61" s="200"/>
      <c r="E61" s="134"/>
      <c r="F61" s="134"/>
      <c r="G61" s="6">
        <f>170000</f>
        <v>170000</v>
      </c>
      <c r="H61" s="134"/>
      <c r="I61" s="134"/>
      <c r="J61" s="6">
        <f t="shared" si="27"/>
        <v>-1530000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415</v>
      </c>
      <c r="B62" s="707" t="s">
        <v>197</v>
      </c>
      <c r="C62" s="56">
        <v>8463000</v>
      </c>
      <c r="D62" s="200"/>
      <c r="E62" s="134"/>
      <c r="F62" s="134"/>
      <c r="G62" s="6">
        <f>7664500+302500</f>
        <v>7967000</v>
      </c>
      <c r="H62" s="134"/>
      <c r="I62" s="134"/>
      <c r="J62" s="6">
        <f t="shared" si="27"/>
        <v>-496000</v>
      </c>
      <c r="K62" s="163"/>
      <c r="L62" s="4"/>
      <c r="M62" s="4"/>
      <c r="N62" s="4"/>
      <c r="O62" s="4"/>
      <c r="P62" s="4"/>
      <c r="Q62" s="4"/>
      <c r="R62" s="9"/>
    </row>
    <row r="63" spans="1:18" x14ac:dyDescent="0.25">
      <c r="A63" s="49" t="s">
        <v>413</v>
      </c>
      <c r="B63" s="707" t="s">
        <v>334</v>
      </c>
      <c r="C63" s="56">
        <v>49346600</v>
      </c>
      <c r="D63" s="200"/>
      <c r="E63" s="134"/>
      <c r="F63" s="134"/>
      <c r="G63" s="6">
        <f>32587000+16650800</f>
        <v>49237800</v>
      </c>
      <c r="H63" s="134"/>
      <c r="I63" s="134"/>
      <c r="J63" s="6">
        <f t="shared" si="27"/>
        <v>-108800</v>
      </c>
      <c r="K63" s="163"/>
      <c r="L63" s="4"/>
      <c r="M63" s="4"/>
      <c r="N63" s="4"/>
      <c r="O63" s="4"/>
      <c r="P63" s="4"/>
      <c r="Q63" s="4"/>
      <c r="R63" s="9"/>
    </row>
    <row r="64" spans="1:18" s="796" customFormat="1" x14ac:dyDescent="0.25">
      <c r="A64" s="799" t="s">
        <v>468</v>
      </c>
      <c r="B64" s="736" t="s">
        <v>467</v>
      </c>
      <c r="C64" s="800">
        <v>3000000</v>
      </c>
      <c r="D64" s="789"/>
      <c r="E64" s="790"/>
      <c r="F64" s="790"/>
      <c r="G64" s="791">
        <v>0</v>
      </c>
      <c r="H64" s="790"/>
      <c r="I64" s="790"/>
      <c r="J64" s="791">
        <v>0</v>
      </c>
      <c r="K64" s="793"/>
      <c r="L64" s="794"/>
      <c r="M64" s="794"/>
      <c r="N64" s="794"/>
      <c r="O64" s="794"/>
      <c r="P64" s="794"/>
      <c r="Q64" s="794"/>
      <c r="R64" s="795"/>
    </row>
    <row r="65" spans="1:18" x14ac:dyDescent="0.25">
      <c r="A65" s="49" t="s">
        <v>413</v>
      </c>
      <c r="B65" s="707" t="s">
        <v>334</v>
      </c>
      <c r="C65" s="56">
        <v>3000000</v>
      </c>
      <c r="D65" s="200"/>
      <c r="E65" s="134"/>
      <c r="F65" s="134"/>
      <c r="G65" s="6">
        <f>3000000</f>
        <v>3000000</v>
      </c>
      <c r="H65" s="134"/>
      <c r="I65" s="134"/>
      <c r="J65" s="6">
        <f>G65-C65</f>
        <v>0</v>
      </c>
      <c r="K65" s="163"/>
      <c r="L65" s="4"/>
      <c r="M65" s="4"/>
      <c r="N65" s="4"/>
      <c r="O65" s="4"/>
      <c r="P65" s="4"/>
      <c r="Q65" s="4"/>
      <c r="R65" s="9"/>
    </row>
    <row r="66" spans="1:18" s="796" customFormat="1" x14ac:dyDescent="0.25">
      <c r="A66" s="799" t="s">
        <v>469</v>
      </c>
      <c r="B66" s="736" t="s">
        <v>470</v>
      </c>
      <c r="C66" s="800">
        <f>SUM(C67:C69)</f>
        <v>12000000</v>
      </c>
      <c r="D66" s="789"/>
      <c r="E66" s="790"/>
      <c r="F66" s="790"/>
      <c r="G66" s="791">
        <v>0</v>
      </c>
      <c r="H66" s="790"/>
      <c r="I66" s="790"/>
      <c r="J66" s="791">
        <v>0</v>
      </c>
      <c r="K66" s="793"/>
      <c r="L66" s="794"/>
      <c r="M66" s="794"/>
      <c r="N66" s="794"/>
      <c r="O66" s="794"/>
      <c r="P66" s="794"/>
      <c r="Q66" s="794"/>
      <c r="R66" s="795"/>
    </row>
    <row r="67" spans="1:18" x14ac:dyDescent="0.25">
      <c r="A67" s="49" t="s">
        <v>448</v>
      </c>
      <c r="B67" s="707" t="s">
        <v>445</v>
      </c>
      <c r="C67" s="56">
        <v>170000</v>
      </c>
      <c r="D67" s="200"/>
      <c r="E67" s="134"/>
      <c r="F67" s="134"/>
      <c r="G67" s="6">
        <v>0</v>
      </c>
      <c r="H67" s="134"/>
      <c r="I67" s="134"/>
      <c r="J67" s="6">
        <f t="shared" ref="J67:J69" si="28">G67-C67</f>
        <v>-170000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413</v>
      </c>
      <c r="B68" s="707" t="s">
        <v>334</v>
      </c>
      <c r="C68" s="56">
        <v>820000</v>
      </c>
      <c r="D68" s="200"/>
      <c r="E68" s="134"/>
      <c r="F68" s="134"/>
      <c r="G68" s="6">
        <v>0</v>
      </c>
      <c r="H68" s="134"/>
      <c r="I68" s="134"/>
      <c r="J68" s="6">
        <f t="shared" si="28"/>
        <v>-820000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49" t="s">
        <v>391</v>
      </c>
      <c r="B69" s="218" t="s">
        <v>198</v>
      </c>
      <c r="C69" s="56">
        <v>11010000</v>
      </c>
      <c r="D69" s="200"/>
      <c r="E69" s="134"/>
      <c r="F69" s="134"/>
      <c r="G69" s="6">
        <f>3142200+346600</f>
        <v>3488800</v>
      </c>
      <c r="H69" s="134"/>
      <c r="I69" s="134"/>
      <c r="J69" s="6">
        <f t="shared" si="28"/>
        <v>-7521200</v>
      </c>
      <c r="K69" s="163"/>
      <c r="L69" s="4"/>
      <c r="M69" s="4"/>
      <c r="N69" s="4"/>
      <c r="O69" s="4"/>
      <c r="P69" s="4"/>
      <c r="Q69" s="4"/>
      <c r="R69" s="9"/>
    </row>
    <row r="70" spans="1:18" x14ac:dyDescent="0.25">
      <c r="A70" s="238" t="s">
        <v>504</v>
      </c>
      <c r="B70" s="238" t="s">
        <v>64</v>
      </c>
      <c r="C70" s="239">
        <f>SUM(C71:C72)</f>
        <v>408714000</v>
      </c>
      <c r="D70" s="241"/>
      <c r="E70" s="242"/>
      <c r="F70" s="242"/>
      <c r="G70" s="791">
        <v>0</v>
      </c>
      <c r="H70" s="242"/>
      <c r="I70" s="242"/>
      <c r="J70" s="791">
        <v>0</v>
      </c>
      <c r="K70" s="237"/>
      <c r="L70" s="4"/>
      <c r="M70" s="4"/>
      <c r="N70" s="4"/>
      <c r="O70" s="4"/>
      <c r="P70" s="4"/>
      <c r="Q70" s="4"/>
      <c r="R70" s="9"/>
    </row>
    <row r="71" spans="1:18" ht="21" customHeight="1" x14ac:dyDescent="0.25">
      <c r="A71" s="49" t="s">
        <v>450</v>
      </c>
      <c r="B71" s="707" t="s">
        <v>384</v>
      </c>
      <c r="C71" s="56">
        <v>10320000</v>
      </c>
      <c r="D71" s="200">
        <f>C71/C70*100</f>
        <v>2.5249930269087919</v>
      </c>
      <c r="E71" s="134">
        <f t="shared" ref="E71:E72" si="29">G71/C71*100</f>
        <v>100</v>
      </c>
      <c r="F71" s="134">
        <f t="shared" si="26"/>
        <v>2.5249930269087919</v>
      </c>
      <c r="G71" s="6">
        <f>10320000</f>
        <v>10320000</v>
      </c>
      <c r="H71" s="134">
        <f t="shared" ref="H71:H72" si="30">G71/C71*100</f>
        <v>100</v>
      </c>
      <c r="I71" s="134">
        <f t="shared" ref="I71:I72" si="31">(D71*H71)/100</f>
        <v>2.5249930269087919</v>
      </c>
      <c r="J71" s="6">
        <f t="shared" ref="J71:J72" si="32">G71-C71</f>
        <v>0</v>
      </c>
      <c r="K71" s="163"/>
      <c r="L71" s="4"/>
      <c r="M71" s="4"/>
      <c r="N71" s="4"/>
      <c r="O71" s="4"/>
      <c r="P71" s="4"/>
      <c r="Q71" s="4"/>
      <c r="R71" s="9"/>
    </row>
    <row r="72" spans="1:18" ht="15.75" thickBot="1" x14ac:dyDescent="0.3">
      <c r="A72" s="217" t="s">
        <v>449</v>
      </c>
      <c r="B72" s="78" t="s">
        <v>23</v>
      </c>
      <c r="C72" s="219">
        <v>398394000</v>
      </c>
      <c r="D72" s="200">
        <f>C72/C70*100</f>
        <v>97.475006973091212</v>
      </c>
      <c r="E72" s="134">
        <f t="shared" si="29"/>
        <v>66.631219094665084</v>
      </c>
      <c r="F72" s="134">
        <f t="shared" si="26"/>
        <v>64.948785458780478</v>
      </c>
      <c r="G72" s="6">
        <f>208703868+56750911</f>
        <v>265454779</v>
      </c>
      <c r="H72" s="134">
        <f t="shared" si="30"/>
        <v>66.631219094665084</v>
      </c>
      <c r="I72" s="134">
        <f t="shared" si="31"/>
        <v>64.948785458780478</v>
      </c>
      <c r="J72" s="6">
        <f t="shared" si="32"/>
        <v>-132939221</v>
      </c>
      <c r="K72" s="163"/>
      <c r="L72" s="4"/>
      <c r="M72" s="4"/>
      <c r="N72" s="4"/>
      <c r="O72" s="694"/>
      <c r="P72" s="4"/>
      <c r="Q72" s="4"/>
      <c r="R72" s="9"/>
    </row>
    <row r="73" spans="1:18" ht="15.75" thickBot="1" x14ac:dyDescent="0.3">
      <c r="A73" s="689" t="s">
        <v>248</v>
      </c>
      <c r="B73" s="708" t="s">
        <v>68</v>
      </c>
      <c r="C73" s="690"/>
      <c r="D73" s="216"/>
      <c r="E73" s="134"/>
      <c r="F73" s="134"/>
      <c r="G73" s="6">
        <v>0</v>
      </c>
      <c r="H73" s="134"/>
      <c r="I73" s="134"/>
      <c r="J73" s="6">
        <v>0</v>
      </c>
      <c r="K73" s="163"/>
      <c r="L73" s="4"/>
      <c r="M73" s="4"/>
      <c r="N73" s="4"/>
      <c r="O73" s="4"/>
      <c r="P73" s="4"/>
      <c r="Q73" s="4"/>
      <c r="R73" s="9"/>
    </row>
    <row r="74" spans="1:18" x14ac:dyDescent="0.25">
      <c r="A74" s="233" t="s">
        <v>249</v>
      </c>
      <c r="B74" s="696" t="s">
        <v>387</v>
      </c>
      <c r="C74" s="234">
        <f>SUM(C75:C77)</f>
        <v>237367500</v>
      </c>
      <c r="D74" s="241"/>
      <c r="E74" s="242"/>
      <c r="F74" s="242"/>
      <c r="G74" s="791">
        <v>0</v>
      </c>
      <c r="H74" s="242"/>
      <c r="I74" s="242"/>
      <c r="J74" s="791">
        <v>0</v>
      </c>
      <c r="K74" s="237"/>
      <c r="L74" s="4"/>
      <c r="M74" s="4"/>
      <c r="N74" s="4"/>
      <c r="O74" s="713"/>
      <c r="P74" s="4"/>
      <c r="Q74" s="4"/>
      <c r="R74" s="9"/>
    </row>
    <row r="75" spans="1:18" x14ac:dyDescent="0.25">
      <c r="A75" s="49" t="s">
        <v>471</v>
      </c>
      <c r="B75" s="78" t="s">
        <v>388</v>
      </c>
      <c r="C75" s="56">
        <v>54000000</v>
      </c>
      <c r="D75" s="200">
        <f>C75/C74*100</f>
        <v>22.749533950519762</v>
      </c>
      <c r="E75" s="134">
        <f t="shared" ref="E75:E77" si="33">G75/C75*100</f>
        <v>72.688264814814815</v>
      </c>
      <c r="F75" s="134">
        <f t="shared" ref="F75:F77" si="34">(D75*E75)/100</f>
        <v>16.536241482090006</v>
      </c>
      <c r="G75" s="6">
        <f>39251663</f>
        <v>39251663</v>
      </c>
      <c r="H75" s="134">
        <f t="shared" ref="H75:H79" si="35">G75/C75*100</f>
        <v>72.688264814814815</v>
      </c>
      <c r="I75" s="134">
        <f t="shared" ref="I75:I77" si="36">(D75*H75)/100</f>
        <v>16.536241482090006</v>
      </c>
      <c r="J75" s="6">
        <f t="shared" ref="J75:J77" si="37">G75-C75</f>
        <v>-14748337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472</v>
      </c>
      <c r="B76" s="78" t="s">
        <v>73</v>
      </c>
      <c r="C76" s="56">
        <v>39000000</v>
      </c>
      <c r="D76" s="200">
        <f>C76/C74*100</f>
        <v>16.430218964264274</v>
      </c>
      <c r="E76" s="134">
        <f t="shared" si="33"/>
        <v>65.437543589743584</v>
      </c>
      <c r="F76" s="134">
        <f t="shared" si="34"/>
        <v>10.751531696630749</v>
      </c>
      <c r="G76" s="6">
        <f>24647352+873290</f>
        <v>25520642</v>
      </c>
      <c r="H76" s="134">
        <f t="shared" si="35"/>
        <v>65.437543589743584</v>
      </c>
      <c r="I76" s="134">
        <f t="shared" si="36"/>
        <v>10.751531696630749</v>
      </c>
      <c r="J76" s="6">
        <f t="shared" si="37"/>
        <v>-13479358</v>
      </c>
      <c r="K76" s="163"/>
      <c r="L76" s="4"/>
      <c r="M76" s="730"/>
      <c r="N76" s="4"/>
      <c r="O76" s="4"/>
      <c r="P76" s="4"/>
      <c r="Q76" s="4"/>
      <c r="R76" s="9"/>
    </row>
    <row r="77" spans="1:18" x14ac:dyDescent="0.25">
      <c r="A77" s="49" t="s">
        <v>473</v>
      </c>
      <c r="B77" s="78" t="s">
        <v>75</v>
      </c>
      <c r="C77" s="56">
        <v>144367500</v>
      </c>
      <c r="D77" s="200">
        <f>C77/C74*100</f>
        <v>60.820247085215961</v>
      </c>
      <c r="E77" s="134">
        <f t="shared" si="33"/>
        <v>100.13439105061734</v>
      </c>
      <c r="F77" s="134">
        <f t="shared" si="34"/>
        <v>60.901984054261845</v>
      </c>
      <c r="G77" s="6">
        <f>140792017+3769500</f>
        <v>144561517</v>
      </c>
      <c r="H77" s="134">
        <f t="shared" si="35"/>
        <v>100.13439105061734</v>
      </c>
      <c r="I77" s="134">
        <f t="shared" si="36"/>
        <v>60.901984054261845</v>
      </c>
      <c r="J77" s="6">
        <f t="shared" si="37"/>
        <v>194017</v>
      </c>
      <c r="K77" s="163"/>
      <c r="L77" s="4"/>
      <c r="M77" s="4"/>
      <c r="N77" s="4"/>
      <c r="O77" s="4"/>
      <c r="P77" s="4"/>
      <c r="Q77" s="4"/>
      <c r="R77" s="9"/>
    </row>
    <row r="78" spans="1:18" x14ac:dyDescent="0.25">
      <c r="A78" s="238" t="s">
        <v>505</v>
      </c>
      <c r="B78" s="238" t="s">
        <v>76</v>
      </c>
      <c r="C78" s="239">
        <f>SUM(C79:C79)</f>
        <v>51000000</v>
      </c>
      <c r="D78" s="241"/>
      <c r="E78" s="242"/>
      <c r="F78" s="242"/>
      <c r="G78" s="791">
        <v>0</v>
      </c>
      <c r="H78" s="242"/>
      <c r="I78" s="242"/>
      <c r="J78" s="791">
        <v>0</v>
      </c>
      <c r="K78" s="237"/>
      <c r="L78" s="4"/>
      <c r="M78" s="4"/>
      <c r="N78" s="4"/>
      <c r="O78" s="4"/>
      <c r="P78" s="4"/>
      <c r="Q78" s="4"/>
      <c r="R78" s="9"/>
    </row>
    <row r="79" spans="1:18" ht="14.25" customHeight="1" thickBot="1" x14ac:dyDescent="0.3">
      <c r="A79" s="49" t="s">
        <v>450</v>
      </c>
      <c r="B79" s="707" t="s">
        <v>384</v>
      </c>
      <c r="C79" s="56">
        <v>51000000</v>
      </c>
      <c r="D79" s="200">
        <f>C79/C78*100</f>
        <v>100</v>
      </c>
      <c r="E79" s="134">
        <f t="shared" ref="E79" si="38">G79/C79*100</f>
        <v>75</v>
      </c>
      <c r="F79" s="134">
        <f t="shared" ref="F79" si="39">(D79*E79)/100</f>
        <v>75</v>
      </c>
      <c r="G79" s="6">
        <f>38250000</f>
        <v>38250000</v>
      </c>
      <c r="H79" s="134">
        <f t="shared" si="35"/>
        <v>75</v>
      </c>
      <c r="I79" s="134">
        <f t="shared" ref="I79" si="40">(D79*H79)/100</f>
        <v>75</v>
      </c>
      <c r="J79" s="6">
        <f>G79-C79</f>
        <v>-12750000</v>
      </c>
      <c r="K79" s="163"/>
      <c r="L79" s="4"/>
      <c r="M79" s="4"/>
      <c r="N79" s="4"/>
      <c r="O79" s="4"/>
      <c r="P79" s="4"/>
      <c r="Q79" s="4"/>
      <c r="R79" s="9"/>
    </row>
    <row r="80" spans="1:18" ht="26.25" thickBot="1" x14ac:dyDescent="0.3">
      <c r="A80" s="689" t="s">
        <v>506</v>
      </c>
      <c r="B80" s="692" t="s">
        <v>377</v>
      </c>
      <c r="C80" s="690"/>
      <c r="D80" s="216"/>
      <c r="E80" s="134"/>
      <c r="F80" s="134"/>
      <c r="G80" s="6">
        <v>0</v>
      </c>
      <c r="H80" s="134"/>
      <c r="I80" s="134"/>
      <c r="J80" s="6">
        <v>0</v>
      </c>
      <c r="K80" s="163"/>
      <c r="L80" s="4"/>
      <c r="M80" s="4"/>
      <c r="N80" s="4"/>
      <c r="O80" s="694"/>
      <c r="P80" s="4"/>
      <c r="Q80" s="4"/>
      <c r="R80" s="9"/>
    </row>
    <row r="81" spans="1:18" ht="26.25" x14ac:dyDescent="0.25">
      <c r="A81" s="693" t="s">
        <v>507</v>
      </c>
      <c r="B81" s="691" t="s">
        <v>474</v>
      </c>
      <c r="C81" s="234">
        <f>SUM(C82:C86)</f>
        <v>244497500</v>
      </c>
      <c r="D81" s="241"/>
      <c r="E81" s="242"/>
      <c r="F81" s="242"/>
      <c r="G81" s="791">
        <v>0</v>
      </c>
      <c r="H81" s="242"/>
      <c r="I81" s="242"/>
      <c r="J81" s="791">
        <v>0</v>
      </c>
      <c r="K81" s="244"/>
      <c r="L81" s="4"/>
      <c r="M81" s="4"/>
      <c r="N81" s="4"/>
      <c r="O81" s="4"/>
      <c r="P81" s="4"/>
      <c r="Q81" s="4"/>
      <c r="R81" s="9"/>
    </row>
    <row r="82" spans="1:18" s="783" customFormat="1" ht="25.5" x14ac:dyDescent="0.25">
      <c r="A82" s="801" t="s">
        <v>450</v>
      </c>
      <c r="B82" s="707" t="s">
        <v>384</v>
      </c>
      <c r="C82" s="788">
        <v>11940000</v>
      </c>
      <c r="D82" s="741"/>
      <c r="E82" s="742"/>
      <c r="F82" s="742"/>
      <c r="G82" s="6">
        <f>11010000</f>
        <v>11010000</v>
      </c>
      <c r="H82" s="742"/>
      <c r="I82" s="742"/>
      <c r="J82" s="6">
        <f t="shared" ref="J82:J86" si="41">G82-C82</f>
        <v>-930000</v>
      </c>
      <c r="K82" s="743"/>
      <c r="L82" s="737"/>
      <c r="M82" s="737"/>
      <c r="N82" s="737"/>
      <c r="O82" s="737"/>
      <c r="P82" s="737"/>
      <c r="Q82" s="737"/>
      <c r="R82" s="782"/>
    </row>
    <row r="83" spans="1:18" x14ac:dyDescent="0.25">
      <c r="A83" s="224" t="s">
        <v>475</v>
      </c>
      <c r="B83" s="78" t="s">
        <v>81</v>
      </c>
      <c r="C83" s="56">
        <v>162399536</v>
      </c>
      <c r="D83" s="200">
        <f>C83/C81*100</f>
        <v>66.421757277681778</v>
      </c>
      <c r="E83" s="134">
        <f t="shared" ref="E83:E86" si="42">G83/C83*100</f>
        <v>59.316698417167892</v>
      </c>
      <c r="F83" s="134">
        <f t="shared" ref="F83:F86" si="43">(D83*E83)/100</f>
        <v>39.399193447785763</v>
      </c>
      <c r="G83" s="6">
        <f>96330043</f>
        <v>96330043</v>
      </c>
      <c r="H83" s="134">
        <f t="shared" ref="H83:H86" si="44">G83/C83*100</f>
        <v>59.316698417167892</v>
      </c>
      <c r="I83" s="134">
        <f t="shared" ref="I83:I86" si="45">(D83*H83)/100</f>
        <v>39.399193447785763</v>
      </c>
      <c r="J83" s="6">
        <f t="shared" si="41"/>
        <v>-66069493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476</v>
      </c>
      <c r="B84" s="78" t="s">
        <v>83</v>
      </c>
      <c r="C84" s="56">
        <v>27600000</v>
      </c>
      <c r="D84" s="200">
        <f>C84/C81*100</f>
        <v>11.288458982198183</v>
      </c>
      <c r="E84" s="134">
        <f t="shared" si="42"/>
        <v>45.021739130434781</v>
      </c>
      <c r="F84" s="134">
        <f t="shared" si="43"/>
        <v>5.0822605548113993</v>
      </c>
      <c r="G84" s="6">
        <f>12426000</f>
        <v>12426000</v>
      </c>
      <c r="H84" s="134">
        <f t="shared" si="44"/>
        <v>45.021739130434781</v>
      </c>
      <c r="I84" s="134">
        <f t="shared" si="45"/>
        <v>5.0822605548113993</v>
      </c>
      <c r="J84" s="6">
        <f t="shared" si="41"/>
        <v>-15174000</v>
      </c>
      <c r="K84" s="56"/>
      <c r="L84" s="4"/>
      <c r="M84" s="4"/>
      <c r="N84" s="4"/>
      <c r="O84" s="4"/>
      <c r="P84" s="4"/>
      <c r="Q84" s="4"/>
      <c r="R84" s="9"/>
    </row>
    <row r="85" spans="1:18" x14ac:dyDescent="0.25">
      <c r="A85" s="49" t="s">
        <v>477</v>
      </c>
      <c r="B85" s="78" t="s">
        <v>85</v>
      </c>
      <c r="C85" s="56">
        <v>13307964</v>
      </c>
      <c r="D85" s="200">
        <f>C85/C81*100</f>
        <v>5.442985715600364</v>
      </c>
      <c r="E85" s="134">
        <f t="shared" si="42"/>
        <v>4.6768987352235101</v>
      </c>
      <c r="F85" s="134">
        <f t="shared" si="43"/>
        <v>0.25456293009130976</v>
      </c>
      <c r="G85" s="6">
        <f>622400</f>
        <v>622400</v>
      </c>
      <c r="H85" s="134">
        <f t="shared" si="44"/>
        <v>4.6768987352235101</v>
      </c>
      <c r="I85" s="134">
        <f t="shared" si="45"/>
        <v>0.25456293009130976</v>
      </c>
      <c r="J85" s="6">
        <f t="shared" si="41"/>
        <v>-12685564</v>
      </c>
      <c r="K85" s="56"/>
      <c r="L85" s="4"/>
      <c r="M85" s="4"/>
      <c r="N85" s="4"/>
      <c r="O85" s="713"/>
      <c r="P85" s="4"/>
      <c r="Q85" s="4"/>
      <c r="R85" s="9"/>
    </row>
    <row r="86" spans="1:18" ht="25.5" x14ac:dyDescent="0.25">
      <c r="A86" s="49" t="s">
        <v>478</v>
      </c>
      <c r="B86" s="77" t="s">
        <v>87</v>
      </c>
      <c r="C86" s="56">
        <v>29250000</v>
      </c>
      <c r="D86" s="200">
        <f>C86/C81*100</f>
        <v>11.963312508307856</v>
      </c>
      <c r="E86" s="134">
        <f t="shared" si="42"/>
        <v>94.593162393162388</v>
      </c>
      <c r="F86" s="134">
        <f t="shared" si="43"/>
        <v>11.316475628585158</v>
      </c>
      <c r="G86" s="6">
        <f>17270000+10398500</f>
        <v>27668500</v>
      </c>
      <c r="H86" s="134">
        <f t="shared" si="44"/>
        <v>94.593162393162388</v>
      </c>
      <c r="I86" s="134">
        <f t="shared" si="45"/>
        <v>11.316475628585158</v>
      </c>
      <c r="J86" s="6">
        <f t="shared" si="41"/>
        <v>-1581500</v>
      </c>
      <c r="K86" s="56"/>
      <c r="L86" s="4"/>
      <c r="M86" s="4"/>
      <c r="N86" s="4"/>
      <c r="O86" s="4"/>
      <c r="P86" s="4"/>
      <c r="Q86" s="4"/>
      <c r="R86" s="9"/>
    </row>
    <row r="87" spans="1:18" s="796" customFormat="1" x14ac:dyDescent="0.25">
      <c r="A87" s="799" t="s">
        <v>483</v>
      </c>
      <c r="B87" s="691" t="s">
        <v>479</v>
      </c>
      <c r="C87" s="800">
        <f>SUM(C89:C91)</f>
        <v>61430000</v>
      </c>
      <c r="D87" s="789"/>
      <c r="E87" s="790"/>
      <c r="F87" s="790"/>
      <c r="G87" s="791">
        <v>0</v>
      </c>
      <c r="H87" s="790"/>
      <c r="I87" s="790"/>
      <c r="J87" s="791">
        <v>0</v>
      </c>
      <c r="K87" s="792"/>
      <c r="L87" s="794"/>
      <c r="M87" s="794"/>
      <c r="N87" s="794"/>
      <c r="O87" s="794"/>
      <c r="P87" s="794"/>
      <c r="Q87" s="794"/>
      <c r="R87" s="795"/>
    </row>
    <row r="88" spans="1:18" s="796" customFormat="1" x14ac:dyDescent="0.25">
      <c r="A88" s="124" t="s">
        <v>450</v>
      </c>
      <c r="B88" s="927" t="s">
        <v>608</v>
      </c>
      <c r="C88" s="743">
        <v>3060000</v>
      </c>
      <c r="D88" s="741"/>
      <c r="E88" s="742"/>
      <c r="F88" s="742"/>
      <c r="G88" s="82"/>
      <c r="H88" s="742"/>
      <c r="I88" s="742"/>
      <c r="J88" s="6">
        <f>G88-C88</f>
        <v>-3060000</v>
      </c>
      <c r="K88" s="792"/>
      <c r="L88" s="794"/>
      <c r="M88" s="794"/>
      <c r="N88" s="794"/>
      <c r="O88" s="794"/>
      <c r="P88" s="794"/>
      <c r="Q88" s="794"/>
      <c r="R88" s="795"/>
    </row>
    <row r="89" spans="1:18" ht="25.5" x14ac:dyDescent="0.25">
      <c r="A89" s="49" t="s">
        <v>484</v>
      </c>
      <c r="B89" s="77" t="s">
        <v>480</v>
      </c>
      <c r="C89" s="56">
        <f>21750000</f>
        <v>21750000</v>
      </c>
      <c r="D89" s="200"/>
      <c r="E89" s="134"/>
      <c r="F89" s="134"/>
      <c r="G89" s="132">
        <f>11745000</f>
        <v>11745000</v>
      </c>
      <c r="H89" s="134"/>
      <c r="I89" s="134"/>
      <c r="J89" s="6">
        <f t="shared" ref="J89:J91" si="46">G89-C89</f>
        <v>-10005000</v>
      </c>
      <c r="K89" s="56"/>
      <c r="L89" s="4"/>
      <c r="M89" s="4"/>
      <c r="N89" s="4"/>
      <c r="O89" s="4"/>
      <c r="P89" s="4"/>
      <c r="Q89" s="4"/>
      <c r="R89" s="9"/>
    </row>
    <row r="90" spans="1:18" ht="25.5" x14ac:dyDescent="0.25">
      <c r="A90" s="49" t="s">
        <v>485</v>
      </c>
      <c r="B90" s="77" t="s">
        <v>481</v>
      </c>
      <c r="C90" s="56">
        <v>19320000</v>
      </c>
      <c r="D90" s="200"/>
      <c r="E90" s="134"/>
      <c r="F90" s="134"/>
      <c r="G90" s="6">
        <f>10360000</f>
        <v>10360000</v>
      </c>
      <c r="H90" s="134"/>
      <c r="I90" s="134"/>
      <c r="J90" s="6">
        <f t="shared" si="46"/>
        <v>-8960000</v>
      </c>
      <c r="K90" s="56"/>
      <c r="L90" s="4"/>
      <c r="M90" s="4"/>
      <c r="N90" s="4"/>
      <c r="O90" s="4"/>
      <c r="P90" s="4"/>
      <c r="Q90" s="4"/>
      <c r="R90" s="9"/>
    </row>
    <row r="91" spans="1:18" ht="25.5" x14ac:dyDescent="0.25">
      <c r="A91" s="49" t="s">
        <v>486</v>
      </c>
      <c r="B91" s="77" t="s">
        <v>482</v>
      </c>
      <c r="C91" s="56">
        <v>20360000</v>
      </c>
      <c r="D91" s="200"/>
      <c r="E91" s="134"/>
      <c r="F91" s="134"/>
      <c r="G91" s="132">
        <f>13380000</f>
        <v>13380000</v>
      </c>
      <c r="H91" s="134"/>
      <c r="I91" s="134"/>
      <c r="J91" s="6">
        <f t="shared" si="46"/>
        <v>-6980000</v>
      </c>
      <c r="K91" s="56"/>
      <c r="L91" s="4"/>
      <c r="M91" s="4"/>
      <c r="N91" s="4"/>
      <c r="O91" s="4"/>
      <c r="P91" s="4"/>
      <c r="Q91" s="4"/>
      <c r="R91" s="9"/>
    </row>
    <row r="92" spans="1:18" s="796" customFormat="1" ht="25.5" x14ac:dyDescent="0.25">
      <c r="A92" s="799" t="s">
        <v>508</v>
      </c>
      <c r="B92" s="802" t="s">
        <v>90</v>
      </c>
      <c r="C92" s="800">
        <v>107280000</v>
      </c>
      <c r="D92" s="789"/>
      <c r="E92" s="790"/>
      <c r="F92" s="790"/>
      <c r="G92" s="791"/>
      <c r="H92" s="790"/>
      <c r="I92" s="790"/>
      <c r="J92" s="791"/>
      <c r="K92" s="792"/>
      <c r="L92" s="794"/>
      <c r="M92" s="794"/>
      <c r="N92" s="794"/>
      <c r="O92" s="794"/>
      <c r="P92" s="794"/>
      <c r="Q92" s="794"/>
      <c r="R92" s="795"/>
    </row>
    <row r="93" spans="1:18" ht="25.5" x14ac:dyDescent="0.25">
      <c r="A93" s="49" t="s">
        <v>487</v>
      </c>
      <c r="B93" s="77" t="s">
        <v>509</v>
      </c>
      <c r="C93" s="56">
        <v>107280000</v>
      </c>
      <c r="D93" s="200"/>
      <c r="E93" s="134"/>
      <c r="F93" s="134"/>
      <c r="G93" s="132">
        <f>105975226+1093000</f>
        <v>107068226</v>
      </c>
      <c r="H93" s="134"/>
      <c r="I93" s="134"/>
      <c r="J93" s="6">
        <f>G93-C93</f>
        <v>-211774</v>
      </c>
      <c r="K93" s="56"/>
      <c r="L93" s="4"/>
      <c r="M93" s="4"/>
      <c r="N93" s="4"/>
      <c r="O93" s="4"/>
      <c r="P93" s="4"/>
      <c r="Q93" s="4"/>
      <c r="R93" s="9"/>
    </row>
    <row r="94" spans="1:18" ht="25.5" x14ac:dyDescent="0.25">
      <c r="A94" s="238" t="s">
        <v>510</v>
      </c>
      <c r="B94" s="240" t="s">
        <v>90</v>
      </c>
      <c r="C94" s="239">
        <v>47010000</v>
      </c>
      <c r="D94" s="241"/>
      <c r="E94" s="242"/>
      <c r="F94" s="242"/>
      <c r="G94" s="791">
        <v>0</v>
      </c>
      <c r="H94" s="242"/>
      <c r="I94" s="242"/>
      <c r="J94" s="791">
        <v>0</v>
      </c>
      <c r="K94" s="244"/>
      <c r="L94" s="4"/>
      <c r="M94" s="4"/>
      <c r="N94" s="4"/>
      <c r="O94" s="4"/>
      <c r="P94" s="4"/>
      <c r="Q94" s="4"/>
      <c r="R94" s="9"/>
    </row>
    <row r="95" spans="1:18" s="783" customFormat="1" x14ac:dyDescent="0.25">
      <c r="A95" s="124" t="s">
        <v>448</v>
      </c>
      <c r="B95" s="707" t="s">
        <v>445</v>
      </c>
      <c r="C95" s="743">
        <v>170000</v>
      </c>
      <c r="D95" s="741"/>
      <c r="E95" s="742"/>
      <c r="F95" s="742"/>
      <c r="G95" s="6">
        <f>170000</f>
        <v>170000</v>
      </c>
      <c r="H95" s="742"/>
      <c r="I95" s="742"/>
      <c r="J95" s="6">
        <f t="shared" ref="J95:J97" si="47">G95-C95</f>
        <v>0</v>
      </c>
      <c r="K95" s="743"/>
      <c r="L95" s="737"/>
      <c r="M95" s="737"/>
      <c r="N95" s="737"/>
      <c r="O95" s="737"/>
      <c r="P95" s="737"/>
      <c r="Q95" s="737"/>
      <c r="R95" s="782"/>
    </row>
    <row r="96" spans="1:18" x14ac:dyDescent="0.25">
      <c r="A96" s="49" t="s">
        <v>490</v>
      </c>
      <c r="B96" s="316" t="s">
        <v>488</v>
      </c>
      <c r="C96" s="56">
        <v>8500000</v>
      </c>
      <c r="D96" s="200">
        <f>C96/C94*100</f>
        <v>18.081259306530526</v>
      </c>
      <c r="E96" s="134">
        <f t="shared" ref="E96:E97" si="48">G96/C96*100</f>
        <v>0</v>
      </c>
      <c r="F96" s="134">
        <f t="shared" ref="F96:F97" si="49">(D96*E96)/100</f>
        <v>0</v>
      </c>
      <c r="G96" s="6">
        <v>0</v>
      </c>
      <c r="H96" s="134">
        <f t="shared" ref="H96:H97" si="50">G96/C96*100</f>
        <v>0</v>
      </c>
      <c r="I96" s="134">
        <f t="shared" ref="I96:I97" si="51">(D96*H96)/100</f>
        <v>0</v>
      </c>
      <c r="J96" s="6">
        <f t="shared" si="47"/>
        <v>-8500000</v>
      </c>
      <c r="K96" s="56"/>
      <c r="L96" s="4"/>
      <c r="M96" s="4"/>
      <c r="N96" s="4"/>
      <c r="O96" s="4"/>
      <c r="P96" s="4"/>
      <c r="Q96" s="4"/>
      <c r="R96" s="9"/>
    </row>
    <row r="97" spans="1:18" ht="25.5" x14ac:dyDescent="0.25">
      <c r="A97" s="49" t="s">
        <v>491</v>
      </c>
      <c r="B97" s="77" t="s">
        <v>489</v>
      </c>
      <c r="C97" s="56">
        <v>38340000</v>
      </c>
      <c r="D97" s="200">
        <f>C97/C94*100</f>
        <v>81.557115507338864</v>
      </c>
      <c r="E97" s="134">
        <f t="shared" si="48"/>
        <v>87.322183098591552</v>
      </c>
      <c r="F97" s="134">
        <f t="shared" si="49"/>
        <v>71.217453733248249</v>
      </c>
      <c r="G97" s="138">
        <f>19048825+14430500</f>
        <v>33479325</v>
      </c>
      <c r="H97" s="134">
        <f t="shared" si="50"/>
        <v>87.322183098591552</v>
      </c>
      <c r="I97" s="134">
        <f t="shared" si="51"/>
        <v>71.217453733248249</v>
      </c>
      <c r="J97" s="6">
        <f t="shared" si="47"/>
        <v>-4860675</v>
      </c>
      <c r="K97" s="56"/>
      <c r="L97" s="4"/>
      <c r="M97" s="695"/>
      <c r="N97" s="4"/>
      <c r="O97" s="4"/>
      <c r="P97" s="4"/>
      <c r="Q97" s="4"/>
      <c r="R97" s="9"/>
    </row>
    <row r="98" spans="1:18" x14ac:dyDescent="0.25">
      <c r="A98" s="1045" t="s">
        <v>95</v>
      </c>
      <c r="B98" s="1046"/>
      <c r="C98" s="1047"/>
      <c r="D98" s="81"/>
      <c r="E98" s="134"/>
      <c r="F98" s="134"/>
      <c r="G98" s="768">
        <f>SUM(G12:G97)</f>
        <v>13011835783</v>
      </c>
      <c r="H98" s="134"/>
      <c r="I98" s="134"/>
      <c r="J98" s="781">
        <v>0</v>
      </c>
      <c r="K98" s="130"/>
      <c r="L98" s="1"/>
      <c r="M98" s="1"/>
      <c r="N98" s="1"/>
      <c r="O98" s="1"/>
      <c r="P98" s="1"/>
      <c r="Q98" s="1"/>
      <c r="R98" s="1"/>
    </row>
    <row r="99" spans="1:18" x14ac:dyDescent="0.25">
      <c r="A99" s="50"/>
      <c r="B99" s="5"/>
      <c r="C99" s="50"/>
      <c r="D99" s="9"/>
      <c r="E99" s="23"/>
      <c r="F99" s="23"/>
      <c r="G99" s="11"/>
      <c r="H99" s="23"/>
      <c r="I99" s="23"/>
      <c r="J99" s="4"/>
      <c r="K99" s="9"/>
      <c r="L99" s="1"/>
      <c r="M99" s="1"/>
      <c r="N99" s="1"/>
      <c r="O99" s="1"/>
      <c r="P99" s="1"/>
      <c r="Q99" s="1"/>
      <c r="R99" s="1"/>
    </row>
    <row r="100" spans="1:18" x14ac:dyDescent="0.25">
      <c r="A100" s="1036" t="s">
        <v>0</v>
      </c>
      <c r="B100" s="1036"/>
      <c r="C100" s="1036"/>
      <c r="D100" s="1036"/>
      <c r="E100" s="1037"/>
      <c r="F100" s="1037"/>
      <c r="G100" s="1038"/>
      <c r="H100" s="1037"/>
      <c r="I100" s="1037"/>
      <c r="J100" s="1036"/>
      <c r="K100" s="1036"/>
      <c r="L100" s="1"/>
      <c r="M100" s="1"/>
      <c r="N100" s="1"/>
      <c r="O100" s="1"/>
      <c r="P100" s="1"/>
      <c r="Q100" s="1"/>
      <c r="R100" s="1"/>
    </row>
    <row r="101" spans="1:18" x14ac:dyDescent="0.25">
      <c r="A101" s="1036" t="s">
        <v>511</v>
      </c>
      <c r="B101" s="1036"/>
      <c r="C101" s="1036"/>
      <c r="D101" s="1036"/>
      <c r="E101" s="1037"/>
      <c r="F101" s="1037"/>
      <c r="G101" s="1038"/>
      <c r="H101" s="1037"/>
      <c r="I101" s="1037"/>
      <c r="J101" s="1036"/>
      <c r="K101" s="1036"/>
      <c r="L101" s="9"/>
      <c r="M101" s="9"/>
      <c r="N101" s="9"/>
      <c r="O101" s="9"/>
      <c r="P101" s="9"/>
      <c r="Q101" s="9"/>
      <c r="R101" s="9"/>
    </row>
    <row r="102" spans="1:18" x14ac:dyDescent="0.25">
      <c r="A102" s="1161" t="s">
        <v>258</v>
      </c>
      <c r="B102" s="1161"/>
      <c r="C102" s="1161"/>
      <c r="D102" s="1161"/>
      <c r="E102" s="1161"/>
      <c r="F102" s="1161"/>
      <c r="G102" s="1161"/>
      <c r="H102" s="1161"/>
      <c r="I102" s="1161"/>
      <c r="J102" s="1161"/>
      <c r="K102" s="1161"/>
      <c r="L102" s="9"/>
      <c r="M102" s="9"/>
      <c r="N102" s="9"/>
      <c r="O102" s="9"/>
      <c r="P102" s="9"/>
      <c r="Q102" s="9"/>
      <c r="R102" s="9"/>
    </row>
    <row r="103" spans="1:18" x14ac:dyDescent="0.25">
      <c r="A103" s="1048" t="s">
        <v>2</v>
      </c>
      <c r="B103" s="1051" t="s">
        <v>3</v>
      </c>
      <c r="C103" s="1048" t="s">
        <v>4</v>
      </c>
      <c r="D103" s="1054" t="s">
        <v>5</v>
      </c>
      <c r="E103" s="1055"/>
      <c r="F103" s="1055"/>
      <c r="G103" s="1044" t="s">
        <v>6</v>
      </c>
      <c r="H103" s="1055"/>
      <c r="I103" s="1055"/>
      <c r="J103" s="1048" t="s">
        <v>7</v>
      </c>
      <c r="K103" s="213" t="s">
        <v>8</v>
      </c>
      <c r="L103" s="9"/>
      <c r="M103" s="9"/>
      <c r="N103" s="9"/>
      <c r="O103" s="9"/>
      <c r="P103" s="9"/>
      <c r="Q103" s="9"/>
      <c r="R103" s="9"/>
    </row>
    <row r="104" spans="1:18" x14ac:dyDescent="0.25">
      <c r="A104" s="1049"/>
      <c r="B104" s="1052"/>
      <c r="C104" s="1049"/>
      <c r="D104" s="209" t="s">
        <v>9</v>
      </c>
      <c r="E104" s="214" t="s">
        <v>10</v>
      </c>
      <c r="F104" s="214" t="s">
        <v>11</v>
      </c>
      <c r="G104" s="209" t="s">
        <v>12</v>
      </c>
      <c r="H104" s="214" t="s">
        <v>13</v>
      </c>
      <c r="I104" s="214" t="s">
        <v>11</v>
      </c>
      <c r="J104" s="1049"/>
      <c r="K104" s="209"/>
      <c r="L104" s="1"/>
      <c r="M104" s="1"/>
      <c r="N104" s="1"/>
      <c r="O104" s="1"/>
      <c r="P104" s="1"/>
      <c r="Q104" s="1"/>
      <c r="R104" s="1"/>
    </row>
    <row r="105" spans="1:18" x14ac:dyDescent="0.25">
      <c r="A105" s="1050"/>
      <c r="B105" s="1053"/>
      <c r="C105" s="1050"/>
      <c r="D105" s="212" t="s">
        <v>14</v>
      </c>
      <c r="E105" s="215" t="s">
        <v>14</v>
      </c>
      <c r="F105" s="215" t="s">
        <v>14</v>
      </c>
      <c r="G105" s="212" t="s">
        <v>15</v>
      </c>
      <c r="H105" s="215" t="s">
        <v>14</v>
      </c>
      <c r="I105" s="215" t="s">
        <v>14</v>
      </c>
      <c r="J105" s="212" t="s">
        <v>15</v>
      </c>
      <c r="K105" s="212"/>
      <c r="L105" s="1"/>
      <c r="M105" s="1"/>
      <c r="N105" s="1"/>
      <c r="O105" s="1"/>
      <c r="P105" s="1"/>
      <c r="Q105" s="1"/>
      <c r="R105" s="1"/>
    </row>
    <row r="106" spans="1:18" ht="26.25" thickBot="1" x14ac:dyDescent="0.3">
      <c r="A106" s="227" t="s">
        <v>220</v>
      </c>
      <c r="B106" s="704" t="s">
        <v>212</v>
      </c>
      <c r="C106" s="922"/>
      <c r="D106" s="6"/>
      <c r="E106" s="203"/>
      <c r="F106" s="204"/>
      <c r="G106" s="6"/>
      <c r="H106" s="204"/>
      <c r="I106" s="204"/>
      <c r="J106" s="6"/>
      <c r="K106" s="6"/>
      <c r="L106" s="1"/>
      <c r="M106" s="1"/>
      <c r="N106" s="1"/>
      <c r="O106" s="714"/>
      <c r="P106" s="1"/>
      <c r="Q106" s="1"/>
      <c r="R106" s="1"/>
    </row>
    <row r="107" spans="1:18" ht="26.25" thickBot="1" x14ac:dyDescent="0.3">
      <c r="A107" s="703" t="s">
        <v>180</v>
      </c>
      <c r="B107" s="705" t="s">
        <v>379</v>
      </c>
      <c r="C107" s="246">
        <f>SUM(C109:C143)</f>
        <v>1481315000</v>
      </c>
      <c r="D107" s="226"/>
      <c r="E107" s="204"/>
      <c r="F107" s="204"/>
      <c r="G107" s="6"/>
      <c r="H107" s="204"/>
      <c r="I107" s="204"/>
      <c r="J107" s="6"/>
      <c r="K107" s="6"/>
      <c r="L107" s="1"/>
      <c r="M107" s="1"/>
      <c r="N107" s="1"/>
      <c r="O107" s="1"/>
      <c r="P107" s="1"/>
      <c r="Q107" s="1"/>
      <c r="R107" s="1"/>
    </row>
    <row r="108" spans="1:18" ht="25.5" x14ac:dyDescent="0.25">
      <c r="A108" s="698" t="s">
        <v>181</v>
      </c>
      <c r="B108" s="706" t="s">
        <v>380</v>
      </c>
      <c r="C108" s="246">
        <f>SUM(C109:C143)</f>
        <v>1481315000</v>
      </c>
      <c r="D108" s="236"/>
      <c r="E108" s="278"/>
      <c r="F108" s="278"/>
      <c r="G108" s="236"/>
      <c r="H108" s="278"/>
      <c r="I108" s="278"/>
      <c r="J108" s="236"/>
      <c r="K108" s="236"/>
      <c r="L108" s="1"/>
      <c r="M108" s="1"/>
      <c r="N108" s="1"/>
      <c r="O108" s="715"/>
      <c r="P108" s="1"/>
      <c r="Q108" s="1"/>
      <c r="R108" s="1"/>
    </row>
    <row r="109" spans="1:18" ht="15" customHeight="1" x14ac:dyDescent="0.25">
      <c r="A109" s="315" t="s">
        <v>450</v>
      </c>
      <c r="B109" s="707" t="s">
        <v>384</v>
      </c>
      <c r="C109" s="722">
        <v>73080000</v>
      </c>
      <c r="D109" s="722">
        <f>C109/C107*100</f>
        <v>4.9334543969378561</v>
      </c>
      <c r="E109" s="134">
        <f t="shared" ref="E109:E137" si="52">G109/C109*100</f>
        <v>83.333333333333343</v>
      </c>
      <c r="F109" s="134">
        <f t="shared" ref="F109:F137" si="53">(D109*E109)/100</f>
        <v>4.1112119974482138</v>
      </c>
      <c r="G109" s="6">
        <f>60900000</f>
        <v>60900000</v>
      </c>
      <c r="H109" s="134">
        <f t="shared" ref="H109:H137" si="54">G109/C109*100</f>
        <v>83.333333333333343</v>
      </c>
      <c r="I109" s="134">
        <f t="shared" ref="I109:I137" si="55">(D109*H109)/100</f>
        <v>4.1112119974482138</v>
      </c>
      <c r="J109" s="6">
        <f t="shared" ref="J109:J138" si="56">G109-C109</f>
        <v>-12180000</v>
      </c>
      <c r="K109" s="6"/>
      <c r="L109" s="1"/>
      <c r="M109" s="1"/>
      <c r="N109" s="1"/>
      <c r="O109" s="1"/>
      <c r="P109" s="1"/>
      <c r="Q109" s="1"/>
      <c r="R109" s="1"/>
    </row>
    <row r="110" spans="1:18" ht="15" customHeight="1" x14ac:dyDescent="0.25">
      <c r="A110" s="124" t="s">
        <v>448</v>
      </c>
      <c r="B110" s="707" t="s">
        <v>445</v>
      </c>
      <c r="C110" s="722">
        <v>1870000</v>
      </c>
      <c r="D110" s="722"/>
      <c r="E110" s="134"/>
      <c r="F110" s="134"/>
      <c r="G110" s="6"/>
      <c r="H110" s="134"/>
      <c r="I110" s="134"/>
      <c r="J110" s="6"/>
      <c r="K110" s="6"/>
      <c r="L110" s="1"/>
      <c r="M110" s="1"/>
      <c r="N110" s="1"/>
      <c r="O110" s="1"/>
      <c r="P110" s="1"/>
      <c r="Q110" s="1"/>
      <c r="R110" s="1"/>
    </row>
    <row r="111" spans="1:18" ht="15" customHeight="1" x14ac:dyDescent="0.25">
      <c r="A111" s="315" t="s">
        <v>518</v>
      </c>
      <c r="B111" s="707" t="s">
        <v>512</v>
      </c>
      <c r="C111" s="722">
        <v>1500000</v>
      </c>
      <c r="D111" s="722"/>
      <c r="E111" s="134"/>
      <c r="F111" s="134"/>
      <c r="G111" s="6">
        <f>1500000</f>
        <v>1500000</v>
      </c>
      <c r="H111" s="134"/>
      <c r="I111" s="134"/>
      <c r="J111" s="6">
        <f t="shared" si="56"/>
        <v>0</v>
      </c>
      <c r="K111" s="6"/>
      <c r="L111" s="1"/>
      <c r="M111" s="1"/>
      <c r="N111" s="1"/>
      <c r="O111" s="1"/>
      <c r="P111" s="1"/>
      <c r="Q111" s="1"/>
      <c r="R111" s="1"/>
    </row>
    <row r="112" spans="1:18" x14ac:dyDescent="0.25">
      <c r="A112" s="315" t="s">
        <v>59</v>
      </c>
      <c r="B112" s="707" t="s">
        <v>197</v>
      </c>
      <c r="C112" s="247">
        <v>32666800</v>
      </c>
      <c r="D112" s="279">
        <f>C112/C107*100</f>
        <v>2.2052568157346681</v>
      </c>
      <c r="E112" s="134">
        <f t="shared" si="52"/>
        <v>92.163909535063127</v>
      </c>
      <c r="F112" s="134">
        <f t="shared" si="53"/>
        <v>2.0324508966695132</v>
      </c>
      <c r="G112" s="6">
        <f>24590500+5516500</f>
        <v>30107000</v>
      </c>
      <c r="H112" s="134">
        <f t="shared" si="54"/>
        <v>92.163909535063127</v>
      </c>
      <c r="I112" s="134">
        <f t="shared" si="55"/>
        <v>2.0324508966695132</v>
      </c>
      <c r="J112" s="6">
        <f t="shared" si="56"/>
        <v>-2559800</v>
      </c>
      <c r="K112" s="6"/>
      <c r="L112" s="1"/>
      <c r="M112" s="25"/>
    </row>
    <row r="113" spans="1:15" x14ac:dyDescent="0.25">
      <c r="A113" s="228" t="s">
        <v>62</v>
      </c>
      <c r="B113" s="707" t="s">
        <v>334</v>
      </c>
      <c r="C113" s="247">
        <v>32712000</v>
      </c>
      <c r="D113" s="279">
        <f>C113/C107*100</f>
        <v>2.2083081586293263</v>
      </c>
      <c r="E113" s="134">
        <f t="shared" si="52"/>
        <v>96.903582783076544</v>
      </c>
      <c r="F113" s="134">
        <f t="shared" si="53"/>
        <v>2.1399297246028026</v>
      </c>
      <c r="G113" s="6">
        <f>29824100+1875000</f>
        <v>31699100</v>
      </c>
      <c r="H113" s="134">
        <f t="shared" si="54"/>
        <v>96.903582783076544</v>
      </c>
      <c r="I113" s="134">
        <f t="shared" si="55"/>
        <v>2.1399297246028026</v>
      </c>
      <c r="J113" s="6">
        <f t="shared" si="56"/>
        <v>-1012900</v>
      </c>
      <c r="K113" s="6"/>
      <c r="L113" s="1"/>
      <c r="M113" s="1"/>
      <c r="O113" s="716"/>
    </row>
    <row r="114" spans="1:15" x14ac:dyDescent="0.25">
      <c r="A114" s="315" t="s">
        <v>54</v>
      </c>
      <c r="B114" s="707" t="s">
        <v>386</v>
      </c>
      <c r="C114" s="248">
        <v>6000000</v>
      </c>
      <c r="D114" s="279">
        <f>C114/C107*100</f>
        <v>0.40504551698997171</v>
      </c>
      <c r="E114" s="134">
        <f t="shared" si="52"/>
        <v>0</v>
      </c>
      <c r="F114" s="134">
        <f t="shared" si="53"/>
        <v>0</v>
      </c>
      <c r="G114" s="6">
        <v>0</v>
      </c>
      <c r="H114" s="134">
        <f t="shared" si="54"/>
        <v>0</v>
      </c>
      <c r="I114" s="134">
        <f t="shared" si="55"/>
        <v>0</v>
      </c>
      <c r="J114" s="6">
        <f t="shared" si="56"/>
        <v>-6000000</v>
      </c>
      <c r="K114" s="6"/>
      <c r="L114" s="1"/>
      <c r="M114" s="1"/>
    </row>
    <row r="115" spans="1:15" ht="25.5" x14ac:dyDescent="0.25">
      <c r="A115" s="315" t="s">
        <v>86</v>
      </c>
      <c r="B115" s="707" t="s">
        <v>545</v>
      </c>
      <c r="C115" s="732">
        <v>6000000</v>
      </c>
      <c r="D115" s="279"/>
      <c r="E115" s="134"/>
      <c r="F115" s="134"/>
      <c r="G115" s="6">
        <v>6000000</v>
      </c>
      <c r="H115" s="134"/>
      <c r="I115" s="134"/>
      <c r="J115" s="6">
        <f t="shared" si="56"/>
        <v>0</v>
      </c>
      <c r="K115" s="6"/>
      <c r="L115" s="1"/>
      <c r="M115" s="1"/>
    </row>
    <row r="116" spans="1:15" ht="25.5" x14ac:dyDescent="0.25">
      <c r="A116" s="315" t="s">
        <v>193</v>
      </c>
      <c r="B116" s="316" t="s">
        <v>372</v>
      </c>
      <c r="C116" s="732">
        <v>20000000</v>
      </c>
      <c r="D116" s="279">
        <f>C116/C107*100</f>
        <v>1.3501517232999058</v>
      </c>
      <c r="E116" s="134">
        <f t="shared" si="52"/>
        <v>78.7</v>
      </c>
      <c r="F116" s="134">
        <f t="shared" si="53"/>
        <v>1.0625694062370259</v>
      </c>
      <c r="G116" s="6">
        <f>14000000+1740000</f>
        <v>15740000</v>
      </c>
      <c r="H116" s="134">
        <f t="shared" si="54"/>
        <v>78.7</v>
      </c>
      <c r="I116" s="134">
        <f t="shared" si="55"/>
        <v>1.0625694062370259</v>
      </c>
      <c r="J116" s="6">
        <f t="shared" si="56"/>
        <v>-4260000</v>
      </c>
      <c r="K116" s="6"/>
      <c r="L116" s="1"/>
      <c r="M116" s="716"/>
    </row>
    <row r="117" spans="1:15" x14ac:dyDescent="0.25">
      <c r="A117" s="315" t="s">
        <v>519</v>
      </c>
      <c r="B117" s="315" t="s">
        <v>513</v>
      </c>
      <c r="C117" s="248">
        <v>2292000</v>
      </c>
      <c r="D117" s="279">
        <f>C117/C107*100</f>
        <v>0.1547273874901692</v>
      </c>
      <c r="E117" s="134">
        <v>0</v>
      </c>
      <c r="F117" s="134">
        <f t="shared" si="53"/>
        <v>0</v>
      </c>
      <c r="G117" s="6">
        <f>2292000</f>
        <v>2292000</v>
      </c>
      <c r="H117" s="134">
        <v>0</v>
      </c>
      <c r="I117" s="134">
        <f t="shared" si="55"/>
        <v>0</v>
      </c>
      <c r="J117" s="6">
        <f t="shared" si="56"/>
        <v>0</v>
      </c>
      <c r="K117" s="6"/>
      <c r="L117" s="1"/>
      <c r="M117" s="1"/>
    </row>
    <row r="118" spans="1:15" x14ac:dyDescent="0.25">
      <c r="A118" s="315" t="s">
        <v>579</v>
      </c>
      <c r="B118" s="315" t="s">
        <v>566</v>
      </c>
      <c r="C118" s="248">
        <v>9777000</v>
      </c>
      <c r="D118" s="279"/>
      <c r="E118" s="134"/>
      <c r="F118" s="134"/>
      <c r="G118" s="6"/>
      <c r="H118" s="134"/>
      <c r="I118" s="134"/>
      <c r="J118" s="6"/>
      <c r="K118" s="6"/>
      <c r="L118" s="1"/>
      <c r="M118" s="1"/>
    </row>
    <row r="119" spans="1:15" x14ac:dyDescent="0.25">
      <c r="A119" s="315" t="s">
        <v>465</v>
      </c>
      <c r="B119" s="315" t="s">
        <v>567</v>
      </c>
      <c r="C119" s="248">
        <v>8400000</v>
      </c>
      <c r="D119" s="279"/>
      <c r="E119" s="134"/>
      <c r="F119" s="134"/>
      <c r="G119" s="6"/>
      <c r="H119" s="134"/>
      <c r="I119" s="134"/>
      <c r="J119" s="6"/>
      <c r="K119" s="6"/>
      <c r="L119" s="1"/>
      <c r="M119" s="1"/>
    </row>
    <row r="120" spans="1:15" x14ac:dyDescent="0.25">
      <c r="A120" s="228" t="s">
        <v>77</v>
      </c>
      <c r="B120" s="315" t="s">
        <v>103</v>
      </c>
      <c r="C120" s="247">
        <v>397980000</v>
      </c>
      <c r="D120" s="279">
        <f>C120/C107*100</f>
        <v>26.866669141944826</v>
      </c>
      <c r="E120" s="134">
        <f t="shared" si="52"/>
        <v>71.185109804512791</v>
      </c>
      <c r="F120" s="134">
        <f t="shared" si="53"/>
        <v>19.125067929508578</v>
      </c>
      <c r="G120" s="6">
        <f>279702500+3600000</f>
        <v>283302500</v>
      </c>
      <c r="H120" s="134">
        <f t="shared" si="54"/>
        <v>71.185109804512791</v>
      </c>
      <c r="I120" s="134">
        <f t="shared" si="55"/>
        <v>19.125067929508578</v>
      </c>
      <c r="J120" s="6">
        <f t="shared" si="56"/>
        <v>-114677500</v>
      </c>
      <c r="K120" s="6"/>
      <c r="L120" s="1"/>
      <c r="M120" s="1"/>
    </row>
    <row r="121" spans="1:15" x14ac:dyDescent="0.25">
      <c r="A121" s="228" t="s">
        <v>592</v>
      </c>
      <c r="B121" s="315" t="s">
        <v>568</v>
      </c>
      <c r="C121" s="247">
        <f>32650200</f>
        <v>32650200</v>
      </c>
      <c r="D121" s="279"/>
      <c r="E121" s="134"/>
      <c r="F121" s="134"/>
      <c r="G121" s="6"/>
      <c r="H121" s="134"/>
      <c r="I121" s="134"/>
      <c r="J121" s="6"/>
      <c r="K121" s="6"/>
      <c r="L121" s="1"/>
      <c r="M121" s="1"/>
    </row>
    <row r="122" spans="1:15" x14ac:dyDescent="0.25">
      <c r="A122" s="228" t="s">
        <v>225</v>
      </c>
      <c r="B122" s="315" t="s">
        <v>217</v>
      </c>
      <c r="C122" s="247">
        <v>600000</v>
      </c>
      <c r="D122" s="279">
        <f>C122/C107*100</f>
        <v>4.0504551698997172E-2</v>
      </c>
      <c r="E122" s="134">
        <f t="shared" si="52"/>
        <v>100</v>
      </c>
      <c r="F122" s="134">
        <f t="shared" si="53"/>
        <v>4.0504551698997165E-2</v>
      </c>
      <c r="G122" s="6">
        <f>600000</f>
        <v>600000</v>
      </c>
      <c r="H122" s="134">
        <f t="shared" si="54"/>
        <v>100</v>
      </c>
      <c r="I122" s="134">
        <f t="shared" si="55"/>
        <v>4.0504551698997165E-2</v>
      </c>
      <c r="J122" s="6">
        <f t="shared" si="56"/>
        <v>0</v>
      </c>
      <c r="K122" s="6"/>
      <c r="L122" s="1"/>
      <c r="M122" s="1"/>
    </row>
    <row r="123" spans="1:15" x14ac:dyDescent="0.25">
      <c r="A123" s="228" t="s">
        <v>611</v>
      </c>
      <c r="B123" s="315" t="s">
        <v>172</v>
      </c>
      <c r="C123" s="247">
        <v>3300000</v>
      </c>
      <c r="D123" s="279"/>
      <c r="E123" s="134"/>
      <c r="F123" s="134"/>
      <c r="G123" s="6"/>
      <c r="H123" s="134"/>
      <c r="I123" s="134"/>
      <c r="J123" s="6"/>
      <c r="K123" s="6"/>
      <c r="L123" s="1"/>
      <c r="M123" s="1"/>
    </row>
    <row r="124" spans="1:15" x14ac:dyDescent="0.25">
      <c r="A124" s="228" t="s">
        <v>283</v>
      </c>
      <c r="B124" s="315" t="s">
        <v>514</v>
      </c>
      <c r="C124" s="247">
        <v>5000000</v>
      </c>
      <c r="D124" s="279">
        <f>C124/C107*100</f>
        <v>0.33753793082497646</v>
      </c>
      <c r="E124" s="134">
        <f t="shared" si="52"/>
        <v>100</v>
      </c>
      <c r="F124" s="134">
        <f t="shared" si="53"/>
        <v>0.33753793082497646</v>
      </c>
      <c r="G124" s="6">
        <f>5000000</f>
        <v>5000000</v>
      </c>
      <c r="H124" s="134">
        <f t="shared" si="54"/>
        <v>100</v>
      </c>
      <c r="I124" s="134">
        <f t="shared" si="55"/>
        <v>0.33753793082497646</v>
      </c>
      <c r="J124" s="6">
        <f t="shared" si="56"/>
        <v>0</v>
      </c>
      <c r="K124" s="6"/>
      <c r="L124" s="1"/>
      <c r="M124" s="1"/>
    </row>
    <row r="125" spans="1:15" x14ac:dyDescent="0.25">
      <c r="A125" s="228" t="s">
        <v>104</v>
      </c>
      <c r="B125" s="315" t="s">
        <v>105</v>
      </c>
      <c r="C125" s="249">
        <v>76700000</v>
      </c>
      <c r="D125" s="279">
        <f>C125/C107*100</f>
        <v>5.1778318588551393</v>
      </c>
      <c r="E125" s="134">
        <f t="shared" si="52"/>
        <v>100</v>
      </c>
      <c r="F125" s="134">
        <f t="shared" si="53"/>
        <v>5.1778318588551393</v>
      </c>
      <c r="G125" s="6">
        <f>76700000</f>
        <v>76700000</v>
      </c>
      <c r="H125" s="134">
        <f t="shared" si="54"/>
        <v>100</v>
      </c>
      <c r="I125" s="134">
        <f t="shared" si="55"/>
        <v>5.1778318588551393</v>
      </c>
      <c r="J125" s="6">
        <f t="shared" si="56"/>
        <v>0</v>
      </c>
      <c r="K125" s="6"/>
      <c r="L125" s="1"/>
      <c r="M125" s="1"/>
    </row>
    <row r="126" spans="1:15" x14ac:dyDescent="0.25">
      <c r="A126" s="228" t="s">
        <v>130</v>
      </c>
      <c r="B126" s="315" t="s">
        <v>392</v>
      </c>
      <c r="C126" s="249">
        <v>28200000</v>
      </c>
      <c r="D126" s="279"/>
      <c r="E126" s="134"/>
      <c r="F126" s="134"/>
      <c r="G126" s="6">
        <f>28200000</f>
        <v>28200000</v>
      </c>
      <c r="H126" s="134"/>
      <c r="I126" s="134"/>
      <c r="J126" s="6">
        <f t="shared" si="56"/>
        <v>0</v>
      </c>
      <c r="K126" s="6"/>
      <c r="L126" s="1"/>
      <c r="M126" s="1"/>
    </row>
    <row r="127" spans="1:15" ht="25.5" x14ac:dyDescent="0.25">
      <c r="A127" s="228" t="s">
        <v>106</v>
      </c>
      <c r="B127" s="316" t="s">
        <v>107</v>
      </c>
      <c r="C127" s="251">
        <v>237000000</v>
      </c>
      <c r="D127" s="279">
        <f>C127/C107*100</f>
        <v>15.999297921103883</v>
      </c>
      <c r="E127" s="134">
        <f t="shared" si="52"/>
        <v>91.962025316455694</v>
      </c>
      <c r="F127" s="134">
        <f t="shared" si="53"/>
        <v>14.713278404660723</v>
      </c>
      <c r="G127" s="135">
        <f>217950000</f>
        <v>217950000</v>
      </c>
      <c r="H127" s="134">
        <f t="shared" si="54"/>
        <v>91.962025316455694</v>
      </c>
      <c r="I127" s="134">
        <f t="shared" si="55"/>
        <v>14.713278404660723</v>
      </c>
      <c r="J127" s="6">
        <f t="shared" si="56"/>
        <v>-19050000</v>
      </c>
      <c r="K127" s="6"/>
      <c r="L127" s="1"/>
      <c r="M127" s="1"/>
    </row>
    <row r="128" spans="1:15" x14ac:dyDescent="0.25">
      <c r="A128" s="228" t="s">
        <v>227</v>
      </c>
      <c r="B128" s="315" t="s">
        <v>218</v>
      </c>
      <c r="C128" s="250">
        <v>246000000</v>
      </c>
      <c r="D128" s="279">
        <f>C128/C107*100</f>
        <v>16.60686619658884</v>
      </c>
      <c r="E128" s="134">
        <f t="shared" si="52"/>
        <v>71.219512195121951</v>
      </c>
      <c r="F128" s="134">
        <f t="shared" si="53"/>
        <v>11.827329096107173</v>
      </c>
      <c r="G128" s="6">
        <f>175200000</f>
        <v>175200000</v>
      </c>
      <c r="H128" s="134">
        <f t="shared" si="54"/>
        <v>71.219512195121951</v>
      </c>
      <c r="I128" s="134">
        <f t="shared" si="55"/>
        <v>11.827329096107173</v>
      </c>
      <c r="J128" s="6">
        <f t="shared" si="56"/>
        <v>-70800000</v>
      </c>
      <c r="K128" s="6"/>
      <c r="L128" s="1"/>
      <c r="M128" s="1"/>
    </row>
    <row r="129" spans="1:13" x14ac:dyDescent="0.25">
      <c r="A129" s="228" t="s">
        <v>607</v>
      </c>
      <c r="B129" s="315" t="s">
        <v>606</v>
      </c>
      <c r="C129" s="250">
        <v>51600000</v>
      </c>
      <c r="D129" s="279"/>
      <c r="E129" s="134"/>
      <c r="F129" s="134"/>
      <c r="G129" s="6"/>
      <c r="H129" s="134"/>
      <c r="I129" s="134"/>
      <c r="J129" s="6"/>
      <c r="K129" s="6"/>
      <c r="L129" s="1"/>
      <c r="M129" s="1"/>
    </row>
    <row r="130" spans="1:13" x14ac:dyDescent="0.25">
      <c r="A130" s="315" t="s">
        <v>108</v>
      </c>
      <c r="B130" s="315" t="s">
        <v>109</v>
      </c>
      <c r="C130" s="250">
        <v>1200000</v>
      </c>
      <c r="D130" s="279">
        <f>C130/C107*100</f>
        <v>8.1009103397994345E-2</v>
      </c>
      <c r="E130" s="134">
        <f t="shared" si="52"/>
        <v>0</v>
      </c>
      <c r="F130" s="134">
        <f t="shared" si="53"/>
        <v>0</v>
      </c>
      <c r="G130" s="6">
        <v>0</v>
      </c>
      <c r="H130" s="134">
        <f t="shared" si="54"/>
        <v>0</v>
      </c>
      <c r="I130" s="134">
        <f t="shared" si="55"/>
        <v>0</v>
      </c>
      <c r="J130" s="6">
        <f t="shared" si="56"/>
        <v>-1200000</v>
      </c>
      <c r="K130" s="6"/>
      <c r="L130" s="1"/>
      <c r="M130" s="1"/>
    </row>
    <row r="131" spans="1:13" x14ac:dyDescent="0.25">
      <c r="A131" s="315" t="s">
        <v>462</v>
      </c>
      <c r="B131" s="315" t="s">
        <v>573</v>
      </c>
      <c r="C131" s="250">
        <v>3532200</v>
      </c>
      <c r="D131" s="279"/>
      <c r="E131" s="134"/>
      <c r="F131" s="134"/>
      <c r="G131" s="6"/>
      <c r="H131" s="134"/>
      <c r="I131" s="134"/>
      <c r="J131" s="6">
        <f>G131-C131</f>
        <v>-3532200</v>
      </c>
      <c r="K131" s="6"/>
      <c r="L131" s="1"/>
      <c r="M131" s="1"/>
    </row>
    <row r="132" spans="1:13" x14ac:dyDescent="0.25">
      <c r="A132" s="315" t="s">
        <v>463</v>
      </c>
      <c r="B132" s="315" t="s">
        <v>574</v>
      </c>
      <c r="C132" s="250">
        <v>4415250</v>
      </c>
      <c r="D132" s="279"/>
      <c r="E132" s="134"/>
      <c r="F132" s="134"/>
      <c r="G132" s="6"/>
      <c r="H132" s="134"/>
      <c r="I132" s="134"/>
      <c r="J132" s="6">
        <f>G132-C132</f>
        <v>-4415250</v>
      </c>
      <c r="K132" s="6"/>
      <c r="L132" s="1"/>
      <c r="M132" s="1"/>
    </row>
    <row r="133" spans="1:13" x14ac:dyDescent="0.25">
      <c r="A133" s="83" t="s">
        <v>162</v>
      </c>
      <c r="B133" s="315" t="s">
        <v>515</v>
      </c>
      <c r="C133" s="250">
        <v>3000000</v>
      </c>
      <c r="D133" s="279">
        <f>C133/C107*100</f>
        <v>0.20252275849498586</v>
      </c>
      <c r="E133" s="134">
        <f t="shared" si="52"/>
        <v>40</v>
      </c>
      <c r="F133" s="134">
        <f t="shared" si="53"/>
        <v>8.1009103397994331E-2</v>
      </c>
      <c r="G133" s="6">
        <f>1200000</f>
        <v>1200000</v>
      </c>
      <c r="H133" s="134">
        <f t="shared" si="54"/>
        <v>40</v>
      </c>
      <c r="I133" s="134">
        <f t="shared" si="55"/>
        <v>8.1009103397994331E-2</v>
      </c>
      <c r="J133" s="6">
        <f t="shared" si="56"/>
        <v>-1800000</v>
      </c>
      <c r="K133" s="6"/>
      <c r="L133" s="1"/>
      <c r="M133" s="1"/>
    </row>
    <row r="134" spans="1:13" ht="25.5" x14ac:dyDescent="0.25">
      <c r="A134" s="315" t="s">
        <v>116</v>
      </c>
      <c r="B134" s="316" t="s">
        <v>516</v>
      </c>
      <c r="C134" s="250">
        <v>20177550</v>
      </c>
      <c r="D134" s="279">
        <f>C134/C107*100</f>
        <v>1.3621376952235007</v>
      </c>
      <c r="E134" s="134">
        <f t="shared" si="52"/>
        <v>4.9188330595141636</v>
      </c>
      <c r="F134" s="134">
        <f t="shared" si="53"/>
        <v>6.7001279268757832E-2</v>
      </c>
      <c r="G134" s="6">
        <f>992500</f>
        <v>992500</v>
      </c>
      <c r="H134" s="134">
        <f t="shared" si="54"/>
        <v>4.9188330595141636</v>
      </c>
      <c r="I134" s="134">
        <f t="shared" si="55"/>
        <v>6.7001279268757832E-2</v>
      </c>
      <c r="J134" s="6">
        <f t="shared" si="56"/>
        <v>-19185050</v>
      </c>
      <c r="K134" s="6"/>
      <c r="L134" s="1"/>
      <c r="M134" s="1"/>
    </row>
    <row r="135" spans="1:13" x14ac:dyDescent="0.25">
      <c r="A135" s="228" t="s">
        <v>65</v>
      </c>
      <c r="B135" s="315" t="s">
        <v>393</v>
      </c>
      <c r="C135" s="251">
        <v>49702000</v>
      </c>
      <c r="D135" s="279">
        <f>C135/C108*100</f>
        <v>3.3552620475725958</v>
      </c>
      <c r="E135" s="134">
        <f t="shared" si="52"/>
        <v>78.923101686048852</v>
      </c>
      <c r="F135" s="134">
        <f t="shared" si="53"/>
        <v>2.6480768776391246</v>
      </c>
      <c r="G135" s="6">
        <f>33716360+5510000</f>
        <v>39226360</v>
      </c>
      <c r="H135" s="134">
        <f t="shared" si="54"/>
        <v>78.923101686048852</v>
      </c>
      <c r="I135" s="134">
        <f t="shared" si="55"/>
        <v>2.6480768776391246</v>
      </c>
      <c r="J135" s="6">
        <f t="shared" si="56"/>
        <v>-10475640</v>
      </c>
      <c r="K135" s="6"/>
    </row>
    <row r="136" spans="1:13" x14ac:dyDescent="0.25">
      <c r="A136" s="228" t="s">
        <v>66</v>
      </c>
      <c r="B136" s="315" t="s">
        <v>120</v>
      </c>
      <c r="C136" s="251">
        <v>41885000</v>
      </c>
      <c r="D136" s="279">
        <f>C136/C109*100</f>
        <v>57.313902572523268</v>
      </c>
      <c r="E136" s="134">
        <f t="shared" si="52"/>
        <v>96.681389518920852</v>
      </c>
      <c r="F136" s="134">
        <f t="shared" si="53"/>
        <v>55.411877394636022</v>
      </c>
      <c r="G136" s="6">
        <f>40495000</f>
        <v>40495000</v>
      </c>
      <c r="H136" s="134">
        <v>0</v>
      </c>
      <c r="I136" s="134">
        <v>0</v>
      </c>
      <c r="J136" s="6">
        <f t="shared" si="56"/>
        <v>-1390000</v>
      </c>
      <c r="K136" s="6"/>
    </row>
    <row r="137" spans="1:13" x14ac:dyDescent="0.25">
      <c r="A137" s="315" t="s">
        <v>287</v>
      </c>
      <c r="B137" s="315" t="s">
        <v>191</v>
      </c>
      <c r="C137" s="250">
        <v>15000000</v>
      </c>
      <c r="D137" s="279">
        <f>C137/C107*100</f>
        <v>1.0126137924749292</v>
      </c>
      <c r="E137" s="134">
        <f t="shared" si="52"/>
        <v>0</v>
      </c>
      <c r="F137" s="134">
        <f t="shared" si="53"/>
        <v>0</v>
      </c>
      <c r="G137" s="6">
        <v>0</v>
      </c>
      <c r="H137" s="134">
        <f t="shared" si="54"/>
        <v>0</v>
      </c>
      <c r="I137" s="134">
        <f t="shared" si="55"/>
        <v>0</v>
      </c>
      <c r="J137" s="6">
        <f t="shared" si="56"/>
        <v>-15000000</v>
      </c>
      <c r="K137" s="6"/>
    </row>
    <row r="138" spans="1:13" x14ac:dyDescent="0.25">
      <c r="A138" s="803" t="s">
        <v>520</v>
      </c>
      <c r="B138" s="315" t="s">
        <v>517</v>
      </c>
      <c r="C138" s="250">
        <v>29750000</v>
      </c>
      <c r="D138" s="279"/>
      <c r="E138" s="134"/>
      <c r="F138" s="134"/>
      <c r="G138" s="6">
        <f>29750000</f>
        <v>29750000</v>
      </c>
      <c r="H138" s="134"/>
      <c r="I138" s="134"/>
      <c r="J138" s="6">
        <f t="shared" si="56"/>
        <v>0</v>
      </c>
      <c r="K138" s="6"/>
    </row>
    <row r="139" spans="1:13" x14ac:dyDescent="0.25">
      <c r="A139" s="803" t="s">
        <v>582</v>
      </c>
      <c r="B139" s="315" t="s">
        <v>575</v>
      </c>
      <c r="C139" s="921">
        <v>2000000</v>
      </c>
      <c r="D139" s="279"/>
      <c r="E139" s="134"/>
      <c r="F139" s="134"/>
      <c r="G139" s="6"/>
      <c r="H139" s="134"/>
      <c r="I139" s="134"/>
      <c r="J139" s="6">
        <f>G139-C139</f>
        <v>-2000000</v>
      </c>
      <c r="K139" s="6"/>
    </row>
    <row r="140" spans="1:13" x14ac:dyDescent="0.25">
      <c r="A140" s="803" t="s">
        <v>594</v>
      </c>
      <c r="B140" s="315" t="s">
        <v>576</v>
      </c>
      <c r="C140" s="921">
        <v>9000000</v>
      </c>
      <c r="D140" s="279"/>
      <c r="E140" s="134"/>
      <c r="F140" s="134"/>
      <c r="G140" s="6"/>
      <c r="H140" s="134"/>
      <c r="I140" s="134"/>
      <c r="J140" s="6">
        <f>G140-C140</f>
        <v>-9000000</v>
      </c>
      <c r="K140" s="6"/>
    </row>
    <row r="141" spans="1:13" x14ac:dyDescent="0.25">
      <c r="A141" s="803" t="s">
        <v>584</v>
      </c>
      <c r="B141" s="315" t="s">
        <v>577</v>
      </c>
      <c r="C141" s="921">
        <v>17500000</v>
      </c>
      <c r="D141" s="279"/>
      <c r="E141" s="134"/>
      <c r="F141" s="134"/>
      <c r="G141" s="6"/>
      <c r="H141" s="134"/>
      <c r="I141" s="134"/>
      <c r="J141" s="6">
        <f>G141-C141</f>
        <v>-17500000</v>
      </c>
      <c r="K141" s="6"/>
    </row>
    <row r="142" spans="1:13" x14ac:dyDescent="0.25">
      <c r="A142" s="803" t="s">
        <v>610</v>
      </c>
      <c r="B142" s="315" t="s">
        <v>410</v>
      </c>
      <c r="C142" s="921">
        <v>825000</v>
      </c>
      <c r="D142" s="279"/>
      <c r="E142" s="134"/>
      <c r="F142" s="134"/>
      <c r="G142" s="6"/>
      <c r="H142" s="134"/>
      <c r="I142" s="134"/>
      <c r="J142" s="6">
        <f>G142-C142</f>
        <v>-825000</v>
      </c>
      <c r="K142" s="6"/>
    </row>
    <row r="143" spans="1:13" x14ac:dyDescent="0.25">
      <c r="A143" s="803" t="s">
        <v>596</v>
      </c>
      <c r="B143" s="315" t="s">
        <v>412</v>
      </c>
      <c r="C143" s="921">
        <v>10000000</v>
      </c>
      <c r="D143" s="279"/>
      <c r="E143" s="134"/>
      <c r="F143" s="134"/>
      <c r="G143" s="6"/>
      <c r="H143" s="134"/>
      <c r="I143" s="134"/>
      <c r="J143" s="6">
        <f>G143-C143</f>
        <v>-10000000</v>
      </c>
      <c r="K143" s="6"/>
    </row>
    <row r="144" spans="1:13" x14ac:dyDescent="0.25">
      <c r="A144" s="1066" t="s">
        <v>95</v>
      </c>
      <c r="B144" s="1067"/>
      <c r="C144" s="1068"/>
      <c r="D144" s="277"/>
      <c r="E144" s="134"/>
      <c r="F144" s="134"/>
      <c r="G144" s="26">
        <f>SUM(G109:G143)</f>
        <v>1046854460</v>
      </c>
      <c r="H144" s="134"/>
      <c r="I144" s="134"/>
      <c r="J144" s="734"/>
      <c r="K144" s="26">
        <v>0</v>
      </c>
    </row>
    <row r="145" spans="1:15" x14ac:dyDescent="0.25">
      <c r="A145" s="52"/>
      <c r="B145" s="8"/>
      <c r="C145" s="52"/>
      <c r="D145" s="27"/>
      <c r="E145" s="28"/>
      <c r="F145" s="23"/>
      <c r="G145" s="11"/>
      <c r="H145" s="23"/>
      <c r="I145" s="23"/>
      <c r="J145" s="9"/>
      <c r="K145" s="9"/>
    </row>
    <row r="146" spans="1:15" x14ac:dyDescent="0.25">
      <c r="A146" s="50"/>
      <c r="B146" s="5"/>
      <c r="C146" s="50"/>
      <c r="D146" s="9"/>
      <c r="E146" s="23"/>
      <c r="F146" s="23"/>
      <c r="G146" s="11"/>
      <c r="H146" s="23"/>
      <c r="I146" s="23"/>
      <c r="J146" s="9"/>
      <c r="K146" s="9"/>
    </row>
    <row r="147" spans="1:15" x14ac:dyDescent="0.25">
      <c r="A147" s="1069" t="s">
        <v>2</v>
      </c>
      <c r="B147" s="1069" t="s">
        <v>123</v>
      </c>
      <c r="C147" s="933"/>
      <c r="D147" s="1063" t="s">
        <v>5</v>
      </c>
      <c r="E147" s="1064"/>
      <c r="F147" s="1064"/>
      <c r="G147" s="1065" t="s">
        <v>6</v>
      </c>
      <c r="H147" s="1064"/>
      <c r="I147" s="1064"/>
      <c r="J147" s="1056" t="s">
        <v>7</v>
      </c>
      <c r="K147" s="1056" t="s">
        <v>8</v>
      </c>
    </row>
    <row r="148" spans="1:15" x14ac:dyDescent="0.25">
      <c r="A148" s="1070"/>
      <c r="B148" s="1070"/>
      <c r="C148" s="934" t="s">
        <v>124</v>
      </c>
      <c r="D148" s="89" t="s">
        <v>9</v>
      </c>
      <c r="E148" s="90" t="s">
        <v>10</v>
      </c>
      <c r="F148" s="90" t="s">
        <v>11</v>
      </c>
      <c r="G148" s="91" t="s">
        <v>12</v>
      </c>
      <c r="H148" s="90" t="s">
        <v>13</v>
      </c>
      <c r="I148" s="90" t="s">
        <v>11</v>
      </c>
      <c r="J148" s="1057"/>
      <c r="K148" s="1057"/>
      <c r="O148" s="713"/>
    </row>
    <row r="149" spans="1:15" x14ac:dyDescent="0.25">
      <c r="A149" s="1071"/>
      <c r="B149" s="1071"/>
      <c r="C149" s="934"/>
      <c r="D149" s="92" t="s">
        <v>14</v>
      </c>
      <c r="E149" s="93" t="s">
        <v>14</v>
      </c>
      <c r="F149" s="93" t="s">
        <v>14</v>
      </c>
      <c r="G149" s="94" t="s">
        <v>15</v>
      </c>
      <c r="H149" s="93" t="s">
        <v>14</v>
      </c>
      <c r="I149" s="93" t="s">
        <v>14</v>
      </c>
      <c r="J149" s="92" t="s">
        <v>15</v>
      </c>
      <c r="K149" s="1058"/>
    </row>
    <row r="150" spans="1:15" ht="25.5" x14ac:dyDescent="0.25">
      <c r="A150" s="139" t="s">
        <v>180</v>
      </c>
      <c r="B150" s="696" t="s">
        <v>379</v>
      </c>
      <c r="C150" s="58"/>
      <c r="D150" s="38"/>
      <c r="E150" s="134"/>
      <c r="F150" s="134"/>
      <c r="G150" s="135"/>
      <c r="H150" s="134"/>
      <c r="I150" s="134"/>
      <c r="J150" s="38"/>
      <c r="K150" s="10"/>
    </row>
    <row r="151" spans="1:15" ht="25.5" x14ac:dyDescent="0.25">
      <c r="A151" s="176" t="s">
        <v>181</v>
      </c>
      <c r="B151" s="697" t="s">
        <v>380</v>
      </c>
      <c r="C151" s="86">
        <f>SUM(C152:C166)</f>
        <v>200500000</v>
      </c>
      <c r="D151" s="179"/>
      <c r="E151" s="180"/>
      <c r="F151" s="180"/>
      <c r="G151" s="181"/>
      <c r="H151" s="180"/>
      <c r="I151" s="180"/>
      <c r="J151" s="179"/>
      <c r="K151" s="167"/>
    </row>
    <row r="152" spans="1:15" ht="25.5" x14ac:dyDescent="0.25">
      <c r="A152" s="170" t="s">
        <v>44</v>
      </c>
      <c r="B152" s="707" t="s">
        <v>384</v>
      </c>
      <c r="C152" s="58">
        <v>8580000</v>
      </c>
      <c r="D152" s="180">
        <f>C152/C151*100</f>
        <v>4.2793017456359097</v>
      </c>
      <c r="E152" s="134">
        <f t="shared" ref="E152:E161" si="57">G152/C152*100</f>
        <v>100</v>
      </c>
      <c r="F152" s="134">
        <f t="shared" ref="F152:F161" si="58">(D152*E152)/100</f>
        <v>4.2793017456359097</v>
      </c>
      <c r="G152" s="181">
        <f>8580000</f>
        <v>8580000</v>
      </c>
      <c r="H152" s="134">
        <f t="shared" ref="H152:H161" si="59">G152/C152*100</f>
        <v>100</v>
      </c>
      <c r="I152" s="134">
        <f t="shared" ref="I152:I161" si="60">(D152*H152)/100</f>
        <v>4.2793017456359097</v>
      </c>
      <c r="J152" s="6">
        <f t="shared" ref="J152:J166" si="61">G152-C152</f>
        <v>0</v>
      </c>
      <c r="K152" s="167"/>
    </row>
    <row r="153" spans="1:15" x14ac:dyDescent="0.25">
      <c r="A153" s="170" t="s">
        <v>448</v>
      </c>
      <c r="B153" s="707" t="s">
        <v>578</v>
      </c>
      <c r="C153" s="58">
        <v>510000</v>
      </c>
      <c r="D153" s="180"/>
      <c r="E153" s="134"/>
      <c r="F153" s="134"/>
      <c r="G153" s="181"/>
      <c r="H153" s="134"/>
      <c r="I153" s="134"/>
      <c r="J153" s="6"/>
      <c r="K153" s="167"/>
    </row>
    <row r="154" spans="1:15" x14ac:dyDescent="0.25">
      <c r="A154" s="170" t="s">
        <v>59</v>
      </c>
      <c r="B154" s="707" t="s">
        <v>197</v>
      </c>
      <c r="C154" s="58">
        <v>13390000</v>
      </c>
      <c r="D154" s="180">
        <f>C154/C151*100</f>
        <v>6.6783042394014958</v>
      </c>
      <c r="E154" s="134">
        <f t="shared" si="57"/>
        <v>100</v>
      </c>
      <c r="F154" s="134">
        <f t="shared" si="58"/>
        <v>6.6783042394014958</v>
      </c>
      <c r="G154" s="181">
        <f>13390000</f>
        <v>13390000</v>
      </c>
      <c r="H154" s="134">
        <f t="shared" si="59"/>
        <v>100</v>
      </c>
      <c r="I154" s="134">
        <f t="shared" si="60"/>
        <v>6.6783042394014958</v>
      </c>
      <c r="J154" s="6">
        <f t="shared" si="61"/>
        <v>0</v>
      </c>
      <c r="K154" s="167"/>
    </row>
    <row r="155" spans="1:15" x14ac:dyDescent="0.25">
      <c r="A155" s="170" t="s">
        <v>62</v>
      </c>
      <c r="B155" s="707" t="s">
        <v>334</v>
      </c>
      <c r="C155" s="58">
        <v>8840000</v>
      </c>
      <c r="D155" s="180">
        <v>2.34</v>
      </c>
      <c r="E155" s="134">
        <f t="shared" si="57"/>
        <v>100</v>
      </c>
      <c r="F155" s="134">
        <f t="shared" si="58"/>
        <v>2.34</v>
      </c>
      <c r="G155" s="181">
        <f>8840000</f>
        <v>8840000</v>
      </c>
      <c r="H155" s="134">
        <f t="shared" si="59"/>
        <v>100</v>
      </c>
      <c r="I155" s="134">
        <f t="shared" si="60"/>
        <v>2.34</v>
      </c>
      <c r="J155" s="6">
        <f t="shared" si="61"/>
        <v>0</v>
      </c>
      <c r="K155" s="167"/>
    </row>
    <row r="156" spans="1:15" ht="25.5" x14ac:dyDescent="0.25">
      <c r="A156" s="170" t="s">
        <v>193</v>
      </c>
      <c r="B156" s="316" t="s">
        <v>372</v>
      </c>
      <c r="C156" s="58">
        <v>6300000</v>
      </c>
      <c r="D156" s="180"/>
      <c r="E156" s="134"/>
      <c r="F156" s="134"/>
      <c r="G156" s="181">
        <f>6300000</f>
        <v>6300000</v>
      </c>
      <c r="H156" s="134"/>
      <c r="I156" s="134"/>
      <c r="J156" s="6">
        <f t="shared" si="61"/>
        <v>0</v>
      </c>
      <c r="K156" s="167"/>
    </row>
    <row r="157" spans="1:15" x14ac:dyDescent="0.25">
      <c r="A157" s="170" t="s">
        <v>148</v>
      </c>
      <c r="B157" s="133" t="s">
        <v>531</v>
      </c>
      <c r="C157" s="58">
        <v>10000000</v>
      </c>
      <c r="D157" s="180"/>
      <c r="E157" s="134"/>
      <c r="F157" s="134"/>
      <c r="G157" s="181">
        <f>10000000</f>
        <v>10000000</v>
      </c>
      <c r="H157" s="134"/>
      <c r="I157" s="134"/>
      <c r="J157" s="6">
        <f t="shared" si="61"/>
        <v>0</v>
      </c>
      <c r="K157" s="167"/>
    </row>
    <row r="158" spans="1:15" x14ac:dyDescent="0.25">
      <c r="A158" s="170" t="s">
        <v>579</v>
      </c>
      <c r="B158" s="133" t="s">
        <v>580</v>
      </c>
      <c r="C158" s="58">
        <v>9990000</v>
      </c>
      <c r="D158" s="180"/>
      <c r="E158" s="134"/>
      <c r="F158" s="134"/>
      <c r="G158" s="181"/>
      <c r="H158" s="134"/>
      <c r="I158" s="134"/>
      <c r="J158" s="6"/>
      <c r="K158" s="167"/>
    </row>
    <row r="159" spans="1:15" x14ac:dyDescent="0.25">
      <c r="A159" s="170" t="s">
        <v>77</v>
      </c>
      <c r="B159" s="170" t="s">
        <v>127</v>
      </c>
      <c r="C159" s="58">
        <v>67741000</v>
      </c>
      <c r="D159" s="180">
        <f>C159/C151*100</f>
        <v>33.786034912718208</v>
      </c>
      <c r="E159" s="134">
        <f t="shared" si="57"/>
        <v>75.996811384538162</v>
      </c>
      <c r="F159" s="134">
        <f t="shared" si="58"/>
        <v>25.676309226932666</v>
      </c>
      <c r="G159" s="181">
        <f>51481000</f>
        <v>51481000</v>
      </c>
      <c r="H159" s="134">
        <f t="shared" si="59"/>
        <v>75.996811384538162</v>
      </c>
      <c r="I159" s="134">
        <f t="shared" si="60"/>
        <v>25.676309226932666</v>
      </c>
      <c r="J159" s="6">
        <f t="shared" si="61"/>
        <v>-16260000</v>
      </c>
      <c r="K159" s="167"/>
    </row>
    <row r="160" spans="1:15" x14ac:dyDescent="0.25">
      <c r="A160" s="170" t="s">
        <v>183</v>
      </c>
      <c r="B160" s="170" t="s">
        <v>178</v>
      </c>
      <c r="C160" s="58">
        <v>17000000</v>
      </c>
      <c r="D160" s="180">
        <f>C160/C151*100</f>
        <v>8.4788029925187036</v>
      </c>
      <c r="E160" s="134">
        <f t="shared" si="57"/>
        <v>41.17647058823529</v>
      </c>
      <c r="F160" s="134">
        <f t="shared" si="58"/>
        <v>3.491271820448878</v>
      </c>
      <c r="G160" s="181">
        <f>7000000</f>
        <v>7000000</v>
      </c>
      <c r="H160" s="134">
        <f t="shared" si="59"/>
        <v>41.17647058823529</v>
      </c>
      <c r="I160" s="134">
        <f t="shared" si="60"/>
        <v>3.491271820448878</v>
      </c>
      <c r="J160" s="6">
        <f t="shared" si="61"/>
        <v>-10000000</v>
      </c>
      <c r="K160" s="167"/>
    </row>
    <row r="161" spans="1:14" x14ac:dyDescent="0.25">
      <c r="A161" s="170" t="s">
        <v>104</v>
      </c>
      <c r="B161" s="170" t="s">
        <v>182</v>
      </c>
      <c r="C161" s="58">
        <v>23200000</v>
      </c>
      <c r="D161" s="180">
        <f>C161/C151*100</f>
        <v>11.571072319201996</v>
      </c>
      <c r="E161" s="134">
        <f t="shared" si="57"/>
        <v>100</v>
      </c>
      <c r="F161" s="134">
        <f t="shared" si="58"/>
        <v>11.571072319201996</v>
      </c>
      <c r="G161" s="181">
        <f>23200000</f>
        <v>23200000</v>
      </c>
      <c r="H161" s="134">
        <f t="shared" si="59"/>
        <v>100</v>
      </c>
      <c r="I161" s="134">
        <f t="shared" si="60"/>
        <v>11.571072319201996</v>
      </c>
      <c r="J161" s="6">
        <f t="shared" si="61"/>
        <v>0</v>
      </c>
      <c r="K161" s="167"/>
    </row>
    <row r="162" spans="1:14" ht="25.5" x14ac:dyDescent="0.25">
      <c r="A162" s="170" t="s">
        <v>106</v>
      </c>
      <c r="B162" s="316" t="s">
        <v>107</v>
      </c>
      <c r="C162" s="58">
        <v>22200000</v>
      </c>
      <c r="D162" s="180"/>
      <c r="E162" s="134"/>
      <c r="F162" s="134"/>
      <c r="G162" s="181">
        <f>22200000</f>
        <v>22200000</v>
      </c>
      <c r="H162" s="134"/>
      <c r="I162" s="134"/>
      <c r="J162" s="6">
        <f t="shared" si="61"/>
        <v>0</v>
      </c>
      <c r="K162" s="167"/>
    </row>
    <row r="163" spans="1:14" x14ac:dyDescent="0.25">
      <c r="A163" s="170" t="s">
        <v>162</v>
      </c>
      <c r="B163" s="315" t="s">
        <v>515</v>
      </c>
      <c r="C163" s="58">
        <v>2000000</v>
      </c>
      <c r="D163" s="180"/>
      <c r="E163" s="134"/>
      <c r="F163" s="134"/>
      <c r="G163" s="181">
        <f>2000000</f>
        <v>2000000</v>
      </c>
      <c r="H163" s="134"/>
      <c r="I163" s="134"/>
      <c r="J163" s="6">
        <f t="shared" si="61"/>
        <v>0</v>
      </c>
      <c r="K163" s="167"/>
    </row>
    <row r="164" spans="1:14" x14ac:dyDescent="0.25">
      <c r="A164" s="170" t="s">
        <v>521</v>
      </c>
      <c r="B164" s="316" t="s">
        <v>526</v>
      </c>
      <c r="C164" s="58">
        <v>1000000</v>
      </c>
      <c r="D164" s="180"/>
      <c r="E164" s="134"/>
      <c r="F164" s="134"/>
      <c r="G164" s="181">
        <f>1000000</f>
        <v>1000000</v>
      </c>
      <c r="H164" s="134"/>
      <c r="I164" s="134"/>
      <c r="J164" s="6">
        <f t="shared" si="61"/>
        <v>0</v>
      </c>
      <c r="K164" s="167"/>
    </row>
    <row r="165" spans="1:14" ht="25.5" x14ac:dyDescent="0.25">
      <c r="A165" s="747" t="s">
        <v>116</v>
      </c>
      <c r="B165" s="316" t="s">
        <v>420</v>
      </c>
      <c r="C165" s="58">
        <v>2749000</v>
      </c>
      <c r="D165" s="180"/>
      <c r="E165" s="134"/>
      <c r="F165" s="134"/>
      <c r="G165" s="181">
        <f>2749000</f>
        <v>2749000</v>
      </c>
      <c r="H165" s="134"/>
      <c r="I165" s="134"/>
      <c r="J165" s="6">
        <f t="shared" si="61"/>
        <v>0</v>
      </c>
      <c r="K165" s="167"/>
    </row>
    <row r="166" spans="1:14" x14ac:dyDescent="0.25">
      <c r="A166" s="747" t="s">
        <v>65</v>
      </c>
      <c r="B166" s="315" t="s">
        <v>393</v>
      </c>
      <c r="C166" s="58">
        <v>7000000</v>
      </c>
      <c r="D166" s="180"/>
      <c r="E166" s="134"/>
      <c r="F166" s="134"/>
      <c r="G166" s="181">
        <f>6932360</f>
        <v>6932360</v>
      </c>
      <c r="H166" s="134"/>
      <c r="I166" s="134"/>
      <c r="J166" s="6">
        <f t="shared" si="61"/>
        <v>-67640</v>
      </c>
      <c r="K166" s="167"/>
    </row>
    <row r="167" spans="1:14" x14ac:dyDescent="0.25">
      <c r="A167" s="747" t="s">
        <v>589</v>
      </c>
      <c r="B167" s="924" t="s">
        <v>207</v>
      </c>
      <c r="C167" s="58">
        <v>12000000</v>
      </c>
      <c r="D167" s="180"/>
      <c r="E167" s="134"/>
      <c r="F167" s="134"/>
      <c r="G167" s="181">
        <f>12000000</f>
        <v>12000000</v>
      </c>
      <c r="H167" s="134"/>
      <c r="I167" s="134"/>
      <c r="J167" s="6"/>
      <c r="K167" s="167"/>
    </row>
    <row r="168" spans="1:14" x14ac:dyDescent="0.25">
      <c r="A168" s="747" t="s">
        <v>584</v>
      </c>
      <c r="B168" s="924" t="s">
        <v>583</v>
      </c>
      <c r="C168" s="58">
        <v>17500000</v>
      </c>
      <c r="D168" s="180"/>
      <c r="E168" s="134"/>
      <c r="F168" s="134"/>
      <c r="G168" s="181">
        <f>17500000</f>
        <v>17500000</v>
      </c>
      <c r="H168" s="134"/>
      <c r="I168" s="134"/>
      <c r="J168" s="6"/>
      <c r="K168" s="167"/>
    </row>
    <row r="169" spans="1:14" x14ac:dyDescent="0.25">
      <c r="A169" s="747" t="s">
        <v>596</v>
      </c>
      <c r="B169" s="924" t="s">
        <v>595</v>
      </c>
      <c r="C169" s="58">
        <v>5000000</v>
      </c>
      <c r="D169" s="180"/>
      <c r="E169" s="134"/>
      <c r="F169" s="134"/>
      <c r="G169" s="181">
        <f>5000000</f>
        <v>5000000</v>
      </c>
      <c r="H169" s="134"/>
      <c r="I169" s="134"/>
      <c r="J169" s="6"/>
      <c r="K169" s="167"/>
    </row>
    <row r="170" spans="1:14" x14ac:dyDescent="0.25">
      <c r="A170" s="1059" t="s">
        <v>128</v>
      </c>
      <c r="B170" s="1060"/>
      <c r="C170" s="60">
        <f>SUM(C152:C169)</f>
        <v>235000000</v>
      </c>
      <c r="D170" s="276"/>
      <c r="E170" s="134"/>
      <c r="F170" s="134"/>
      <c r="G170" s="837">
        <f>SUM(G152:G169)</f>
        <v>198172360</v>
      </c>
      <c r="H170" s="134"/>
      <c r="I170" s="134"/>
      <c r="J170" s="56">
        <v>0</v>
      </c>
      <c r="K170" s="3"/>
    </row>
    <row r="171" spans="1:14" x14ac:dyDescent="0.25">
      <c r="A171" s="54"/>
      <c r="B171" s="54"/>
      <c r="C171" s="59"/>
      <c r="D171" s="182"/>
      <c r="E171" s="183"/>
      <c r="F171" s="183"/>
      <c r="G171" s="184"/>
      <c r="H171" s="183"/>
      <c r="I171" s="183"/>
      <c r="J171" s="185"/>
      <c r="K171" s="37"/>
    </row>
    <row r="172" spans="1:14" ht="31.5" x14ac:dyDescent="0.25">
      <c r="A172" s="55"/>
      <c r="B172" s="46" t="s">
        <v>145</v>
      </c>
      <c r="C172" s="155"/>
      <c r="D172" s="44"/>
      <c r="E172" s="45"/>
      <c r="F172" s="45"/>
      <c r="G172" s="48"/>
      <c r="H172" s="45"/>
      <c r="I172" s="45"/>
      <c r="J172" s="44"/>
      <c r="K172" s="44"/>
      <c r="L172" s="1"/>
      <c r="M172" s="1"/>
      <c r="N172" s="1"/>
    </row>
    <row r="173" spans="1:14" x14ac:dyDescent="0.25">
      <c r="A173" s="1061" t="s">
        <v>2</v>
      </c>
      <c r="B173" s="1062" t="s">
        <v>176</v>
      </c>
      <c r="C173" s="1061" t="s">
        <v>4</v>
      </c>
      <c r="D173" s="1063" t="s">
        <v>5</v>
      </c>
      <c r="E173" s="1064"/>
      <c r="F173" s="1064"/>
      <c r="G173" s="1065" t="s">
        <v>6</v>
      </c>
      <c r="H173" s="1064"/>
      <c r="I173" s="1064"/>
      <c r="J173" s="1061" t="s">
        <v>7</v>
      </c>
      <c r="K173" s="281" t="s">
        <v>8</v>
      </c>
      <c r="L173" s="1"/>
      <c r="M173" s="1"/>
      <c r="N173" s="1"/>
    </row>
    <row r="174" spans="1:14" x14ac:dyDescent="0.25">
      <c r="A174" s="1061"/>
      <c r="B174" s="1062"/>
      <c r="C174" s="1061"/>
      <c r="D174" s="281" t="s">
        <v>9</v>
      </c>
      <c r="E174" s="292" t="s">
        <v>10</v>
      </c>
      <c r="F174" s="292" t="s">
        <v>11</v>
      </c>
      <c r="G174" s="293" t="s">
        <v>12</v>
      </c>
      <c r="H174" s="292" t="s">
        <v>13</v>
      </c>
      <c r="I174" s="292" t="s">
        <v>11</v>
      </c>
      <c r="J174" s="1056"/>
      <c r="K174" s="89"/>
    </row>
    <row r="175" spans="1:14" x14ac:dyDescent="0.25">
      <c r="A175" s="1061"/>
      <c r="B175" s="1062"/>
      <c r="C175" s="1061"/>
      <c r="D175" s="92" t="s">
        <v>14</v>
      </c>
      <c r="E175" s="93" t="s">
        <v>14</v>
      </c>
      <c r="F175" s="93" t="s">
        <v>14</v>
      </c>
      <c r="G175" s="94" t="s">
        <v>15</v>
      </c>
      <c r="H175" s="93" t="s">
        <v>14</v>
      </c>
      <c r="I175" s="93" t="s">
        <v>14</v>
      </c>
      <c r="J175" s="92" t="s">
        <v>15</v>
      </c>
      <c r="K175" s="92"/>
    </row>
    <row r="176" spans="1:14" x14ac:dyDescent="0.25">
      <c r="A176" s="79" t="s">
        <v>185</v>
      </c>
      <c r="B176" s="199" t="s">
        <v>146</v>
      </c>
      <c r="C176" s="24"/>
      <c r="D176" s="10"/>
      <c r="E176" s="34"/>
      <c r="F176" s="34"/>
      <c r="G176" s="6"/>
      <c r="H176" s="34"/>
      <c r="I176" s="34"/>
      <c r="J176" s="10"/>
      <c r="K176" s="10"/>
    </row>
    <row r="177" spans="1:11" x14ac:dyDescent="0.25">
      <c r="A177" s="125" t="s">
        <v>184</v>
      </c>
      <c r="B177" s="280" t="s">
        <v>147</v>
      </c>
      <c r="C177" s="252">
        <f>SUM(C178:C179)</f>
        <v>2975640000</v>
      </c>
      <c r="D177" s="10"/>
      <c r="E177" s="34"/>
      <c r="F177" s="34"/>
      <c r="G177" s="6"/>
      <c r="H177" s="34"/>
      <c r="I177" s="34"/>
      <c r="J177" s="10"/>
      <c r="K177" s="10"/>
    </row>
    <row r="178" spans="1:11" ht="25.5" x14ac:dyDescent="0.25">
      <c r="A178" s="154" t="s">
        <v>44</v>
      </c>
      <c r="B178" s="707" t="s">
        <v>384</v>
      </c>
      <c r="C178" s="253">
        <v>35640000</v>
      </c>
      <c r="D178" s="134">
        <f>C178/C177*100</f>
        <v>1.1977255313142718</v>
      </c>
      <c r="E178" s="134">
        <f t="shared" ref="E178:E179" si="62">G178/C178*100</f>
        <v>66.666666666666657</v>
      </c>
      <c r="F178" s="134">
        <f t="shared" ref="F178:F179" si="63">(D178*E178)/100</f>
        <v>0.79848368754284782</v>
      </c>
      <c r="G178" s="181">
        <f>23760000</f>
        <v>23760000</v>
      </c>
      <c r="H178" s="134">
        <f t="shared" ref="H178:H179" si="64">G178/C178*100</f>
        <v>66.666666666666657</v>
      </c>
      <c r="I178" s="134">
        <f t="shared" ref="I178:I179" si="65">(D178*H178)/100</f>
        <v>0.79848368754284782</v>
      </c>
      <c r="J178" s="6">
        <f t="shared" ref="J178:J179" si="66">G178-C178</f>
        <v>-11880000</v>
      </c>
      <c r="K178" s="10"/>
    </row>
    <row r="179" spans="1:11" x14ac:dyDescent="0.25">
      <c r="A179" s="124" t="s">
        <v>148</v>
      </c>
      <c r="B179" s="133" t="s">
        <v>531</v>
      </c>
      <c r="C179" s="253">
        <v>2940000000</v>
      </c>
      <c r="D179" s="134">
        <f>C179/C177*100</f>
        <v>98.802274468685724</v>
      </c>
      <c r="E179" s="134">
        <f t="shared" si="62"/>
        <v>100</v>
      </c>
      <c r="F179" s="134">
        <f t="shared" si="63"/>
        <v>98.802274468685724</v>
      </c>
      <c r="G179" s="181">
        <f>939055000+2000945000</f>
        <v>2940000000</v>
      </c>
      <c r="H179" s="134">
        <f t="shared" si="64"/>
        <v>100</v>
      </c>
      <c r="I179" s="134">
        <f t="shared" si="65"/>
        <v>98.802274468685724</v>
      </c>
      <c r="J179" s="6">
        <f t="shared" si="66"/>
        <v>0</v>
      </c>
      <c r="K179" s="10"/>
    </row>
    <row r="180" spans="1:11" x14ac:dyDescent="0.25">
      <c r="A180" s="70"/>
      <c r="B180" s="129" t="s">
        <v>95</v>
      </c>
      <c r="C180" s="807">
        <f>SUM(C178:C179)</f>
        <v>2975640000</v>
      </c>
      <c r="D180" s="271">
        <f>SUM(D178:D179)</f>
        <v>100</v>
      </c>
      <c r="E180" s="134"/>
      <c r="F180" s="134"/>
      <c r="G180" s="181">
        <f>SUM(G178:G179)</f>
        <v>2963760000</v>
      </c>
      <c r="H180" s="134"/>
      <c r="I180" s="134"/>
      <c r="J180" s="734"/>
      <c r="K180" s="130"/>
    </row>
    <row r="181" spans="1:11" x14ac:dyDescent="0.25">
      <c r="A181" s="54"/>
      <c r="B181" s="2"/>
      <c r="C181" s="59"/>
      <c r="D181" s="29"/>
      <c r="E181" s="31"/>
      <c r="F181" s="31"/>
      <c r="G181" s="36"/>
      <c r="H181" s="31"/>
      <c r="I181" s="31"/>
      <c r="J181" s="15"/>
      <c r="K181" s="37"/>
    </row>
    <row r="182" spans="1:11" x14ac:dyDescent="0.25">
      <c r="A182" s="50"/>
      <c r="B182" s="5"/>
      <c r="C182" s="50"/>
      <c r="D182" s="29"/>
      <c r="E182" s="30"/>
      <c r="F182" s="31"/>
      <c r="G182" s="36"/>
      <c r="H182" s="32"/>
      <c r="I182" s="31"/>
      <c r="J182" s="36"/>
      <c r="K182" s="37"/>
    </row>
    <row r="183" spans="1:11" x14ac:dyDescent="0.25">
      <c r="A183" s="1061" t="s">
        <v>2</v>
      </c>
      <c r="B183" s="1062" t="s">
        <v>176</v>
      </c>
      <c r="C183" s="1061" t="s">
        <v>4</v>
      </c>
      <c r="D183" s="1063" t="s">
        <v>5</v>
      </c>
      <c r="E183" s="1064"/>
      <c r="F183" s="1064"/>
      <c r="G183" s="1065" t="s">
        <v>6</v>
      </c>
      <c r="H183" s="1064"/>
      <c r="I183" s="1064"/>
      <c r="J183" s="1061" t="s">
        <v>7</v>
      </c>
      <c r="K183" s="281" t="s">
        <v>8</v>
      </c>
    </row>
    <row r="184" spans="1:11" x14ac:dyDescent="0.25">
      <c r="A184" s="1061"/>
      <c r="B184" s="1062"/>
      <c r="C184" s="1061"/>
      <c r="D184" s="281" t="s">
        <v>9</v>
      </c>
      <c r="E184" s="292" t="s">
        <v>10</v>
      </c>
      <c r="F184" s="292" t="s">
        <v>11</v>
      </c>
      <c r="G184" s="293" t="s">
        <v>12</v>
      </c>
      <c r="H184" s="292" t="s">
        <v>13</v>
      </c>
      <c r="I184" s="292" t="s">
        <v>11</v>
      </c>
      <c r="J184" s="1056"/>
      <c r="K184" s="89"/>
    </row>
    <row r="185" spans="1:11" x14ac:dyDescent="0.25">
      <c r="A185" s="1061"/>
      <c r="B185" s="1062"/>
      <c r="C185" s="1061"/>
      <c r="D185" s="92" t="s">
        <v>14</v>
      </c>
      <c r="E185" s="93" t="s">
        <v>14</v>
      </c>
      <c r="F185" s="93" t="s">
        <v>14</v>
      </c>
      <c r="G185" s="94" t="s">
        <v>15</v>
      </c>
      <c r="H185" s="93" t="s">
        <v>14</v>
      </c>
      <c r="I185" s="93" t="s">
        <v>14</v>
      </c>
      <c r="J185" s="92" t="s">
        <v>15</v>
      </c>
      <c r="K185" s="92"/>
    </row>
    <row r="186" spans="1:11" x14ac:dyDescent="0.25">
      <c r="A186" s="79" t="s">
        <v>185</v>
      </c>
      <c r="B186" s="199" t="s">
        <v>146</v>
      </c>
      <c r="C186" s="153"/>
      <c r="D186" s="150"/>
      <c r="E186" s="151"/>
      <c r="F186" s="151"/>
      <c r="G186" s="152"/>
      <c r="H186" s="151"/>
      <c r="I186" s="151"/>
      <c r="J186" s="150"/>
      <c r="K186" s="150"/>
    </row>
    <row r="187" spans="1:11" x14ac:dyDescent="0.25">
      <c r="A187" s="125" t="s">
        <v>184</v>
      </c>
      <c r="B187" s="280" t="s">
        <v>150</v>
      </c>
      <c r="C187" s="254">
        <f>SUM(C188:C191)</f>
        <v>1803960912</v>
      </c>
      <c r="D187" s="10"/>
      <c r="E187" s="34"/>
      <c r="F187" s="34"/>
      <c r="G187" s="6"/>
      <c r="H187" s="34"/>
      <c r="I187" s="34"/>
      <c r="J187" s="10"/>
      <c r="K187" s="10"/>
    </row>
    <row r="188" spans="1:11" ht="25.5" x14ac:dyDescent="0.25">
      <c r="A188" s="38" t="s">
        <v>44</v>
      </c>
      <c r="B188" s="707" t="s">
        <v>384</v>
      </c>
      <c r="C188" s="255">
        <v>30310000</v>
      </c>
      <c r="D188" s="134">
        <f>C188/C187*100</f>
        <v>1.6801916160365231</v>
      </c>
      <c r="E188" s="134">
        <f t="shared" ref="E188:E190" si="67">G188/C188*100</f>
        <v>70.999670075882548</v>
      </c>
      <c r="F188" s="134">
        <f t="shared" ref="F188:F190" si="68">(D188*E188)/100</f>
        <v>1.1929305040285707</v>
      </c>
      <c r="G188" s="181">
        <f>21520000</f>
        <v>21520000</v>
      </c>
      <c r="H188" s="134">
        <f t="shared" ref="H188:H190" si="69">G188/C188*100</f>
        <v>70.999670075882548</v>
      </c>
      <c r="I188" s="134">
        <f t="shared" ref="I188:I190" si="70">(D188*H188)/100</f>
        <v>1.1929305040285707</v>
      </c>
      <c r="J188" s="6">
        <f t="shared" ref="J188:J191" si="71">G188-C188</f>
        <v>-8790000</v>
      </c>
      <c r="K188" s="10"/>
    </row>
    <row r="189" spans="1:11" x14ac:dyDescent="0.25">
      <c r="A189" s="49" t="s">
        <v>148</v>
      </c>
      <c r="B189" s="133" t="s">
        <v>531</v>
      </c>
      <c r="C189" s="256">
        <v>1260590000</v>
      </c>
      <c r="D189" s="134">
        <f>C189/C187*100</f>
        <v>69.87900855359554</v>
      </c>
      <c r="E189" s="134">
        <f t="shared" si="67"/>
        <v>97.085436184643697</v>
      </c>
      <c r="F189" s="134">
        <f t="shared" si="68"/>
        <v>67.842340255762707</v>
      </c>
      <c r="G189" s="181">
        <f>857323300+366526000</f>
        <v>1223849300</v>
      </c>
      <c r="H189" s="134">
        <f t="shared" si="69"/>
        <v>97.085436184643697</v>
      </c>
      <c r="I189" s="134">
        <f t="shared" si="70"/>
        <v>67.842340255762707</v>
      </c>
      <c r="J189" s="6">
        <f t="shared" si="71"/>
        <v>-36740700</v>
      </c>
      <c r="K189" s="10"/>
    </row>
    <row r="190" spans="1:11" s="84" customFormat="1" ht="25.5" x14ac:dyDescent="0.2">
      <c r="A190" s="49" t="s">
        <v>152</v>
      </c>
      <c r="B190" s="133" t="s">
        <v>153</v>
      </c>
      <c r="C190" s="256">
        <v>504000000</v>
      </c>
      <c r="D190" s="134">
        <f>C190/C187*100</f>
        <v>27.9385210980669</v>
      </c>
      <c r="E190" s="134">
        <f t="shared" si="67"/>
        <v>75</v>
      </c>
      <c r="F190" s="134">
        <f t="shared" si="68"/>
        <v>20.953890823550172</v>
      </c>
      <c r="G190" s="181">
        <f>378000000</f>
        <v>378000000</v>
      </c>
      <c r="H190" s="134">
        <f t="shared" si="69"/>
        <v>75</v>
      </c>
      <c r="I190" s="134">
        <f t="shared" si="70"/>
        <v>20.953890823550172</v>
      </c>
      <c r="J190" s="6">
        <f t="shared" si="71"/>
        <v>-126000000</v>
      </c>
      <c r="K190" s="38"/>
    </row>
    <row r="191" spans="1:11" s="84" customFormat="1" x14ac:dyDescent="0.2">
      <c r="A191" s="749" t="s">
        <v>234</v>
      </c>
      <c r="B191" s="133" t="s">
        <v>522</v>
      </c>
      <c r="C191" s="256">
        <v>9060912</v>
      </c>
      <c r="D191" s="804"/>
      <c r="E191" s="134"/>
      <c r="F191" s="134"/>
      <c r="G191" s="181">
        <f>9060912</f>
        <v>9060912</v>
      </c>
      <c r="H191" s="134"/>
      <c r="I191" s="134"/>
      <c r="J191" s="6">
        <f t="shared" si="71"/>
        <v>0</v>
      </c>
      <c r="K191" s="805"/>
    </row>
    <row r="192" spans="1:11" x14ac:dyDescent="0.25">
      <c r="A192" s="935"/>
      <c r="B192" s="129" t="s">
        <v>154</v>
      </c>
      <c r="C192" s="826">
        <f>SUM(C188:C191)</f>
        <v>1803960912</v>
      </c>
      <c r="D192" s="272">
        <f>SUM(D188:D190)</f>
        <v>99.497721267698964</v>
      </c>
      <c r="E192" s="134"/>
      <c r="F192" s="134"/>
      <c r="G192" s="181">
        <f>SUM(G188:G191)</f>
        <v>1632430212</v>
      </c>
      <c r="H192" s="134"/>
      <c r="I192" s="134"/>
      <c r="J192" s="734"/>
      <c r="K192" s="40"/>
    </row>
    <row r="193" spans="1:15" x14ac:dyDescent="0.25">
      <c r="A193" s="54"/>
      <c r="B193" s="54"/>
      <c r="C193" s="59"/>
      <c r="D193" s="182"/>
      <c r="E193" s="183"/>
      <c r="F193" s="183"/>
      <c r="G193" s="184"/>
      <c r="H193" s="183"/>
      <c r="I193" s="183"/>
      <c r="J193" s="185"/>
      <c r="K193" s="37"/>
    </row>
    <row r="194" spans="1:15" x14ac:dyDescent="0.25">
      <c r="A194" s="50"/>
      <c r="B194" s="5"/>
      <c r="C194" s="50"/>
      <c r="D194" s="9"/>
      <c r="E194" s="23"/>
      <c r="F194" s="23"/>
      <c r="G194" s="11"/>
      <c r="H194" s="23"/>
      <c r="I194" s="23"/>
      <c r="J194" s="9"/>
      <c r="K194" s="9"/>
    </row>
    <row r="195" spans="1:15" x14ac:dyDescent="0.25">
      <c r="A195" s="1072" t="s">
        <v>2</v>
      </c>
      <c r="B195" s="1072" t="s">
        <v>129</v>
      </c>
      <c r="C195" s="1072" t="s">
        <v>124</v>
      </c>
      <c r="D195" s="1075" t="s">
        <v>5</v>
      </c>
      <c r="E195" s="1076"/>
      <c r="F195" s="1076"/>
      <c r="G195" s="1077" t="s">
        <v>6</v>
      </c>
      <c r="H195" s="1076"/>
      <c r="I195" s="1076"/>
      <c r="J195" s="1078" t="s">
        <v>7</v>
      </c>
      <c r="K195" s="95" t="s">
        <v>8</v>
      </c>
    </row>
    <row r="196" spans="1:15" x14ac:dyDescent="0.25">
      <c r="A196" s="1073"/>
      <c r="B196" s="1073"/>
      <c r="C196" s="1073"/>
      <c r="D196" s="95" t="s">
        <v>9</v>
      </c>
      <c r="E196" s="294" t="s">
        <v>10</v>
      </c>
      <c r="F196" s="294" t="s">
        <v>11</v>
      </c>
      <c r="G196" s="96" t="s">
        <v>12</v>
      </c>
      <c r="H196" s="97" t="s">
        <v>13</v>
      </c>
      <c r="I196" s="97" t="s">
        <v>11</v>
      </c>
      <c r="J196" s="1079"/>
      <c r="K196" s="98"/>
    </row>
    <row r="197" spans="1:15" x14ac:dyDescent="0.25">
      <c r="A197" s="1074"/>
      <c r="B197" s="1074"/>
      <c r="C197" s="1074"/>
      <c r="D197" s="101" t="s">
        <v>14</v>
      </c>
      <c r="E197" s="100" t="s">
        <v>14</v>
      </c>
      <c r="F197" s="100" t="s">
        <v>14</v>
      </c>
      <c r="G197" s="99" t="s">
        <v>15</v>
      </c>
      <c r="H197" s="100" t="s">
        <v>14</v>
      </c>
      <c r="I197" s="100" t="s">
        <v>14</v>
      </c>
      <c r="J197" s="101" t="s">
        <v>15</v>
      </c>
      <c r="K197" s="101"/>
    </row>
    <row r="198" spans="1:15" ht="25.5" x14ac:dyDescent="0.25">
      <c r="A198" s="175" t="s">
        <v>180</v>
      </c>
      <c r="B198" s="696" t="s">
        <v>379</v>
      </c>
      <c r="C198" s="126"/>
      <c r="D198" s="121"/>
      <c r="E198" s="122"/>
      <c r="F198" s="122"/>
      <c r="G198" s="123"/>
      <c r="H198" s="122"/>
      <c r="I198" s="122"/>
      <c r="J198" s="121"/>
      <c r="K198" s="121"/>
    </row>
    <row r="199" spans="1:15" ht="25.5" x14ac:dyDescent="0.25">
      <c r="A199" s="176" t="s">
        <v>181</v>
      </c>
      <c r="B199" s="697" t="s">
        <v>380</v>
      </c>
      <c r="C199" s="86">
        <f>SUM(C200:C219)</f>
        <v>385000000</v>
      </c>
      <c r="D199" s="121"/>
      <c r="E199" s="122"/>
      <c r="F199" s="122"/>
      <c r="G199" s="123"/>
      <c r="H199" s="122"/>
      <c r="I199" s="122"/>
      <c r="J199" s="121"/>
      <c r="K199" s="121"/>
    </row>
    <row r="200" spans="1:15" ht="25.5" x14ac:dyDescent="0.25">
      <c r="A200" s="170" t="s">
        <v>44</v>
      </c>
      <c r="B200" s="707" t="s">
        <v>384</v>
      </c>
      <c r="C200" s="58">
        <v>16310000</v>
      </c>
      <c r="D200" s="134">
        <f>C200/C199*100</f>
        <v>4.2363636363636363</v>
      </c>
      <c r="E200" s="134">
        <f t="shared" ref="E200:E214" si="72">G200/C200*100</f>
        <v>100</v>
      </c>
      <c r="F200" s="134">
        <f t="shared" ref="F200:F214" si="73">(D200*E200)/100</f>
        <v>4.2363636363636363</v>
      </c>
      <c r="G200" s="181">
        <f>16310000</f>
        <v>16310000</v>
      </c>
      <c r="H200" s="134">
        <f t="shared" ref="H200:H214" si="74">G200/C200*100</f>
        <v>100</v>
      </c>
      <c r="I200" s="134">
        <f t="shared" ref="I200:I214" si="75">(D200*H200)/100</f>
        <v>4.2363636363636363</v>
      </c>
      <c r="J200" s="6">
        <f t="shared" ref="J200:J218" si="76">G200-C200</f>
        <v>0</v>
      </c>
      <c r="K200" s="121"/>
    </row>
    <row r="201" spans="1:15" x14ac:dyDescent="0.25">
      <c r="A201" s="170" t="s">
        <v>448</v>
      </c>
      <c r="B201" s="707" t="s">
        <v>578</v>
      </c>
      <c r="C201" s="58">
        <v>2210000</v>
      </c>
      <c r="D201" s="134"/>
      <c r="E201" s="134"/>
      <c r="F201" s="134"/>
      <c r="G201" s="181"/>
      <c r="H201" s="134"/>
      <c r="I201" s="134"/>
      <c r="J201" s="6"/>
      <c r="K201" s="121"/>
    </row>
    <row r="202" spans="1:15" x14ac:dyDescent="0.25">
      <c r="A202" s="170" t="s">
        <v>59</v>
      </c>
      <c r="B202" s="707" t="s">
        <v>197</v>
      </c>
      <c r="C202" s="58">
        <v>15297500</v>
      </c>
      <c r="D202" s="180">
        <f>C202/C199*100</f>
        <v>3.9733766233766232</v>
      </c>
      <c r="E202" s="134">
        <f t="shared" si="72"/>
        <v>45.224709919921558</v>
      </c>
      <c r="F202" s="134">
        <f t="shared" si="73"/>
        <v>1.7969480519480518</v>
      </c>
      <c r="G202" s="181">
        <f>6918250</f>
        <v>6918250</v>
      </c>
      <c r="H202" s="134">
        <f t="shared" si="74"/>
        <v>45.224709919921558</v>
      </c>
      <c r="I202" s="134">
        <f t="shared" si="75"/>
        <v>1.7969480519480518</v>
      </c>
      <c r="J202" s="6">
        <f t="shared" si="76"/>
        <v>-8379250</v>
      </c>
      <c r="K202" s="167"/>
    </row>
    <row r="203" spans="1:15" x14ac:dyDescent="0.25">
      <c r="A203" s="170" t="s">
        <v>413</v>
      </c>
      <c r="B203" s="707" t="s">
        <v>597</v>
      </c>
      <c r="C203" s="58">
        <v>10871000</v>
      </c>
      <c r="D203" s="180"/>
      <c r="E203" s="134"/>
      <c r="F203" s="134"/>
      <c r="G203" s="181"/>
      <c r="H203" s="134"/>
      <c r="I203" s="134"/>
      <c r="J203" s="6"/>
      <c r="K203" s="167"/>
    </row>
    <row r="204" spans="1:15" x14ac:dyDescent="0.25">
      <c r="A204" s="170" t="s">
        <v>148</v>
      </c>
      <c r="B204" s="133" t="s">
        <v>531</v>
      </c>
      <c r="C204" s="58">
        <v>10000000</v>
      </c>
      <c r="D204" s="726"/>
      <c r="E204" s="134"/>
      <c r="F204" s="134"/>
      <c r="G204" s="181">
        <f>10000000</f>
        <v>10000000</v>
      </c>
      <c r="H204" s="134"/>
      <c r="I204" s="134"/>
      <c r="J204" s="6">
        <f t="shared" si="76"/>
        <v>0</v>
      </c>
      <c r="K204" s="167"/>
    </row>
    <row r="205" spans="1:15" x14ac:dyDescent="0.25">
      <c r="A205" s="170" t="s">
        <v>579</v>
      </c>
      <c r="B205" s="133" t="s">
        <v>580</v>
      </c>
      <c r="C205" s="58">
        <v>23625000</v>
      </c>
      <c r="D205" s="726"/>
      <c r="E205" s="134"/>
      <c r="F205" s="134"/>
      <c r="G205" s="181"/>
      <c r="H205" s="134"/>
      <c r="I205" s="134"/>
      <c r="J205" s="6"/>
      <c r="K205" s="167"/>
    </row>
    <row r="206" spans="1:15" x14ac:dyDescent="0.25">
      <c r="A206" s="170" t="s">
        <v>77</v>
      </c>
      <c r="B206" s="170" t="s">
        <v>127</v>
      </c>
      <c r="C206" s="58">
        <v>61010000</v>
      </c>
      <c r="D206" s="726">
        <f>C206/C199*100</f>
        <v>15.846753246753249</v>
      </c>
      <c r="E206" s="134">
        <f t="shared" si="72"/>
        <v>66.972627438124903</v>
      </c>
      <c r="F206" s="134">
        <f t="shared" si="73"/>
        <v>10.612987012987015</v>
      </c>
      <c r="G206" s="181">
        <f>40860000</f>
        <v>40860000</v>
      </c>
      <c r="H206" s="134">
        <f t="shared" si="74"/>
        <v>66.972627438124903</v>
      </c>
      <c r="I206" s="134">
        <f t="shared" si="75"/>
        <v>10.612987012987015</v>
      </c>
      <c r="J206" s="6">
        <f t="shared" si="76"/>
        <v>-20150000</v>
      </c>
      <c r="K206" s="167"/>
      <c r="O206" s="190"/>
    </row>
    <row r="207" spans="1:15" x14ac:dyDescent="0.25">
      <c r="A207" s="170" t="s">
        <v>183</v>
      </c>
      <c r="B207" s="170" t="s">
        <v>178</v>
      </c>
      <c r="C207" s="58">
        <v>47625000</v>
      </c>
      <c r="D207" s="726">
        <f>C207/C199*100</f>
        <v>12.370129870129871</v>
      </c>
      <c r="E207" s="134">
        <f t="shared" si="72"/>
        <v>24.146981627296586</v>
      </c>
      <c r="F207" s="134">
        <f t="shared" si="73"/>
        <v>2.9870129870129869</v>
      </c>
      <c r="G207" s="181">
        <f>11500000</f>
        <v>11500000</v>
      </c>
      <c r="H207" s="134">
        <f t="shared" si="74"/>
        <v>24.146981627296586</v>
      </c>
      <c r="I207" s="134">
        <f t="shared" si="75"/>
        <v>2.9870129870129869</v>
      </c>
      <c r="J207" s="6">
        <f t="shared" si="76"/>
        <v>-36125000</v>
      </c>
      <c r="K207" s="167"/>
    </row>
    <row r="208" spans="1:15" x14ac:dyDescent="0.25">
      <c r="A208" s="170" t="s">
        <v>186</v>
      </c>
      <c r="B208" s="170" t="s">
        <v>179</v>
      </c>
      <c r="C208" s="58">
        <v>44100000</v>
      </c>
      <c r="D208" s="726">
        <f>C208/C199*100</f>
        <v>11.454545454545455</v>
      </c>
      <c r="E208" s="134">
        <f t="shared" si="72"/>
        <v>100</v>
      </c>
      <c r="F208" s="134">
        <f t="shared" si="73"/>
        <v>11.454545454545455</v>
      </c>
      <c r="G208" s="181">
        <f>44100000</f>
        <v>44100000</v>
      </c>
      <c r="H208" s="134">
        <f t="shared" si="74"/>
        <v>100</v>
      </c>
      <c r="I208" s="134">
        <f t="shared" si="75"/>
        <v>11.454545454545455</v>
      </c>
      <c r="J208" s="6">
        <f t="shared" si="76"/>
        <v>0</v>
      </c>
      <c r="K208" s="167"/>
    </row>
    <row r="209" spans="1:14" ht="25.5" x14ac:dyDescent="0.25">
      <c r="A209" s="170" t="s">
        <v>106</v>
      </c>
      <c r="B209" s="316" t="s">
        <v>375</v>
      </c>
      <c r="C209" s="58">
        <v>44000000</v>
      </c>
      <c r="D209" s="726">
        <f>C209/C199*100</f>
        <v>11.428571428571429</v>
      </c>
      <c r="E209" s="134">
        <f t="shared" si="72"/>
        <v>97.27272727272728</v>
      </c>
      <c r="F209" s="134">
        <f t="shared" si="73"/>
        <v>11.116883116883118</v>
      </c>
      <c r="G209" s="181">
        <f>42800000</f>
        <v>42800000</v>
      </c>
      <c r="H209" s="134">
        <f t="shared" si="74"/>
        <v>97.27272727272728</v>
      </c>
      <c r="I209" s="134">
        <f t="shared" si="75"/>
        <v>11.116883116883118</v>
      </c>
      <c r="J209" s="6">
        <f t="shared" si="76"/>
        <v>-1200000</v>
      </c>
      <c r="K209" s="167"/>
    </row>
    <row r="210" spans="1:14" x14ac:dyDescent="0.25">
      <c r="A210" s="170" t="s">
        <v>162</v>
      </c>
      <c r="B210" s="315" t="s">
        <v>515</v>
      </c>
      <c r="C210" s="58">
        <v>36000000</v>
      </c>
      <c r="D210" s="726"/>
      <c r="E210" s="134"/>
      <c r="F210" s="134"/>
      <c r="G210" s="181">
        <f>36000000</f>
        <v>36000000</v>
      </c>
      <c r="H210" s="134"/>
      <c r="I210" s="134"/>
      <c r="J210" s="6">
        <f t="shared" si="76"/>
        <v>0</v>
      </c>
      <c r="K210" s="167"/>
    </row>
    <row r="211" spans="1:14" x14ac:dyDescent="0.25">
      <c r="A211" s="170" t="s">
        <v>527</v>
      </c>
      <c r="B211" s="316" t="s">
        <v>523</v>
      </c>
      <c r="C211" s="58">
        <v>5625000</v>
      </c>
      <c r="D211" s="726"/>
      <c r="E211" s="134"/>
      <c r="F211" s="134"/>
      <c r="G211" s="181">
        <f>5625000</f>
        <v>5625000</v>
      </c>
      <c r="H211" s="134"/>
      <c r="I211" s="134"/>
      <c r="J211" s="6">
        <f t="shared" si="76"/>
        <v>0</v>
      </c>
      <c r="K211" s="167"/>
    </row>
    <row r="212" spans="1:14" x14ac:dyDescent="0.25">
      <c r="A212" s="170" t="s">
        <v>528</v>
      </c>
      <c r="B212" s="316" t="s">
        <v>524</v>
      </c>
      <c r="C212" s="58">
        <v>16000000</v>
      </c>
      <c r="D212" s="726"/>
      <c r="E212" s="134"/>
      <c r="F212" s="134"/>
      <c r="G212" s="181">
        <f>16000000</f>
        <v>16000000</v>
      </c>
      <c r="H212" s="134"/>
      <c r="I212" s="134"/>
      <c r="J212" s="6">
        <f t="shared" si="76"/>
        <v>0</v>
      </c>
      <c r="K212" s="167"/>
    </row>
    <row r="213" spans="1:14" x14ac:dyDescent="0.25">
      <c r="A213" s="170" t="s">
        <v>529</v>
      </c>
      <c r="B213" s="316" t="s">
        <v>525</v>
      </c>
      <c r="C213" s="58">
        <v>4000000</v>
      </c>
      <c r="D213" s="726"/>
      <c r="E213" s="134"/>
      <c r="F213" s="134"/>
      <c r="G213" s="181">
        <f>4000000</f>
        <v>4000000</v>
      </c>
      <c r="H213" s="134"/>
      <c r="I213" s="134"/>
      <c r="J213" s="6">
        <f t="shared" si="76"/>
        <v>0</v>
      </c>
      <c r="K213" s="167"/>
    </row>
    <row r="214" spans="1:14" ht="25.5" x14ac:dyDescent="0.25">
      <c r="A214" s="170" t="s">
        <v>116</v>
      </c>
      <c r="B214" s="133" t="s">
        <v>371</v>
      </c>
      <c r="C214" s="178">
        <v>3848500</v>
      </c>
      <c r="D214" s="726">
        <f>C214/C199*100</f>
        <v>0.99961038961038973</v>
      </c>
      <c r="E214" s="134">
        <f t="shared" si="72"/>
        <v>42.159282837469142</v>
      </c>
      <c r="F214" s="134">
        <f t="shared" si="73"/>
        <v>0.42142857142857149</v>
      </c>
      <c r="G214" s="181">
        <f>1622500</f>
        <v>1622500</v>
      </c>
      <c r="H214" s="134">
        <f t="shared" si="74"/>
        <v>42.159282837469142</v>
      </c>
      <c r="I214" s="134">
        <f t="shared" si="75"/>
        <v>0.42142857142857149</v>
      </c>
      <c r="J214" s="6">
        <f t="shared" si="76"/>
        <v>-2226000</v>
      </c>
      <c r="K214" s="167"/>
      <c r="M214" s="190"/>
    </row>
    <row r="215" spans="1:14" x14ac:dyDescent="0.25">
      <c r="A215" s="748" t="s">
        <v>65</v>
      </c>
      <c r="B215" s="315" t="s">
        <v>393</v>
      </c>
      <c r="C215" s="178">
        <v>7000000</v>
      </c>
      <c r="D215" s="726"/>
      <c r="E215" s="134"/>
      <c r="F215" s="134"/>
      <c r="G215" s="181">
        <f>6932360</f>
        <v>6932360</v>
      </c>
      <c r="H215" s="134"/>
      <c r="I215" s="134"/>
      <c r="J215" s="6">
        <f t="shared" si="76"/>
        <v>-67640</v>
      </c>
      <c r="K215" s="167"/>
      <c r="M215" s="190"/>
    </row>
    <row r="216" spans="1:14" x14ac:dyDescent="0.25">
      <c r="A216" s="748" t="s">
        <v>287</v>
      </c>
      <c r="B216" s="315" t="s">
        <v>191</v>
      </c>
      <c r="C216" s="178">
        <v>15000000</v>
      </c>
      <c r="D216" s="726"/>
      <c r="E216" s="134"/>
      <c r="F216" s="134"/>
      <c r="G216" s="181">
        <f>15000000</f>
        <v>15000000</v>
      </c>
      <c r="H216" s="134"/>
      <c r="I216" s="134"/>
      <c r="J216" s="6">
        <f t="shared" si="76"/>
        <v>0</v>
      </c>
      <c r="K216" s="167"/>
      <c r="M216" s="190"/>
    </row>
    <row r="217" spans="1:14" x14ac:dyDescent="0.25">
      <c r="A217" s="748" t="s">
        <v>590</v>
      </c>
      <c r="B217" s="315" t="s">
        <v>598</v>
      </c>
      <c r="C217" s="178">
        <v>15300000</v>
      </c>
      <c r="D217" s="726"/>
      <c r="E217" s="134"/>
      <c r="F217" s="134"/>
      <c r="G217" s="181">
        <f>15300000</f>
        <v>15300000</v>
      </c>
      <c r="H217" s="134"/>
      <c r="I217" s="134"/>
      <c r="J217" s="6"/>
      <c r="K217" s="167"/>
      <c r="M217" s="190"/>
    </row>
    <row r="218" spans="1:14" x14ac:dyDescent="0.25">
      <c r="A218" s="748" t="s">
        <v>275</v>
      </c>
      <c r="B218" s="133" t="s">
        <v>421</v>
      </c>
      <c r="C218" s="178">
        <v>6500000</v>
      </c>
      <c r="D218" s="726"/>
      <c r="E218" s="134"/>
      <c r="F218" s="134"/>
      <c r="G218" s="181">
        <f>6500000</f>
        <v>6500000</v>
      </c>
      <c r="H218" s="134"/>
      <c r="I218" s="134"/>
      <c r="J218" s="6">
        <f t="shared" si="76"/>
        <v>0</v>
      </c>
      <c r="K218" s="167"/>
      <c r="M218" s="190"/>
    </row>
    <row r="219" spans="1:14" x14ac:dyDescent="0.25">
      <c r="A219" s="748" t="s">
        <v>600</v>
      </c>
      <c r="B219" s="133" t="s">
        <v>599</v>
      </c>
      <c r="C219" s="178">
        <v>678000</v>
      </c>
      <c r="D219" s="726"/>
      <c r="E219" s="134"/>
      <c r="F219" s="134"/>
      <c r="G219" s="181">
        <f>678000</f>
        <v>678000</v>
      </c>
      <c r="H219" s="134"/>
      <c r="I219" s="134"/>
      <c r="J219" s="6"/>
      <c r="K219" s="167"/>
      <c r="M219" s="190"/>
    </row>
    <row r="220" spans="1:14" x14ac:dyDescent="0.25">
      <c r="A220" s="69"/>
      <c r="B220" s="67" t="s">
        <v>128</v>
      </c>
      <c r="C220" s="60">
        <f>SUM(C200:C219)</f>
        <v>385000000</v>
      </c>
      <c r="D220" s="275">
        <f>SUM(D200:D214)</f>
        <v>60.309350649350655</v>
      </c>
      <c r="E220" s="134"/>
      <c r="F220" s="134"/>
      <c r="G220" s="42">
        <f>SUM(G200:G219)</f>
        <v>280146110</v>
      </c>
      <c r="H220" s="134"/>
      <c r="I220" s="134"/>
      <c r="J220" s="734"/>
      <c r="K220" s="38"/>
    </row>
    <row r="221" spans="1:14" x14ac:dyDescent="0.25">
      <c r="A221" s="186"/>
      <c r="B221" s="2"/>
      <c r="C221" s="187"/>
      <c r="D221" s="188"/>
      <c r="E221" s="183"/>
      <c r="F221" s="183"/>
      <c r="G221" s="184"/>
      <c r="H221" s="183"/>
      <c r="I221" s="183"/>
      <c r="J221" s="189"/>
      <c r="K221" s="53"/>
    </row>
    <row r="222" spans="1:14" ht="31.5" x14ac:dyDescent="0.25">
      <c r="A222" s="55"/>
      <c r="B222" s="46" t="s">
        <v>145</v>
      </c>
      <c r="C222" s="155"/>
      <c r="D222" s="44"/>
      <c r="E222" s="45"/>
      <c r="F222" s="45"/>
      <c r="G222" s="48"/>
      <c r="H222" s="45"/>
      <c r="I222" s="45"/>
      <c r="J222" s="44"/>
      <c r="K222" s="44"/>
      <c r="L222" s="1"/>
      <c r="M222" s="1"/>
      <c r="N222" s="1"/>
    </row>
    <row r="223" spans="1:14" x14ac:dyDescent="0.25">
      <c r="A223" s="1082" t="s">
        <v>2</v>
      </c>
      <c r="B223" s="1081" t="s">
        <v>168</v>
      </c>
      <c r="C223" s="1082" t="s">
        <v>4</v>
      </c>
      <c r="D223" s="1083" t="s">
        <v>5</v>
      </c>
      <c r="E223" s="1084"/>
      <c r="F223" s="1084"/>
      <c r="G223" s="1085" t="s">
        <v>6</v>
      </c>
      <c r="H223" s="1084"/>
      <c r="I223" s="1084"/>
      <c r="J223" s="1082" t="s">
        <v>7</v>
      </c>
      <c r="K223" s="283" t="s">
        <v>8</v>
      </c>
    </row>
    <row r="224" spans="1:14" x14ac:dyDescent="0.25">
      <c r="A224" s="1082"/>
      <c r="B224" s="1081"/>
      <c r="C224" s="1082"/>
      <c r="D224" s="283" t="s">
        <v>9</v>
      </c>
      <c r="E224" s="297" t="s">
        <v>10</v>
      </c>
      <c r="F224" s="297" t="s">
        <v>11</v>
      </c>
      <c r="G224" s="298" t="s">
        <v>12</v>
      </c>
      <c r="H224" s="297" t="s">
        <v>13</v>
      </c>
      <c r="I224" s="297" t="s">
        <v>11</v>
      </c>
      <c r="J224" s="1086"/>
      <c r="K224" s="284"/>
    </row>
    <row r="225" spans="1:11" x14ac:dyDescent="0.25">
      <c r="A225" s="1082"/>
      <c r="B225" s="1081"/>
      <c r="C225" s="1082"/>
      <c r="D225" s="282" t="s">
        <v>14</v>
      </c>
      <c r="E225" s="295" t="s">
        <v>14</v>
      </c>
      <c r="F225" s="295" t="s">
        <v>14</v>
      </c>
      <c r="G225" s="296" t="s">
        <v>15</v>
      </c>
      <c r="H225" s="295" t="s">
        <v>14</v>
      </c>
      <c r="I225" s="295" t="s">
        <v>14</v>
      </c>
      <c r="J225" s="282" t="s">
        <v>15</v>
      </c>
      <c r="K225" s="282"/>
    </row>
    <row r="226" spans="1:11" x14ac:dyDescent="0.25">
      <c r="A226" s="79" t="s">
        <v>185</v>
      </c>
      <c r="B226" s="199" t="s">
        <v>146</v>
      </c>
      <c r="C226" s="145"/>
      <c r="D226" s="146"/>
      <c r="E226" s="147"/>
      <c r="F226" s="147"/>
      <c r="G226" s="148"/>
      <c r="H226" s="147"/>
      <c r="I226" s="147"/>
      <c r="J226" s="146"/>
      <c r="K226" s="146"/>
    </row>
    <row r="227" spans="1:11" x14ac:dyDescent="0.25">
      <c r="A227" s="125" t="s">
        <v>184</v>
      </c>
      <c r="B227" s="280" t="s">
        <v>147</v>
      </c>
      <c r="C227" s="257">
        <f>SUM(C228:C230)</f>
        <v>2695640000</v>
      </c>
      <c r="D227" s="146"/>
      <c r="E227" s="147"/>
      <c r="F227" s="147"/>
      <c r="G227" s="148"/>
      <c r="H227" s="147"/>
      <c r="I227" s="147"/>
      <c r="J227" s="146"/>
      <c r="K227" s="146"/>
    </row>
    <row r="228" spans="1:11" ht="25.5" x14ac:dyDescent="0.25">
      <c r="A228" s="319" t="s">
        <v>59</v>
      </c>
      <c r="B228" s="707" t="s">
        <v>384</v>
      </c>
      <c r="C228" s="258">
        <f>33350000</f>
        <v>33350000</v>
      </c>
      <c r="D228" s="267"/>
      <c r="E228" s="134"/>
      <c r="F228" s="134"/>
      <c r="G228" s="181">
        <f>33350000</f>
        <v>33350000</v>
      </c>
      <c r="H228" s="134"/>
      <c r="I228" s="134"/>
      <c r="J228" s="6">
        <f t="shared" ref="J228:J229" si="77">G228-C228</f>
        <v>0</v>
      </c>
      <c r="K228" s="146"/>
    </row>
    <row r="229" spans="1:11" x14ac:dyDescent="0.25">
      <c r="A229" s="49" t="s">
        <v>148</v>
      </c>
      <c r="B229" s="707" t="s">
        <v>197</v>
      </c>
      <c r="C229" s="259">
        <f>2290000</f>
        <v>2290000</v>
      </c>
      <c r="D229" s="267">
        <f>C229/C227*100</f>
        <v>8.4951996557403806E-2</v>
      </c>
      <c r="E229" s="134">
        <f t="shared" ref="E229" si="78">G229/C229*100</f>
        <v>100</v>
      </c>
      <c r="F229" s="134">
        <f t="shared" ref="F229" si="79">(D229*E229)/100</f>
        <v>8.4951996557403806E-2</v>
      </c>
      <c r="G229" s="181">
        <f>2290000</f>
        <v>2290000</v>
      </c>
      <c r="H229" s="134">
        <f t="shared" ref="H229" si="80">G229/C229*100</f>
        <v>100</v>
      </c>
      <c r="I229" s="134">
        <f t="shared" ref="I229" si="81">(D229*H229)/100</f>
        <v>8.4951996557403806E-2</v>
      </c>
      <c r="J229" s="6">
        <f t="shared" si="77"/>
        <v>0</v>
      </c>
      <c r="K229" s="146"/>
    </row>
    <row r="230" spans="1:11" x14ac:dyDescent="0.25">
      <c r="A230" s="749"/>
      <c r="B230" s="133" t="s">
        <v>531</v>
      </c>
      <c r="C230" s="259">
        <v>2660000000</v>
      </c>
      <c r="D230" s="848"/>
      <c r="E230" s="134"/>
      <c r="F230" s="134"/>
      <c r="G230" s="181">
        <f>716100000+1943900000</f>
        <v>2660000000</v>
      </c>
      <c r="H230" s="134"/>
      <c r="I230" s="134"/>
      <c r="J230" s="6"/>
      <c r="K230" s="849"/>
    </row>
    <row r="231" spans="1:11" x14ac:dyDescent="0.25">
      <c r="A231" s="71"/>
      <c r="B231" s="76" t="s">
        <v>95</v>
      </c>
      <c r="C231" s="806">
        <f>SUM(C228:C230)</f>
        <v>2695640000</v>
      </c>
      <c r="D231" s="141">
        <f>SUM(D228:D229)</f>
        <v>8.4951996557403806E-2</v>
      </c>
      <c r="E231" s="134"/>
      <c r="F231" s="134"/>
      <c r="G231" s="181">
        <f>SUM(G228:G230)</f>
        <v>2695640000</v>
      </c>
      <c r="H231" s="134"/>
      <c r="I231" s="134"/>
      <c r="J231" s="56">
        <v>0</v>
      </c>
      <c r="K231" s="143"/>
    </row>
    <row r="232" spans="1:11" x14ac:dyDescent="0.25">
      <c r="A232" s="186"/>
      <c r="B232" s="2"/>
      <c r="C232" s="187"/>
      <c r="D232" s="188"/>
      <c r="E232" s="183"/>
      <c r="F232" s="183"/>
      <c r="G232" s="184"/>
      <c r="H232" s="183"/>
      <c r="I232" s="183"/>
      <c r="J232" s="189"/>
      <c r="K232" s="53"/>
    </row>
    <row r="233" spans="1:11" x14ac:dyDescent="0.25">
      <c r="A233" s="1080" t="s">
        <v>2</v>
      </c>
      <c r="B233" s="1081" t="s">
        <v>168</v>
      </c>
      <c r="C233" s="1080" t="s">
        <v>4</v>
      </c>
      <c r="D233" s="1075" t="s">
        <v>5</v>
      </c>
      <c r="E233" s="1076"/>
      <c r="F233" s="1076"/>
      <c r="G233" s="1077" t="s">
        <v>6</v>
      </c>
      <c r="H233" s="1076"/>
      <c r="I233" s="1076"/>
      <c r="J233" s="1080" t="s">
        <v>7</v>
      </c>
      <c r="K233" s="95" t="s">
        <v>8</v>
      </c>
    </row>
    <row r="234" spans="1:11" x14ac:dyDescent="0.25">
      <c r="A234" s="1080"/>
      <c r="B234" s="1081"/>
      <c r="C234" s="1080"/>
      <c r="D234" s="95" t="s">
        <v>9</v>
      </c>
      <c r="E234" s="294" t="s">
        <v>10</v>
      </c>
      <c r="F234" s="294" t="s">
        <v>11</v>
      </c>
      <c r="G234" s="299" t="s">
        <v>12</v>
      </c>
      <c r="H234" s="294" t="s">
        <v>13</v>
      </c>
      <c r="I234" s="294" t="s">
        <v>11</v>
      </c>
      <c r="J234" s="1078"/>
      <c r="K234" s="98"/>
    </row>
    <row r="235" spans="1:11" x14ac:dyDescent="0.25">
      <c r="A235" s="1080"/>
      <c r="B235" s="1081"/>
      <c r="C235" s="1080"/>
      <c r="D235" s="101" t="s">
        <v>14</v>
      </c>
      <c r="E235" s="100" t="s">
        <v>14</v>
      </c>
      <c r="F235" s="100" t="s">
        <v>14</v>
      </c>
      <c r="G235" s="99" t="s">
        <v>15</v>
      </c>
      <c r="H235" s="100" t="s">
        <v>14</v>
      </c>
      <c r="I235" s="100" t="s">
        <v>14</v>
      </c>
      <c r="J235" s="101" t="s">
        <v>15</v>
      </c>
      <c r="K235" s="101"/>
    </row>
    <row r="236" spans="1:11" x14ac:dyDescent="0.25">
      <c r="A236" s="79" t="s">
        <v>185</v>
      </c>
      <c r="B236" s="199" t="s">
        <v>146</v>
      </c>
      <c r="C236" s="24"/>
      <c r="D236" s="10"/>
      <c r="E236" s="34"/>
      <c r="F236" s="34"/>
      <c r="G236" s="6"/>
      <c r="H236" s="34"/>
      <c r="I236" s="34"/>
      <c r="J236" s="10"/>
      <c r="K236" s="10"/>
    </row>
    <row r="237" spans="1:11" x14ac:dyDescent="0.25">
      <c r="A237" s="125" t="s">
        <v>187</v>
      </c>
      <c r="B237" s="280" t="s">
        <v>150</v>
      </c>
      <c r="C237" s="252">
        <f>SUM(C238:C242)</f>
        <v>1635097968</v>
      </c>
      <c r="D237" s="10"/>
      <c r="E237" s="34"/>
      <c r="F237" s="34"/>
      <c r="G237" s="6"/>
      <c r="H237" s="34"/>
      <c r="I237" s="34"/>
      <c r="J237" s="10"/>
      <c r="K237" s="10"/>
    </row>
    <row r="238" spans="1:11" ht="25.5" x14ac:dyDescent="0.25">
      <c r="A238" s="313" t="s">
        <v>44</v>
      </c>
      <c r="B238" s="707" t="s">
        <v>384</v>
      </c>
      <c r="C238" s="253">
        <v>29600000</v>
      </c>
      <c r="D238" s="134">
        <f>C238/C237*100</f>
        <v>1.8102890823236593</v>
      </c>
      <c r="E238" s="134">
        <f t="shared" ref="E238:E241" si="82">G238/C238*100</f>
        <v>100</v>
      </c>
      <c r="F238" s="134">
        <f t="shared" ref="F238:F241" si="83">(D238*E238)/100</f>
        <v>1.8102890823236593</v>
      </c>
      <c r="G238" s="181">
        <f>29600000</f>
        <v>29600000</v>
      </c>
      <c r="H238" s="134">
        <f t="shared" ref="H238:H241" si="84">G238/C238*100</f>
        <v>100</v>
      </c>
      <c r="I238" s="134">
        <f t="shared" ref="I238:I241" si="85">(D238*H238)/100</f>
        <v>1.8102890823236593</v>
      </c>
      <c r="J238" s="6">
        <f t="shared" ref="J238:J242" si="86">G238-C238</f>
        <v>0</v>
      </c>
      <c r="K238" s="10"/>
    </row>
    <row r="239" spans="1:11" x14ac:dyDescent="0.25">
      <c r="A239" s="319" t="s">
        <v>59</v>
      </c>
      <c r="B239" s="707" t="s">
        <v>197</v>
      </c>
      <c r="C239" s="253">
        <v>1300000</v>
      </c>
      <c r="D239" s="134"/>
      <c r="E239" s="134"/>
      <c r="F239" s="134"/>
      <c r="G239" s="181">
        <f>1300000</f>
        <v>1300000</v>
      </c>
      <c r="H239" s="134"/>
      <c r="I239" s="134"/>
      <c r="J239" s="6">
        <f t="shared" si="86"/>
        <v>0</v>
      </c>
      <c r="K239" s="10"/>
    </row>
    <row r="240" spans="1:11" x14ac:dyDescent="0.25">
      <c r="A240" s="49" t="s">
        <v>148</v>
      </c>
      <c r="B240" s="133" t="s">
        <v>531</v>
      </c>
      <c r="C240" s="256">
        <f>1140000000</f>
        <v>1140000000</v>
      </c>
      <c r="D240" s="134">
        <f>C240/C237*100</f>
        <v>69.720593035438228</v>
      </c>
      <c r="E240" s="134">
        <f t="shared" si="82"/>
        <v>76.684210526315795</v>
      </c>
      <c r="F240" s="134">
        <f t="shared" si="83"/>
        <v>53.464686343491323</v>
      </c>
      <c r="G240" s="181">
        <f>665873600+208326400</f>
        <v>874200000</v>
      </c>
      <c r="H240" s="134">
        <f t="shared" si="84"/>
        <v>76.684210526315795</v>
      </c>
      <c r="I240" s="134">
        <f t="shared" si="85"/>
        <v>53.464686343491323</v>
      </c>
      <c r="J240" s="6">
        <f t="shared" si="86"/>
        <v>-265800000</v>
      </c>
      <c r="K240" s="10"/>
    </row>
    <row r="241" spans="1:11" s="84" customFormat="1" ht="25.5" x14ac:dyDescent="0.2">
      <c r="A241" s="49" t="s">
        <v>152</v>
      </c>
      <c r="B241" s="133" t="s">
        <v>153</v>
      </c>
      <c r="C241" s="256">
        <v>456000000</v>
      </c>
      <c r="D241" s="134">
        <f>C241/C237*100</f>
        <v>27.888237214175295</v>
      </c>
      <c r="E241" s="134">
        <f t="shared" si="82"/>
        <v>75</v>
      </c>
      <c r="F241" s="134">
        <f t="shared" si="83"/>
        <v>20.916177910631472</v>
      </c>
      <c r="G241" s="181">
        <f>342000000</f>
        <v>342000000</v>
      </c>
      <c r="H241" s="134">
        <f t="shared" si="84"/>
        <v>75</v>
      </c>
      <c r="I241" s="134">
        <f t="shared" si="85"/>
        <v>20.916177910631472</v>
      </c>
      <c r="J241" s="6">
        <f t="shared" si="86"/>
        <v>-114000000</v>
      </c>
      <c r="K241" s="38"/>
    </row>
    <row r="242" spans="1:11" s="84" customFormat="1" x14ac:dyDescent="0.2">
      <c r="A242" s="749" t="s">
        <v>234</v>
      </c>
      <c r="B242" s="133" t="s">
        <v>522</v>
      </c>
      <c r="C242" s="256">
        <v>8197968</v>
      </c>
      <c r="D242" s="804"/>
      <c r="E242" s="134"/>
      <c r="F242" s="134"/>
      <c r="G242" s="181">
        <f>8197968</f>
        <v>8197968</v>
      </c>
      <c r="H242" s="134"/>
      <c r="I242" s="134"/>
      <c r="J242" s="6">
        <f t="shared" si="86"/>
        <v>0</v>
      </c>
      <c r="K242" s="805"/>
    </row>
    <row r="243" spans="1:11" x14ac:dyDescent="0.25">
      <c r="A243" s="70"/>
      <c r="B243" s="129" t="s">
        <v>95</v>
      </c>
      <c r="C243" s="807">
        <f>SUM(C238:C242)</f>
        <v>1635097968</v>
      </c>
      <c r="D243" s="271">
        <f>SUM(D238:D241)</f>
        <v>99.419119331937182</v>
      </c>
      <c r="E243" s="134"/>
      <c r="F243" s="134"/>
      <c r="G243" s="181">
        <f>SUM(G238:G242)</f>
        <v>1255297968</v>
      </c>
      <c r="H243" s="134"/>
      <c r="I243" s="134"/>
      <c r="J243" s="56">
        <v>0</v>
      </c>
      <c r="K243" s="130"/>
    </row>
    <row r="244" spans="1:11" x14ac:dyDescent="0.25">
      <c r="A244" s="186"/>
      <c r="B244" s="2"/>
      <c r="C244" s="187"/>
      <c r="D244" s="188"/>
      <c r="E244" s="183"/>
      <c r="F244" s="183"/>
      <c r="G244" s="184"/>
      <c r="H244" s="183"/>
      <c r="I244" s="183"/>
      <c r="J244" s="189"/>
      <c r="K244" s="53"/>
    </row>
    <row r="245" spans="1:11" x14ac:dyDescent="0.25">
      <c r="A245" s="50"/>
      <c r="B245" s="5"/>
      <c r="C245" s="50"/>
      <c r="D245" s="9"/>
      <c r="E245" s="23"/>
      <c r="F245" s="23"/>
      <c r="G245" s="11"/>
      <c r="H245" s="23"/>
      <c r="I245" s="23"/>
      <c r="J245" s="9"/>
      <c r="K245" s="9"/>
    </row>
    <row r="246" spans="1:11" x14ac:dyDescent="0.25">
      <c r="A246" s="1088" t="s">
        <v>2</v>
      </c>
      <c r="B246" s="1094" t="s">
        <v>133</v>
      </c>
      <c r="C246" s="930"/>
      <c r="D246" s="1097" t="s">
        <v>5</v>
      </c>
      <c r="E246" s="1098"/>
      <c r="F246" s="1099"/>
      <c r="G246" s="1100" t="s">
        <v>6</v>
      </c>
      <c r="H246" s="1101"/>
      <c r="I246" s="1102"/>
      <c r="J246" s="1088" t="s">
        <v>7</v>
      </c>
      <c r="K246" s="108" t="s">
        <v>8</v>
      </c>
    </row>
    <row r="247" spans="1:11" x14ac:dyDescent="0.25">
      <c r="A247" s="1092"/>
      <c r="B247" s="1095"/>
      <c r="C247" s="931" t="s">
        <v>4</v>
      </c>
      <c r="D247" s="109" t="s">
        <v>9</v>
      </c>
      <c r="E247" s="110" t="s">
        <v>10</v>
      </c>
      <c r="F247" s="110" t="s">
        <v>11</v>
      </c>
      <c r="G247" s="111" t="s">
        <v>12</v>
      </c>
      <c r="H247" s="110" t="s">
        <v>13</v>
      </c>
      <c r="I247" s="110" t="s">
        <v>11</v>
      </c>
      <c r="J247" s="1092"/>
      <c r="K247" s="109"/>
    </row>
    <row r="248" spans="1:11" x14ac:dyDescent="0.25">
      <c r="A248" s="1093"/>
      <c r="B248" s="1096"/>
      <c r="C248" s="932"/>
      <c r="D248" s="112" t="s">
        <v>14</v>
      </c>
      <c r="E248" s="113" t="s">
        <v>14</v>
      </c>
      <c r="F248" s="113" t="s">
        <v>14</v>
      </c>
      <c r="G248" s="114" t="s">
        <v>15</v>
      </c>
      <c r="H248" s="113" t="s">
        <v>14</v>
      </c>
      <c r="I248" s="113" t="s">
        <v>14</v>
      </c>
      <c r="J248" s="112" t="s">
        <v>15</v>
      </c>
      <c r="K248" s="112"/>
    </row>
    <row r="249" spans="1:11" ht="25.5" x14ac:dyDescent="0.25">
      <c r="A249" s="79" t="s">
        <v>180</v>
      </c>
      <c r="B249" s="696" t="s">
        <v>379</v>
      </c>
      <c r="C249" s="291"/>
      <c r="D249" s="10"/>
      <c r="E249" s="34"/>
      <c r="F249" s="34"/>
      <c r="G249" s="6"/>
      <c r="H249" s="34"/>
      <c r="I249" s="34"/>
      <c r="J249" s="10"/>
      <c r="K249" s="10"/>
    </row>
    <row r="250" spans="1:11" ht="25.5" x14ac:dyDescent="0.25">
      <c r="A250" s="125" t="s">
        <v>181</v>
      </c>
      <c r="B250" s="697" t="s">
        <v>380</v>
      </c>
      <c r="C250" s="87">
        <f>SUM(C251:C266)</f>
        <v>235000000</v>
      </c>
      <c r="D250" s="10"/>
      <c r="E250" s="34"/>
      <c r="F250" s="34"/>
      <c r="G250" s="6"/>
      <c r="H250" s="34"/>
      <c r="I250" s="34"/>
      <c r="J250" s="10"/>
      <c r="K250" s="10"/>
    </row>
    <row r="251" spans="1:11" ht="25.5" x14ac:dyDescent="0.25">
      <c r="A251" s="49" t="s">
        <v>44</v>
      </c>
      <c r="B251" s="707" t="s">
        <v>384</v>
      </c>
      <c r="C251" s="172">
        <v>8580000</v>
      </c>
      <c r="D251" s="134">
        <f>C251/C250*100</f>
        <v>3.6510638297872342</v>
      </c>
      <c r="E251" s="134">
        <f t="shared" ref="E251:E262" si="87">G251/C251*100</f>
        <v>100</v>
      </c>
      <c r="F251" s="134">
        <f t="shared" ref="F251:F262" si="88">(D251*E251)/100</f>
        <v>3.6510638297872346</v>
      </c>
      <c r="G251" s="181">
        <f>8580000</f>
        <v>8580000</v>
      </c>
      <c r="H251" s="134">
        <f t="shared" ref="H251:H262" si="89">G251/C251*100</f>
        <v>100</v>
      </c>
      <c r="I251" s="134">
        <f t="shared" ref="I251:I262" si="90">(D251*H251)/100</f>
        <v>3.6510638297872346</v>
      </c>
      <c r="J251" s="6">
        <f t="shared" ref="J251:J265" si="91">G251-C251</f>
        <v>0</v>
      </c>
      <c r="K251" s="10"/>
    </row>
    <row r="252" spans="1:11" x14ac:dyDescent="0.25">
      <c r="A252" s="49" t="s">
        <v>448</v>
      </c>
      <c r="B252" s="707" t="s">
        <v>578</v>
      </c>
      <c r="C252" s="172">
        <v>510000</v>
      </c>
      <c r="D252" s="134"/>
      <c r="E252" s="134"/>
      <c r="F252" s="134"/>
      <c r="G252" s="181"/>
      <c r="H252" s="134"/>
      <c r="I252" s="134"/>
      <c r="J252" s="6"/>
      <c r="K252" s="10"/>
    </row>
    <row r="253" spans="1:11" x14ac:dyDescent="0.25">
      <c r="A253" s="49" t="s">
        <v>59</v>
      </c>
      <c r="B253" s="707" t="s">
        <v>197</v>
      </c>
      <c r="C253" s="256">
        <v>9805700</v>
      </c>
      <c r="D253" s="134">
        <f>C253/C250*100</f>
        <v>4.1726382978723411</v>
      </c>
      <c r="E253" s="134">
        <f t="shared" si="87"/>
        <v>96.812058292625707</v>
      </c>
      <c r="F253" s="134">
        <f t="shared" si="88"/>
        <v>4.0396170212765954</v>
      </c>
      <c r="G253" s="181">
        <f>6993100+2500000</f>
        <v>9493100</v>
      </c>
      <c r="H253" s="134">
        <f t="shared" si="89"/>
        <v>96.812058292625707</v>
      </c>
      <c r="I253" s="134">
        <f t="shared" si="90"/>
        <v>4.0396170212765954</v>
      </c>
      <c r="J253" s="6">
        <f t="shared" si="91"/>
        <v>-312600</v>
      </c>
      <c r="K253" s="10"/>
    </row>
    <row r="254" spans="1:11" x14ac:dyDescent="0.25">
      <c r="A254" s="49" t="s">
        <v>62</v>
      </c>
      <c r="B254" s="707" t="s">
        <v>334</v>
      </c>
      <c r="C254" s="256">
        <v>4450000</v>
      </c>
      <c r="D254" s="134">
        <f>C254/C250*100</f>
        <v>1.8936170212765957</v>
      </c>
      <c r="E254" s="134">
        <f t="shared" si="87"/>
        <v>100</v>
      </c>
      <c r="F254" s="134">
        <f t="shared" si="88"/>
        <v>1.8936170212765959</v>
      </c>
      <c r="G254" s="181">
        <f>4450000</f>
        <v>4450000</v>
      </c>
      <c r="H254" s="134">
        <f t="shared" si="89"/>
        <v>100</v>
      </c>
      <c r="I254" s="134">
        <f t="shared" si="90"/>
        <v>1.8936170212765959</v>
      </c>
      <c r="J254" s="6">
        <f t="shared" si="91"/>
        <v>0</v>
      </c>
      <c r="K254" s="10"/>
    </row>
    <row r="255" spans="1:11" ht="25.5" x14ac:dyDescent="0.25">
      <c r="A255" s="49" t="s">
        <v>587</v>
      </c>
      <c r="B255" s="707" t="s">
        <v>532</v>
      </c>
      <c r="C255" s="256">
        <v>3500000</v>
      </c>
      <c r="D255" s="134"/>
      <c r="E255" s="134"/>
      <c r="F255" s="134"/>
      <c r="G255" s="181">
        <f>3500000</f>
        <v>3500000</v>
      </c>
      <c r="H255" s="134"/>
      <c r="I255" s="134"/>
      <c r="J255" s="6">
        <f t="shared" si="91"/>
        <v>0</v>
      </c>
      <c r="K255" s="10"/>
    </row>
    <row r="256" spans="1:11" x14ac:dyDescent="0.25">
      <c r="A256" s="49" t="s">
        <v>579</v>
      </c>
      <c r="B256" s="707" t="s">
        <v>580</v>
      </c>
      <c r="C256" s="256">
        <v>7250000</v>
      </c>
      <c r="D256" s="134"/>
      <c r="E256" s="134"/>
      <c r="F256" s="134"/>
      <c r="G256" s="181"/>
      <c r="H256" s="134"/>
      <c r="I256" s="134"/>
      <c r="J256" s="6"/>
      <c r="K256" s="10"/>
    </row>
    <row r="257" spans="1:14" x14ac:dyDescent="0.25">
      <c r="A257" s="49" t="s">
        <v>77</v>
      </c>
      <c r="B257" s="49" t="s">
        <v>135</v>
      </c>
      <c r="C257" s="174">
        <v>76080000</v>
      </c>
      <c r="D257" s="134">
        <f>C257/C250*100</f>
        <v>32.374468085106386</v>
      </c>
      <c r="E257" s="134">
        <f t="shared" si="87"/>
        <v>58.831493165089377</v>
      </c>
      <c r="F257" s="134">
        <f t="shared" si="88"/>
        <v>19.046382978723404</v>
      </c>
      <c r="G257" s="181">
        <f>44759000</f>
        <v>44759000</v>
      </c>
      <c r="H257" s="134">
        <f t="shared" si="89"/>
        <v>58.831493165089377</v>
      </c>
      <c r="I257" s="134">
        <f t="shared" si="90"/>
        <v>19.046382978723404</v>
      </c>
      <c r="J257" s="6">
        <f t="shared" si="91"/>
        <v>-31321000</v>
      </c>
      <c r="K257" s="10"/>
    </row>
    <row r="258" spans="1:14" x14ac:dyDescent="0.25">
      <c r="A258" s="49"/>
      <c r="B258" s="170" t="s">
        <v>178</v>
      </c>
      <c r="C258" s="174">
        <v>5875000</v>
      </c>
      <c r="D258" s="134"/>
      <c r="E258" s="134"/>
      <c r="F258" s="134"/>
      <c r="G258" s="181"/>
      <c r="H258" s="134"/>
      <c r="I258" s="134"/>
      <c r="J258" s="6">
        <f t="shared" si="91"/>
        <v>-5875000</v>
      </c>
      <c r="K258" s="10"/>
    </row>
    <row r="259" spans="1:14" x14ac:dyDescent="0.25">
      <c r="A259" s="49" t="s">
        <v>104</v>
      </c>
      <c r="B259" s="170" t="s">
        <v>179</v>
      </c>
      <c r="C259" s="172">
        <v>33400000</v>
      </c>
      <c r="D259" s="134">
        <f>C259/C250*100</f>
        <v>14.212765957446807</v>
      </c>
      <c r="E259" s="134">
        <f t="shared" si="87"/>
        <v>100</v>
      </c>
      <c r="F259" s="134">
        <f t="shared" si="88"/>
        <v>14.212765957446807</v>
      </c>
      <c r="G259" s="181">
        <f>33400000</f>
        <v>33400000</v>
      </c>
      <c r="H259" s="134">
        <f t="shared" si="89"/>
        <v>100</v>
      </c>
      <c r="I259" s="134">
        <f t="shared" si="90"/>
        <v>14.212765957446807</v>
      </c>
      <c r="J259" s="6">
        <f t="shared" si="91"/>
        <v>0</v>
      </c>
      <c r="K259" s="10"/>
    </row>
    <row r="260" spans="1:14" ht="25.5" x14ac:dyDescent="0.25">
      <c r="A260" s="49" t="s">
        <v>106</v>
      </c>
      <c r="B260" s="316" t="s">
        <v>375</v>
      </c>
      <c r="C260" s="178">
        <v>16500000</v>
      </c>
      <c r="D260" s="134">
        <f>C260/C250*100</f>
        <v>7.0212765957446814</v>
      </c>
      <c r="E260" s="134">
        <f t="shared" si="87"/>
        <v>74.545454545454547</v>
      </c>
      <c r="F260" s="134">
        <f t="shared" si="88"/>
        <v>5.2340425531914896</v>
      </c>
      <c r="G260" s="181">
        <f>12300000</f>
        <v>12300000</v>
      </c>
      <c r="H260" s="134">
        <f t="shared" si="89"/>
        <v>74.545454545454547</v>
      </c>
      <c r="I260" s="134">
        <f t="shared" si="90"/>
        <v>5.2340425531914896</v>
      </c>
      <c r="J260" s="6">
        <f t="shared" si="91"/>
        <v>-4200000</v>
      </c>
      <c r="K260" s="10"/>
    </row>
    <row r="261" spans="1:14" x14ac:dyDescent="0.25">
      <c r="A261" s="49" t="s">
        <v>588</v>
      </c>
      <c r="B261" s="316" t="s">
        <v>533</v>
      </c>
      <c r="C261" s="178">
        <v>2500000</v>
      </c>
      <c r="D261" s="134"/>
      <c r="E261" s="134"/>
      <c r="F261" s="134"/>
      <c r="G261" s="181">
        <f>2500000</f>
        <v>2500000</v>
      </c>
      <c r="H261" s="134"/>
      <c r="I261" s="134"/>
      <c r="J261" s="6">
        <f t="shared" si="91"/>
        <v>0</v>
      </c>
      <c r="K261" s="10"/>
    </row>
    <row r="262" spans="1:14" ht="25.5" x14ac:dyDescent="0.25">
      <c r="A262" s="49" t="s">
        <v>116</v>
      </c>
      <c r="B262" s="133" t="s">
        <v>371</v>
      </c>
      <c r="C262" s="178">
        <v>4824300</v>
      </c>
      <c r="D262" s="134">
        <f>C262/C250*100</f>
        <v>2.0528936170212764</v>
      </c>
      <c r="E262" s="134">
        <f t="shared" si="87"/>
        <v>100</v>
      </c>
      <c r="F262" s="134">
        <f t="shared" si="88"/>
        <v>2.0528936170212764</v>
      </c>
      <c r="G262" s="181">
        <f>2999800+1824500</f>
        <v>4824300</v>
      </c>
      <c r="H262" s="134">
        <f t="shared" si="89"/>
        <v>100</v>
      </c>
      <c r="I262" s="134">
        <f t="shared" si="90"/>
        <v>2.0528936170212764</v>
      </c>
      <c r="J262" s="6">
        <f t="shared" si="91"/>
        <v>0</v>
      </c>
      <c r="K262" s="10"/>
    </row>
    <row r="263" spans="1:14" x14ac:dyDescent="0.25">
      <c r="A263" s="749" t="s">
        <v>121</v>
      </c>
      <c r="B263" s="315" t="s">
        <v>191</v>
      </c>
      <c r="C263" s="178">
        <v>19400000</v>
      </c>
      <c r="D263" s="134"/>
      <c r="E263" s="134"/>
      <c r="F263" s="134"/>
      <c r="G263" s="181">
        <f>19400000</f>
        <v>19400000</v>
      </c>
      <c r="H263" s="134"/>
      <c r="I263" s="134"/>
      <c r="J263" s="6">
        <f t="shared" si="91"/>
        <v>0</v>
      </c>
      <c r="K263" s="10"/>
    </row>
    <row r="264" spans="1:14" x14ac:dyDescent="0.25">
      <c r="A264" s="749" t="s">
        <v>589</v>
      </c>
      <c r="B264" s="315" t="s">
        <v>207</v>
      </c>
      <c r="C264" s="178">
        <v>6000000</v>
      </c>
      <c r="D264" s="134"/>
      <c r="E264" s="134"/>
      <c r="F264" s="134"/>
      <c r="G264" s="181"/>
      <c r="H264" s="134"/>
      <c r="I264" s="134"/>
      <c r="J264" s="6"/>
      <c r="K264" s="10"/>
    </row>
    <row r="265" spans="1:14" x14ac:dyDescent="0.25">
      <c r="A265" s="749" t="s">
        <v>590</v>
      </c>
      <c r="B265" s="133" t="s">
        <v>424</v>
      </c>
      <c r="C265" s="178">
        <v>4125000</v>
      </c>
      <c r="D265" s="134"/>
      <c r="E265" s="134"/>
      <c r="F265" s="134"/>
      <c r="G265" s="181">
        <v>4125000</v>
      </c>
      <c r="H265" s="134"/>
      <c r="I265" s="134"/>
      <c r="J265" s="6">
        <f t="shared" si="91"/>
        <v>0</v>
      </c>
      <c r="K265" s="10"/>
    </row>
    <row r="266" spans="1:14" x14ac:dyDescent="0.25">
      <c r="A266" s="49" t="s">
        <v>584</v>
      </c>
      <c r="B266" s="133" t="s">
        <v>583</v>
      </c>
      <c r="C266" s="178">
        <v>32200000</v>
      </c>
      <c r="D266" s="134"/>
      <c r="E266" s="134"/>
      <c r="F266" s="134"/>
      <c r="G266" s="181"/>
      <c r="H266" s="134"/>
      <c r="I266" s="134"/>
      <c r="J266" s="6"/>
      <c r="K266" s="10"/>
    </row>
    <row r="267" spans="1:14" x14ac:dyDescent="0.25">
      <c r="A267" s="70"/>
      <c r="B267" s="928" t="s">
        <v>136</v>
      </c>
      <c r="C267" s="43">
        <f>SUM(C251:C266)</f>
        <v>235000000</v>
      </c>
      <c r="D267" s="12">
        <f>SUM(D251:D262)</f>
        <v>65.378723404255325</v>
      </c>
      <c r="E267" s="134"/>
      <c r="F267" s="134"/>
      <c r="G267" s="837">
        <f>SUM(G251:G266)</f>
        <v>147331400</v>
      </c>
      <c r="H267" s="134"/>
      <c r="I267" s="134"/>
      <c r="J267" s="734"/>
      <c r="K267" s="3"/>
    </row>
    <row r="268" spans="1:14" x14ac:dyDescent="0.25">
      <c r="A268" s="53"/>
      <c r="B268" s="5"/>
      <c r="C268" s="189"/>
      <c r="D268" s="29"/>
      <c r="E268" s="30"/>
      <c r="F268" s="23"/>
      <c r="G268" s="11"/>
      <c r="H268" s="32"/>
      <c r="I268" s="23"/>
      <c r="J268" s="15"/>
      <c r="K268" s="37"/>
    </row>
    <row r="269" spans="1:14" ht="31.5" x14ac:dyDescent="0.25">
      <c r="A269" s="55"/>
      <c r="B269" s="46" t="s">
        <v>145</v>
      </c>
      <c r="C269" s="155"/>
      <c r="D269" s="44"/>
      <c r="E269" s="45"/>
      <c r="F269" s="45"/>
      <c r="G269" s="48"/>
      <c r="H269" s="45"/>
      <c r="I269" s="45"/>
      <c r="J269" s="44"/>
      <c r="K269" s="44"/>
      <c r="L269" s="1"/>
      <c r="M269" s="1"/>
      <c r="N269" s="1"/>
    </row>
    <row r="270" spans="1:14" x14ac:dyDescent="0.25">
      <c r="A270" s="1087" t="s">
        <v>2</v>
      </c>
      <c r="B270" s="1089" t="s">
        <v>169</v>
      </c>
      <c r="C270" s="1087" t="s">
        <v>4</v>
      </c>
      <c r="D270" s="1090" t="s">
        <v>5</v>
      </c>
      <c r="E270" s="1090"/>
      <c r="F270" s="1090"/>
      <c r="G270" s="1091" t="s">
        <v>6</v>
      </c>
      <c r="H270" s="1091"/>
      <c r="I270" s="1091"/>
      <c r="J270" s="1087" t="s">
        <v>7</v>
      </c>
      <c r="K270" s="108" t="s">
        <v>8</v>
      </c>
    </row>
    <row r="271" spans="1:14" x14ac:dyDescent="0.25">
      <c r="A271" s="1087"/>
      <c r="B271" s="1089"/>
      <c r="C271" s="1087"/>
      <c r="D271" s="108" t="s">
        <v>9</v>
      </c>
      <c r="E271" s="300" t="s">
        <v>10</v>
      </c>
      <c r="F271" s="300" t="s">
        <v>11</v>
      </c>
      <c r="G271" s="301" t="s">
        <v>12</v>
      </c>
      <c r="H271" s="300" t="s">
        <v>13</v>
      </c>
      <c r="I271" s="300" t="s">
        <v>11</v>
      </c>
      <c r="J271" s="1088"/>
      <c r="K271" s="109"/>
    </row>
    <row r="272" spans="1:14" x14ac:dyDescent="0.25">
      <c r="A272" s="1087"/>
      <c r="B272" s="1089"/>
      <c r="C272" s="1087"/>
      <c r="D272" s="112" t="s">
        <v>14</v>
      </c>
      <c r="E272" s="113" t="s">
        <v>14</v>
      </c>
      <c r="F272" s="113" t="s">
        <v>14</v>
      </c>
      <c r="G272" s="114" t="s">
        <v>15</v>
      </c>
      <c r="H272" s="113" t="s">
        <v>14</v>
      </c>
      <c r="I272" s="113" t="s">
        <v>14</v>
      </c>
      <c r="J272" s="112" t="s">
        <v>15</v>
      </c>
      <c r="K272" s="112"/>
    </row>
    <row r="273" spans="1:11" x14ac:dyDescent="0.25">
      <c r="A273" s="79" t="s">
        <v>185</v>
      </c>
      <c r="B273" s="199" t="s">
        <v>146</v>
      </c>
      <c r="C273" s="24"/>
      <c r="D273" s="10"/>
      <c r="E273" s="34"/>
      <c r="F273" s="34"/>
      <c r="G273" s="6"/>
      <c r="H273" s="34"/>
      <c r="I273" s="34"/>
      <c r="J273" s="10"/>
      <c r="K273" s="10"/>
    </row>
    <row r="274" spans="1:11" x14ac:dyDescent="0.25">
      <c r="A274" s="125" t="s">
        <v>184</v>
      </c>
      <c r="B274" s="280" t="s">
        <v>147</v>
      </c>
      <c r="C274" s="252">
        <f>SUM(C275:C276)</f>
        <v>2930640000</v>
      </c>
      <c r="D274" s="10"/>
      <c r="E274" s="34"/>
      <c r="F274" s="34"/>
      <c r="G274" s="6"/>
      <c r="H274" s="34"/>
      <c r="I274" s="34"/>
      <c r="J274" s="10"/>
      <c r="K274" s="10"/>
    </row>
    <row r="275" spans="1:11" ht="25.5" x14ac:dyDescent="0.25">
      <c r="A275" s="313" t="s">
        <v>44</v>
      </c>
      <c r="B275" s="707" t="s">
        <v>384</v>
      </c>
      <c r="C275" s="253">
        <v>35640000</v>
      </c>
      <c r="D275" s="134">
        <f>C275/C274*100</f>
        <v>1.2161166161657522</v>
      </c>
      <c r="E275" s="134">
        <f t="shared" ref="E275:E276" si="92">G275/C275*100</f>
        <v>50</v>
      </c>
      <c r="F275" s="134">
        <f t="shared" ref="F275:F276" si="93">(D275*E275)/100</f>
        <v>0.60805830808287609</v>
      </c>
      <c r="G275" s="181">
        <f>17820000</f>
        <v>17820000</v>
      </c>
      <c r="H275" s="134">
        <f t="shared" ref="H275:H276" si="94">G275/C275*100</f>
        <v>50</v>
      </c>
      <c r="I275" s="134">
        <f t="shared" ref="I275:I276" si="95">(D275*H275)/100</f>
        <v>0.60805830808287609</v>
      </c>
      <c r="J275" s="6">
        <f t="shared" ref="J275:J276" si="96">G275-C275</f>
        <v>-17820000</v>
      </c>
      <c r="K275" s="10"/>
    </row>
    <row r="276" spans="1:11" x14ac:dyDescent="0.25">
      <c r="A276" s="49" t="s">
        <v>148</v>
      </c>
      <c r="B276" s="133" t="s">
        <v>534</v>
      </c>
      <c r="C276" s="256">
        <v>2895000000</v>
      </c>
      <c r="D276" s="268">
        <f>C276/C274*100</f>
        <v>98.783883383834251</v>
      </c>
      <c r="E276" s="134">
        <f t="shared" si="92"/>
        <v>88.463476683937827</v>
      </c>
      <c r="F276" s="134">
        <f t="shared" si="93"/>
        <v>87.38765764474654</v>
      </c>
      <c r="G276" s="181">
        <f>1316867100+1244150550</f>
        <v>2561017650</v>
      </c>
      <c r="H276" s="134">
        <f t="shared" si="94"/>
        <v>88.463476683937827</v>
      </c>
      <c r="I276" s="134">
        <f t="shared" si="95"/>
        <v>87.38765764474654</v>
      </c>
      <c r="J276" s="6">
        <f t="shared" si="96"/>
        <v>-333982350</v>
      </c>
      <c r="K276" s="3"/>
    </row>
    <row r="277" spans="1:11" x14ac:dyDescent="0.25">
      <c r="A277" s="71"/>
      <c r="B277" s="76" t="s">
        <v>95</v>
      </c>
      <c r="C277" s="808">
        <f>SUM(C275:C276)</f>
        <v>2930640000</v>
      </c>
      <c r="D277" s="274">
        <f>SUM(D275:D276)</f>
        <v>100</v>
      </c>
      <c r="E277" s="134"/>
      <c r="F277" s="134"/>
      <c r="G277" s="181">
        <f>SUM(G275:G276)</f>
        <v>2578837650</v>
      </c>
      <c r="H277" s="134"/>
      <c r="I277" s="134"/>
      <c r="J277" s="734"/>
      <c r="K277" s="40"/>
    </row>
    <row r="278" spans="1:11" x14ac:dyDescent="0.25">
      <c r="A278" s="53"/>
      <c r="B278" s="5"/>
      <c r="C278" s="189"/>
      <c r="D278" s="29"/>
      <c r="E278" s="30"/>
      <c r="F278" s="23"/>
      <c r="G278" s="11"/>
      <c r="H278" s="32"/>
      <c r="I278" s="23"/>
      <c r="J278" s="15"/>
      <c r="K278" s="37"/>
    </row>
    <row r="279" spans="1:11" x14ac:dyDescent="0.25">
      <c r="A279" s="1087" t="s">
        <v>2</v>
      </c>
      <c r="B279" s="1089" t="s">
        <v>169</v>
      </c>
      <c r="C279" s="1087" t="s">
        <v>4</v>
      </c>
      <c r="D279" s="1090" t="s">
        <v>5</v>
      </c>
      <c r="E279" s="1090"/>
      <c r="F279" s="1090"/>
      <c r="G279" s="1091" t="s">
        <v>6</v>
      </c>
      <c r="H279" s="1091"/>
      <c r="I279" s="1091"/>
      <c r="J279" s="1087" t="s">
        <v>7</v>
      </c>
      <c r="K279" s="108" t="s">
        <v>8</v>
      </c>
    </row>
    <row r="280" spans="1:11" x14ac:dyDescent="0.25">
      <c r="A280" s="1087"/>
      <c r="B280" s="1089"/>
      <c r="C280" s="1087"/>
      <c r="D280" s="108" t="s">
        <v>9</v>
      </c>
      <c r="E280" s="300" t="s">
        <v>10</v>
      </c>
      <c r="F280" s="300" t="s">
        <v>11</v>
      </c>
      <c r="G280" s="301" t="s">
        <v>12</v>
      </c>
      <c r="H280" s="300" t="s">
        <v>13</v>
      </c>
      <c r="I280" s="300" t="s">
        <v>11</v>
      </c>
      <c r="J280" s="1088"/>
      <c r="K280" s="109"/>
    </row>
    <row r="281" spans="1:11" x14ac:dyDescent="0.25">
      <c r="A281" s="1087"/>
      <c r="B281" s="1089"/>
      <c r="C281" s="1087"/>
      <c r="D281" s="112" t="s">
        <v>14</v>
      </c>
      <c r="E281" s="113" t="s">
        <v>14</v>
      </c>
      <c r="F281" s="113" t="s">
        <v>14</v>
      </c>
      <c r="G281" s="114" t="s">
        <v>15</v>
      </c>
      <c r="H281" s="113" t="s">
        <v>14</v>
      </c>
      <c r="I281" s="113" t="s">
        <v>14</v>
      </c>
      <c r="J281" s="112" t="s">
        <v>15</v>
      </c>
      <c r="K281" s="112"/>
    </row>
    <row r="282" spans="1:11" x14ac:dyDescent="0.25">
      <c r="A282" s="79" t="s">
        <v>185</v>
      </c>
      <c r="B282" s="199" t="s">
        <v>146</v>
      </c>
      <c r="C282" s="24"/>
      <c r="D282" s="10"/>
      <c r="E282" s="34"/>
      <c r="F282" s="34"/>
      <c r="G282" s="6"/>
      <c r="H282" s="34"/>
      <c r="I282" s="34"/>
      <c r="J282" s="10"/>
      <c r="K282" s="10"/>
    </row>
    <row r="283" spans="1:11" x14ac:dyDescent="0.25">
      <c r="A283" s="125" t="s">
        <v>187</v>
      </c>
      <c r="B283" s="280" t="s">
        <v>150</v>
      </c>
      <c r="C283" s="252">
        <f>SUM(C284:C288)</f>
        <v>1769445176</v>
      </c>
      <c r="D283" s="10"/>
      <c r="E283" s="34"/>
      <c r="F283" s="34"/>
      <c r="G283" s="6"/>
      <c r="H283" s="34"/>
      <c r="I283" s="34"/>
      <c r="J283" s="10"/>
      <c r="K283" s="10"/>
    </row>
    <row r="284" spans="1:11" ht="25.5" x14ac:dyDescent="0.25">
      <c r="A284" s="313" t="s">
        <v>44</v>
      </c>
      <c r="B284" s="707" t="s">
        <v>384</v>
      </c>
      <c r="C284" s="253">
        <v>30210000</v>
      </c>
      <c r="D284" s="134">
        <f>C284/C283*100</f>
        <v>1.707314835732441</v>
      </c>
      <c r="E284" s="134">
        <f t="shared" ref="E284:E287" si="97">G284/C284*100</f>
        <v>66.666666666666657</v>
      </c>
      <c r="F284" s="134">
        <f t="shared" ref="F284:F287" si="98">(D284*E284)/100</f>
        <v>1.1382098904882938</v>
      </c>
      <c r="G284" s="181">
        <f>20140000</f>
        <v>20140000</v>
      </c>
      <c r="H284" s="134">
        <f t="shared" ref="H284:H287" si="99">G284/C284*100</f>
        <v>66.666666666666657</v>
      </c>
      <c r="I284" s="134">
        <f t="shared" ref="I284:I287" si="100">(D284*H284)/100</f>
        <v>1.1382098904882938</v>
      </c>
      <c r="J284" s="6">
        <f t="shared" ref="J284:J288" si="101">G284-C284</f>
        <v>-10070000</v>
      </c>
      <c r="K284" s="10"/>
    </row>
    <row r="285" spans="1:11" x14ac:dyDescent="0.25">
      <c r="A285" s="313" t="s">
        <v>59</v>
      </c>
      <c r="B285" s="707" t="s">
        <v>197</v>
      </c>
      <c r="C285" s="253">
        <v>690000</v>
      </c>
      <c r="D285" s="134">
        <f>C285/C283*100</f>
        <v>3.8995274301734002E-2</v>
      </c>
      <c r="E285" s="134">
        <f t="shared" si="97"/>
        <v>100</v>
      </c>
      <c r="F285" s="134">
        <f t="shared" si="98"/>
        <v>3.8995274301734002E-2</v>
      </c>
      <c r="G285" s="181">
        <f>690000</f>
        <v>690000</v>
      </c>
      <c r="H285" s="134">
        <f t="shared" si="99"/>
        <v>100</v>
      </c>
      <c r="I285" s="134">
        <f t="shared" si="100"/>
        <v>3.8995274301734002E-2</v>
      </c>
      <c r="J285" s="6">
        <f t="shared" si="101"/>
        <v>0</v>
      </c>
      <c r="K285" s="10"/>
    </row>
    <row r="286" spans="1:11" x14ac:dyDescent="0.25">
      <c r="A286" s="312" t="s">
        <v>157</v>
      </c>
      <c r="B286" s="133" t="s">
        <v>534</v>
      </c>
      <c r="C286" s="256">
        <v>1237700000</v>
      </c>
      <c r="D286" s="134">
        <f>C286/C283*100</f>
        <v>69.948479714864021</v>
      </c>
      <c r="E286" s="134">
        <f t="shared" si="97"/>
        <v>64.80452452128948</v>
      </c>
      <c r="F286" s="134">
        <f t="shared" si="98"/>
        <v>45.329779689088255</v>
      </c>
      <c r="G286" s="181">
        <f>593086100+208999500</f>
        <v>802085600</v>
      </c>
      <c r="H286" s="134">
        <f t="shared" si="99"/>
        <v>64.80452452128948</v>
      </c>
      <c r="I286" s="134">
        <f t="shared" si="100"/>
        <v>45.329779689088255</v>
      </c>
      <c r="J286" s="6">
        <f t="shared" si="101"/>
        <v>-435614400</v>
      </c>
      <c r="K286" s="10"/>
    </row>
    <row r="287" spans="1:11" s="84" customFormat="1" ht="25.5" x14ac:dyDescent="0.2">
      <c r="A287" s="312" t="s">
        <v>152</v>
      </c>
      <c r="B287" s="133" t="s">
        <v>159</v>
      </c>
      <c r="C287" s="256">
        <v>492000000</v>
      </c>
      <c r="D287" s="134">
        <f>C287/C283*100</f>
        <v>27.805326023845119</v>
      </c>
      <c r="E287" s="134">
        <f t="shared" si="97"/>
        <v>66.666666666666657</v>
      </c>
      <c r="F287" s="134">
        <f t="shared" si="98"/>
        <v>18.536884015896746</v>
      </c>
      <c r="G287" s="181">
        <f>328000000</f>
        <v>328000000</v>
      </c>
      <c r="H287" s="134">
        <f t="shared" si="99"/>
        <v>66.666666666666657</v>
      </c>
      <c r="I287" s="134">
        <f t="shared" si="100"/>
        <v>18.536884015896746</v>
      </c>
      <c r="J287" s="6">
        <f t="shared" si="101"/>
        <v>-164000000</v>
      </c>
      <c r="K287" s="38"/>
    </row>
    <row r="288" spans="1:11" s="84" customFormat="1" x14ac:dyDescent="0.2">
      <c r="A288" s="749" t="s">
        <v>234</v>
      </c>
      <c r="B288" s="133" t="s">
        <v>522</v>
      </c>
      <c r="C288" s="256">
        <v>8845176</v>
      </c>
      <c r="D288" s="804"/>
      <c r="E288" s="134"/>
      <c r="F288" s="134"/>
      <c r="G288" s="181">
        <f>8197968</f>
        <v>8197968</v>
      </c>
      <c r="H288" s="134"/>
      <c r="I288" s="134"/>
      <c r="J288" s="6">
        <f t="shared" si="101"/>
        <v>-647208</v>
      </c>
      <c r="K288" s="805"/>
    </row>
    <row r="289" spans="1:11" x14ac:dyDescent="0.25">
      <c r="A289" s="70"/>
      <c r="B289" s="129" t="s">
        <v>95</v>
      </c>
      <c r="C289" s="807">
        <f>SUM(C284:C288)</f>
        <v>1769445176</v>
      </c>
      <c r="D289" s="271">
        <f>SUM(D284:D287)</f>
        <v>99.50011584874332</v>
      </c>
      <c r="E289" s="134"/>
      <c r="F289" s="134"/>
      <c r="G289" s="181">
        <f>SUM(G284:G288)</f>
        <v>1159113568</v>
      </c>
      <c r="H289" s="134"/>
      <c r="I289" s="134"/>
      <c r="J289" s="56">
        <v>0</v>
      </c>
      <c r="K289" s="130"/>
    </row>
    <row r="290" spans="1:11" x14ac:dyDescent="0.25">
      <c r="A290" s="53"/>
      <c r="B290" s="5"/>
      <c r="C290" s="189"/>
      <c r="D290" s="29"/>
      <c r="E290" s="30"/>
      <c r="F290" s="23"/>
      <c r="G290" s="11"/>
      <c r="H290" s="32"/>
      <c r="I290" s="23"/>
      <c r="J290" s="15"/>
      <c r="K290" s="37"/>
    </row>
    <row r="291" spans="1:11" x14ac:dyDescent="0.25">
      <c r="A291" s="50"/>
      <c r="B291" s="5"/>
      <c r="C291" s="50"/>
      <c r="D291" s="9"/>
      <c r="E291" s="23"/>
      <c r="F291" s="23"/>
      <c r="G291" s="11"/>
      <c r="H291" s="23"/>
      <c r="I291" s="23"/>
      <c r="J291" s="9"/>
      <c r="K291" s="9"/>
    </row>
    <row r="292" spans="1:11" x14ac:dyDescent="0.25">
      <c r="A292" s="50"/>
      <c r="B292" s="5"/>
      <c r="C292" s="50"/>
      <c r="D292" s="9"/>
      <c r="E292" s="23"/>
      <c r="F292" s="23"/>
      <c r="G292" s="11"/>
      <c r="H292" s="23"/>
      <c r="I292" s="23"/>
      <c r="J292" s="9"/>
      <c r="K292" s="9"/>
    </row>
    <row r="293" spans="1:11" x14ac:dyDescent="0.25">
      <c r="A293" s="1103" t="s">
        <v>2</v>
      </c>
      <c r="B293" s="1116" t="s">
        <v>137</v>
      </c>
      <c r="C293" s="1103" t="s">
        <v>4</v>
      </c>
      <c r="D293" s="1105" t="s">
        <v>5</v>
      </c>
      <c r="E293" s="1106"/>
      <c r="F293" s="1106"/>
      <c r="G293" s="1107" t="s">
        <v>6</v>
      </c>
      <c r="H293" s="1106"/>
      <c r="I293" s="1106"/>
      <c r="J293" s="1108" t="s">
        <v>7</v>
      </c>
      <c r="K293" s="1108" t="s">
        <v>8</v>
      </c>
    </row>
    <row r="294" spans="1:11" x14ac:dyDescent="0.25">
      <c r="A294" s="1103"/>
      <c r="B294" s="1117"/>
      <c r="C294" s="1103"/>
      <c r="D294" s="102" t="s">
        <v>9</v>
      </c>
      <c r="E294" s="103" t="s">
        <v>10</v>
      </c>
      <c r="F294" s="103" t="s">
        <v>11</v>
      </c>
      <c r="G294" s="104" t="s">
        <v>12</v>
      </c>
      <c r="H294" s="103" t="s">
        <v>13</v>
      </c>
      <c r="I294" s="103" t="s">
        <v>11</v>
      </c>
      <c r="J294" s="1109"/>
      <c r="K294" s="1109"/>
    </row>
    <row r="295" spans="1:11" x14ac:dyDescent="0.25">
      <c r="A295" s="1103"/>
      <c r="B295" s="1118"/>
      <c r="C295" s="1103"/>
      <c r="D295" s="105" t="s">
        <v>14</v>
      </c>
      <c r="E295" s="106" t="s">
        <v>14</v>
      </c>
      <c r="F295" s="106" t="s">
        <v>14</v>
      </c>
      <c r="G295" s="107" t="s">
        <v>15</v>
      </c>
      <c r="H295" s="106" t="s">
        <v>14</v>
      </c>
      <c r="I295" s="106" t="s">
        <v>14</v>
      </c>
      <c r="J295" s="105" t="s">
        <v>15</v>
      </c>
      <c r="K295" s="1110"/>
    </row>
    <row r="296" spans="1:11" ht="25.5" x14ac:dyDescent="0.25">
      <c r="A296" s="79" t="s">
        <v>180</v>
      </c>
      <c r="B296" s="696" t="s">
        <v>379</v>
      </c>
      <c r="C296" s="64"/>
      <c r="D296" s="10"/>
      <c r="E296" s="34"/>
      <c r="F296" s="34"/>
      <c r="G296" s="6"/>
      <c r="H296" s="34"/>
      <c r="I296" s="34"/>
      <c r="J296" s="10"/>
      <c r="K296" s="10"/>
    </row>
    <row r="297" spans="1:11" ht="25.5" x14ac:dyDescent="0.25">
      <c r="A297" s="140" t="s">
        <v>181</v>
      </c>
      <c r="B297" s="697" t="s">
        <v>380</v>
      </c>
      <c r="C297" s="86">
        <f>SUM(C298:C315)</f>
        <v>235000000</v>
      </c>
      <c r="D297" s="179"/>
      <c r="E297" s="168"/>
      <c r="F297" s="168"/>
      <c r="G297" s="169"/>
      <c r="H297" s="168"/>
      <c r="I297" s="168"/>
      <c r="J297" s="167"/>
      <c r="K297" s="167"/>
    </row>
    <row r="298" spans="1:11" ht="25.5" x14ac:dyDescent="0.25">
      <c r="A298" s="170" t="s">
        <v>44</v>
      </c>
      <c r="B298" s="707" t="s">
        <v>384</v>
      </c>
      <c r="C298" s="58">
        <v>9200000</v>
      </c>
      <c r="D298" s="180">
        <f>C298/C297*100</f>
        <v>3.9148936170212765</v>
      </c>
      <c r="E298" s="134">
        <f t="shared" ref="E298:E312" si="102">G298/C298*100</f>
        <v>93.260869565217391</v>
      </c>
      <c r="F298" s="134">
        <f t="shared" ref="F298:F312" si="103">(D298*E298)/100</f>
        <v>3.6510638297872338</v>
      </c>
      <c r="G298" s="181">
        <f>8580000</f>
        <v>8580000</v>
      </c>
      <c r="H298" s="134">
        <f t="shared" ref="H298:H312" si="104">G298/C298*100</f>
        <v>93.260869565217391</v>
      </c>
      <c r="I298" s="134">
        <f t="shared" ref="I298:I312" si="105">(D298*H298)/100</f>
        <v>3.6510638297872338</v>
      </c>
      <c r="J298" s="6">
        <f t="shared" ref="J298:J315" si="106">G298-C298</f>
        <v>-620000</v>
      </c>
      <c r="K298" s="167"/>
    </row>
    <row r="299" spans="1:11" x14ac:dyDescent="0.25">
      <c r="A299" s="170" t="s">
        <v>448</v>
      </c>
      <c r="B299" s="707" t="s">
        <v>578</v>
      </c>
      <c r="C299" s="58">
        <v>510000</v>
      </c>
      <c r="D299" s="180"/>
      <c r="E299" s="134"/>
      <c r="F299" s="134"/>
      <c r="G299" s="181"/>
      <c r="H299" s="134"/>
      <c r="I299" s="134"/>
      <c r="J299" s="6"/>
      <c r="K299" s="167"/>
    </row>
    <row r="300" spans="1:11" x14ac:dyDescent="0.25">
      <c r="A300" s="170" t="s">
        <v>221</v>
      </c>
      <c r="B300" s="707" t="s">
        <v>530</v>
      </c>
      <c r="C300" s="58">
        <v>1350000</v>
      </c>
      <c r="D300" s="180"/>
      <c r="E300" s="134"/>
      <c r="F300" s="134"/>
      <c r="G300" s="181">
        <f>1350000</f>
        <v>1350000</v>
      </c>
      <c r="H300" s="134"/>
      <c r="I300" s="134"/>
      <c r="J300" s="6">
        <f t="shared" si="106"/>
        <v>0</v>
      </c>
      <c r="K300" s="167"/>
    </row>
    <row r="301" spans="1:11" x14ac:dyDescent="0.25">
      <c r="A301" s="170" t="s">
        <v>59</v>
      </c>
      <c r="B301" s="707" t="s">
        <v>197</v>
      </c>
      <c r="C301" s="58">
        <v>14758000</v>
      </c>
      <c r="D301" s="729">
        <f>C301/C297*100</f>
        <v>6.2799999999999994</v>
      </c>
      <c r="E301" s="134">
        <f t="shared" si="102"/>
        <v>88.087816777341104</v>
      </c>
      <c r="F301" s="134">
        <f t="shared" si="103"/>
        <v>5.5319148936170208</v>
      </c>
      <c r="G301" s="181">
        <f>8000000+5000000</f>
        <v>13000000</v>
      </c>
      <c r="H301" s="134">
        <f t="shared" si="104"/>
        <v>88.087816777341104</v>
      </c>
      <c r="I301" s="134">
        <f t="shared" si="105"/>
        <v>5.5319148936170208</v>
      </c>
      <c r="J301" s="6">
        <f t="shared" si="106"/>
        <v>-1758000</v>
      </c>
      <c r="K301" s="167"/>
    </row>
    <row r="302" spans="1:11" x14ac:dyDescent="0.25">
      <c r="A302" s="170" t="s">
        <v>62</v>
      </c>
      <c r="B302" s="707" t="s">
        <v>334</v>
      </c>
      <c r="C302" s="58">
        <v>8500000</v>
      </c>
      <c r="D302" s="729">
        <f>C302/C297*100</f>
        <v>3.6170212765957444</v>
      </c>
      <c r="E302" s="134">
        <f t="shared" si="102"/>
        <v>94.117647058823522</v>
      </c>
      <c r="F302" s="134">
        <f t="shared" si="103"/>
        <v>3.4042553191489358</v>
      </c>
      <c r="G302" s="181">
        <f>5000000+3000000</f>
        <v>8000000</v>
      </c>
      <c r="H302" s="134">
        <f t="shared" si="104"/>
        <v>94.117647058823522</v>
      </c>
      <c r="I302" s="134">
        <f t="shared" si="105"/>
        <v>3.4042553191489358</v>
      </c>
      <c r="J302" s="6">
        <f t="shared" si="106"/>
        <v>-500000</v>
      </c>
      <c r="K302" s="167"/>
    </row>
    <row r="303" spans="1:11" x14ac:dyDescent="0.25">
      <c r="A303" s="49" t="s">
        <v>148</v>
      </c>
      <c r="B303" s="133" t="s">
        <v>534</v>
      </c>
      <c r="C303" s="58">
        <v>10500000</v>
      </c>
      <c r="D303" s="729"/>
      <c r="E303" s="134"/>
      <c r="F303" s="134"/>
      <c r="G303" s="181">
        <f>10500000</f>
        <v>10500000</v>
      </c>
      <c r="H303" s="134"/>
      <c r="I303" s="134"/>
      <c r="J303" s="6">
        <f t="shared" si="106"/>
        <v>0</v>
      </c>
      <c r="K303" s="167"/>
    </row>
    <row r="304" spans="1:11" x14ac:dyDescent="0.25">
      <c r="A304" s="49" t="s">
        <v>579</v>
      </c>
      <c r="B304" s="133" t="s">
        <v>580</v>
      </c>
      <c r="C304" s="58">
        <v>11110000</v>
      </c>
      <c r="D304" s="729"/>
      <c r="E304" s="134"/>
      <c r="F304" s="134"/>
      <c r="G304" s="181"/>
      <c r="H304" s="134"/>
      <c r="I304" s="134"/>
      <c r="J304" s="6"/>
      <c r="K304" s="167"/>
    </row>
    <row r="305" spans="1:14" x14ac:dyDescent="0.25">
      <c r="A305" s="170" t="s">
        <v>77</v>
      </c>
      <c r="B305" s="49" t="s">
        <v>135</v>
      </c>
      <c r="C305" s="58">
        <v>81132000</v>
      </c>
      <c r="D305" s="729">
        <f>C305/C297*100</f>
        <v>34.524255319148942</v>
      </c>
      <c r="E305" s="134">
        <f t="shared" si="102"/>
        <v>87.797663067593561</v>
      </c>
      <c r="F305" s="134">
        <f t="shared" si="103"/>
        <v>30.311489361702137</v>
      </c>
      <c r="G305" s="181">
        <f>71232000</f>
        <v>71232000</v>
      </c>
      <c r="H305" s="134">
        <f t="shared" si="104"/>
        <v>87.797663067593561</v>
      </c>
      <c r="I305" s="134">
        <f t="shared" si="105"/>
        <v>30.311489361702137</v>
      </c>
      <c r="J305" s="6">
        <f t="shared" si="106"/>
        <v>-9900000</v>
      </c>
      <c r="K305" s="167"/>
    </row>
    <row r="306" spans="1:14" x14ac:dyDescent="0.25">
      <c r="A306" s="170" t="s">
        <v>592</v>
      </c>
      <c r="B306" s="49" t="s">
        <v>591</v>
      </c>
      <c r="C306" s="58">
        <v>3000000</v>
      </c>
      <c r="D306" s="729"/>
      <c r="E306" s="134"/>
      <c r="F306" s="134"/>
      <c r="G306" s="181">
        <f>3000000</f>
        <v>3000000</v>
      </c>
      <c r="H306" s="134"/>
      <c r="I306" s="134"/>
      <c r="J306" s="6"/>
      <c r="K306" s="167"/>
    </row>
    <row r="307" spans="1:14" x14ac:dyDescent="0.25">
      <c r="A307" s="170" t="s">
        <v>104</v>
      </c>
      <c r="B307" s="170" t="s">
        <v>179</v>
      </c>
      <c r="C307" s="58">
        <v>34200000</v>
      </c>
      <c r="D307" s="729">
        <f>C307/C297*100</f>
        <v>14.553191489361703</v>
      </c>
      <c r="E307" s="134">
        <f t="shared" si="102"/>
        <v>100</v>
      </c>
      <c r="F307" s="134">
        <f t="shared" si="103"/>
        <v>14.553191489361701</v>
      </c>
      <c r="G307" s="181">
        <f>34200000</f>
        <v>34200000</v>
      </c>
      <c r="H307" s="134">
        <f t="shared" si="104"/>
        <v>100</v>
      </c>
      <c r="I307" s="134">
        <f t="shared" si="105"/>
        <v>14.553191489361701</v>
      </c>
      <c r="J307" s="6">
        <f t="shared" si="106"/>
        <v>0</v>
      </c>
      <c r="K307" s="167"/>
    </row>
    <row r="308" spans="1:14" x14ac:dyDescent="0.25">
      <c r="A308" s="170" t="s">
        <v>130</v>
      </c>
      <c r="B308" s="170" t="s">
        <v>131</v>
      </c>
      <c r="C308" s="58">
        <v>7050000</v>
      </c>
      <c r="D308" s="729">
        <f>C308/C297*100</f>
        <v>3</v>
      </c>
      <c r="E308" s="134">
        <f t="shared" si="102"/>
        <v>100</v>
      </c>
      <c r="F308" s="134">
        <f t="shared" si="103"/>
        <v>3</v>
      </c>
      <c r="G308" s="181">
        <f>7050000</f>
        <v>7050000</v>
      </c>
      <c r="H308" s="134">
        <f t="shared" si="104"/>
        <v>100</v>
      </c>
      <c r="I308" s="134">
        <f t="shared" si="105"/>
        <v>3</v>
      </c>
      <c r="J308" s="6">
        <f t="shared" si="106"/>
        <v>0</v>
      </c>
      <c r="K308" s="167"/>
    </row>
    <row r="309" spans="1:14" ht="25.5" x14ac:dyDescent="0.25">
      <c r="A309" s="170" t="s">
        <v>106</v>
      </c>
      <c r="B309" s="316" t="s">
        <v>375</v>
      </c>
      <c r="C309" s="58">
        <v>13950000</v>
      </c>
      <c r="D309" s="180">
        <f>C309/C297*100</f>
        <v>5.9361702127659575</v>
      </c>
      <c r="E309" s="134">
        <f t="shared" si="102"/>
        <v>82.795698924731184</v>
      </c>
      <c r="F309" s="134">
        <f t="shared" si="103"/>
        <v>4.9148936170212769</v>
      </c>
      <c r="G309" s="181">
        <f>11550000</f>
        <v>11550000</v>
      </c>
      <c r="H309" s="134">
        <f t="shared" si="104"/>
        <v>82.795698924731184</v>
      </c>
      <c r="I309" s="134">
        <f t="shared" si="105"/>
        <v>4.9148936170212769</v>
      </c>
      <c r="J309" s="6">
        <f t="shared" si="106"/>
        <v>-2400000</v>
      </c>
      <c r="K309" s="167"/>
    </row>
    <row r="310" spans="1:14" x14ac:dyDescent="0.25">
      <c r="A310" s="170" t="s">
        <v>162</v>
      </c>
      <c r="B310" s="170" t="s">
        <v>535</v>
      </c>
      <c r="C310" s="178">
        <v>2800000</v>
      </c>
      <c r="D310" s="729">
        <f>C310/C297*100</f>
        <v>1.1914893617021276</v>
      </c>
      <c r="E310" s="134">
        <f t="shared" si="102"/>
        <v>100</v>
      </c>
      <c r="F310" s="134">
        <f t="shared" si="103"/>
        <v>1.1914893617021276</v>
      </c>
      <c r="G310" s="181">
        <f>2800000</f>
        <v>2800000</v>
      </c>
      <c r="H310" s="134">
        <f t="shared" si="104"/>
        <v>100</v>
      </c>
      <c r="I310" s="134">
        <f t="shared" si="105"/>
        <v>1.1914893617021276</v>
      </c>
      <c r="J310" s="6">
        <f t="shared" si="106"/>
        <v>0</v>
      </c>
      <c r="K310" s="167"/>
    </row>
    <row r="311" spans="1:14" ht="25.5" x14ac:dyDescent="0.25">
      <c r="A311" s="170" t="s">
        <v>116</v>
      </c>
      <c r="B311" s="750" t="s">
        <v>420</v>
      </c>
      <c r="C311" s="178">
        <v>5465000</v>
      </c>
      <c r="D311" s="729">
        <f>C311/C298*100</f>
        <v>59.402173913043477</v>
      </c>
      <c r="E311" s="134"/>
      <c r="F311" s="134"/>
      <c r="G311" s="181">
        <f>5465000</f>
        <v>5465000</v>
      </c>
      <c r="H311" s="134"/>
      <c r="I311" s="134"/>
      <c r="J311" s="6">
        <f t="shared" si="106"/>
        <v>0</v>
      </c>
      <c r="K311" s="167"/>
    </row>
    <row r="312" spans="1:14" x14ac:dyDescent="0.25">
      <c r="A312" s="170" t="s">
        <v>65</v>
      </c>
      <c r="B312" s="170" t="s">
        <v>190</v>
      </c>
      <c r="C312" s="178">
        <v>7000000</v>
      </c>
      <c r="D312" s="729">
        <f>C312/C297*100</f>
        <v>2.9787234042553195</v>
      </c>
      <c r="E312" s="134">
        <f t="shared" si="102"/>
        <v>99.033714285714282</v>
      </c>
      <c r="F312" s="134">
        <f t="shared" si="103"/>
        <v>2.9499404255319148</v>
      </c>
      <c r="G312" s="181">
        <f>6932360</f>
        <v>6932360</v>
      </c>
      <c r="H312" s="134">
        <f t="shared" si="104"/>
        <v>99.033714285714282</v>
      </c>
      <c r="I312" s="134">
        <f t="shared" si="105"/>
        <v>2.9499404255319148</v>
      </c>
      <c r="J312" s="6">
        <f t="shared" si="106"/>
        <v>-67640</v>
      </c>
      <c r="K312" s="167"/>
    </row>
    <row r="313" spans="1:14" x14ac:dyDescent="0.25">
      <c r="A313" s="68" t="s">
        <v>594</v>
      </c>
      <c r="B313" s="170" t="s">
        <v>593</v>
      </c>
      <c r="C313" s="178">
        <v>6000000</v>
      </c>
      <c r="D313" s="729"/>
      <c r="E313" s="134"/>
      <c r="F313" s="134"/>
      <c r="G313" s="181">
        <f>6000000</f>
        <v>6000000</v>
      </c>
      <c r="H313" s="134"/>
      <c r="I313" s="134"/>
      <c r="J313" s="6"/>
      <c r="K313" s="167"/>
    </row>
    <row r="314" spans="1:14" x14ac:dyDescent="0.25">
      <c r="A314" s="68" t="s">
        <v>584</v>
      </c>
      <c r="B314" s="170" t="s">
        <v>583</v>
      </c>
      <c r="C314" s="178">
        <v>12000000</v>
      </c>
      <c r="D314" s="729"/>
      <c r="E314" s="134"/>
      <c r="F314" s="134"/>
      <c r="G314" s="181">
        <f>12000000</f>
        <v>12000000</v>
      </c>
      <c r="H314" s="134"/>
      <c r="I314" s="134"/>
      <c r="J314" s="6"/>
      <c r="K314" s="167"/>
    </row>
    <row r="315" spans="1:14" x14ac:dyDescent="0.25">
      <c r="A315" s="68" t="s">
        <v>301</v>
      </c>
      <c r="B315" s="170" t="s">
        <v>409</v>
      </c>
      <c r="C315" s="58">
        <v>6475000</v>
      </c>
      <c r="D315" s="269"/>
      <c r="E315" s="134"/>
      <c r="F315" s="134"/>
      <c r="G315" s="181">
        <f>6475000</f>
        <v>6475000</v>
      </c>
      <c r="H315" s="134"/>
      <c r="I315" s="134"/>
      <c r="J315" s="6">
        <f t="shared" si="106"/>
        <v>0</v>
      </c>
      <c r="K315" s="167"/>
    </row>
    <row r="316" spans="1:14" x14ac:dyDescent="0.25">
      <c r="A316" s="68"/>
      <c r="B316" s="67" t="s">
        <v>128</v>
      </c>
      <c r="C316" s="60">
        <f>SUM(C298:C315)</f>
        <v>235000000</v>
      </c>
      <c r="D316" s="270">
        <f>SUM(D298:D312)</f>
        <v>135.39791859389453</v>
      </c>
      <c r="E316" s="134"/>
      <c r="F316" s="134"/>
      <c r="G316" s="837">
        <f>SUM(G298:G315)</f>
        <v>208134360</v>
      </c>
      <c r="H316" s="134"/>
      <c r="I316" s="134"/>
      <c r="J316" s="56">
        <v>0</v>
      </c>
      <c r="K316" s="3"/>
    </row>
    <row r="317" spans="1:14" x14ac:dyDescent="0.25">
      <c r="A317" s="190"/>
      <c r="B317" s="2"/>
      <c r="C317" s="59"/>
      <c r="D317" s="41"/>
      <c r="E317" s="31"/>
      <c r="F317" s="31"/>
      <c r="G317" s="36"/>
      <c r="H317" s="31"/>
      <c r="I317" s="31"/>
      <c r="J317" s="33"/>
      <c r="K317" s="37"/>
    </row>
    <row r="318" spans="1:14" ht="31.5" x14ac:dyDescent="0.25">
      <c r="A318" s="55"/>
      <c r="B318" s="46" t="s">
        <v>145</v>
      </c>
      <c r="C318" s="155"/>
      <c r="D318" s="44"/>
      <c r="E318" s="45"/>
      <c r="F318" s="45"/>
      <c r="G318" s="48"/>
      <c r="H318" s="45"/>
      <c r="I318" s="45"/>
      <c r="J318" s="44"/>
      <c r="K318" s="44"/>
      <c r="L318" s="1"/>
      <c r="M318" s="1"/>
      <c r="N318" s="1"/>
    </row>
    <row r="319" spans="1:14" x14ac:dyDescent="0.25">
      <c r="A319" s="1111" t="s">
        <v>2</v>
      </c>
      <c r="B319" s="1104" t="s">
        <v>170</v>
      </c>
      <c r="C319" s="1111" t="s">
        <v>4</v>
      </c>
      <c r="D319" s="1112" t="s">
        <v>5</v>
      </c>
      <c r="E319" s="1113"/>
      <c r="F319" s="1113"/>
      <c r="G319" s="1114" t="s">
        <v>6</v>
      </c>
      <c r="H319" s="1113"/>
      <c r="I319" s="1113"/>
      <c r="J319" s="1111" t="s">
        <v>7</v>
      </c>
      <c r="K319" s="285" t="s">
        <v>8</v>
      </c>
    </row>
    <row r="320" spans="1:14" x14ac:dyDescent="0.25">
      <c r="A320" s="1111"/>
      <c r="B320" s="1104"/>
      <c r="C320" s="1111"/>
      <c r="D320" s="285" t="s">
        <v>9</v>
      </c>
      <c r="E320" s="304" t="s">
        <v>10</v>
      </c>
      <c r="F320" s="304" t="s">
        <v>11</v>
      </c>
      <c r="G320" s="305" t="s">
        <v>12</v>
      </c>
      <c r="H320" s="304" t="s">
        <v>13</v>
      </c>
      <c r="I320" s="304" t="s">
        <v>11</v>
      </c>
      <c r="J320" s="1115"/>
      <c r="K320" s="287"/>
    </row>
    <row r="321" spans="1:11" x14ac:dyDescent="0.25">
      <c r="A321" s="1111"/>
      <c r="B321" s="1104"/>
      <c r="C321" s="1111"/>
      <c r="D321" s="286" t="s">
        <v>14</v>
      </c>
      <c r="E321" s="302" t="s">
        <v>14</v>
      </c>
      <c r="F321" s="302" t="s">
        <v>14</v>
      </c>
      <c r="G321" s="303" t="s">
        <v>15</v>
      </c>
      <c r="H321" s="302" t="s">
        <v>14</v>
      </c>
      <c r="I321" s="302" t="s">
        <v>14</v>
      </c>
      <c r="J321" s="286" t="s">
        <v>15</v>
      </c>
      <c r="K321" s="286"/>
    </row>
    <row r="322" spans="1:11" x14ac:dyDescent="0.25">
      <c r="A322" s="144" t="s">
        <v>185</v>
      </c>
      <c r="B322" s="199" t="s">
        <v>146</v>
      </c>
      <c r="C322" s="145"/>
      <c r="D322" s="146"/>
      <c r="E322" s="147"/>
      <c r="F322" s="147"/>
      <c r="G322" s="148"/>
      <c r="H322" s="147"/>
      <c r="I322" s="147"/>
      <c r="J322" s="146"/>
      <c r="K322" s="146"/>
    </row>
    <row r="323" spans="1:11" x14ac:dyDescent="0.25">
      <c r="A323" s="318" t="s">
        <v>184</v>
      </c>
      <c r="B323" s="280" t="s">
        <v>147</v>
      </c>
      <c r="C323" s="257">
        <f>SUM(C324:C325)</f>
        <v>2480900000</v>
      </c>
      <c r="D323" s="146"/>
      <c r="E323" s="147"/>
      <c r="F323" s="147"/>
      <c r="G323" s="148"/>
      <c r="H323" s="147"/>
      <c r="I323" s="147"/>
      <c r="J323" s="146"/>
      <c r="K323" s="146"/>
    </row>
    <row r="324" spans="1:11" ht="25.5" x14ac:dyDescent="0.25">
      <c r="A324" s="319" t="s">
        <v>44</v>
      </c>
      <c r="B324" s="707" t="s">
        <v>384</v>
      </c>
      <c r="C324" s="149">
        <v>30900000</v>
      </c>
      <c r="D324" s="267">
        <f>C324/C323*100</f>
        <v>1.2455157402555526</v>
      </c>
      <c r="E324" s="134">
        <f t="shared" ref="E324:E325" si="107">G324/C324*100</f>
        <v>83.333333333333343</v>
      </c>
      <c r="F324" s="134">
        <f t="shared" ref="F324:F325" si="108">(D324*E324)/100</f>
        <v>1.0379297835462939</v>
      </c>
      <c r="G324" s="181">
        <v>25750000</v>
      </c>
      <c r="H324" s="134">
        <f t="shared" ref="H324:H325" si="109">G324/C324*100</f>
        <v>83.333333333333343</v>
      </c>
      <c r="I324" s="134">
        <f t="shared" ref="I324:I325" si="110">(D324*H324)/100</f>
        <v>1.0379297835462939</v>
      </c>
      <c r="J324" s="6">
        <f t="shared" ref="J324:J325" si="111">G324-C324</f>
        <v>-5150000</v>
      </c>
      <c r="K324" s="146"/>
    </row>
    <row r="325" spans="1:11" x14ac:dyDescent="0.25">
      <c r="A325" s="49" t="s">
        <v>148</v>
      </c>
      <c r="B325" s="133" t="s">
        <v>534</v>
      </c>
      <c r="C325" s="149">
        <v>2450000000</v>
      </c>
      <c r="D325" s="267">
        <f>C325/C323*100</f>
        <v>98.754484259744444</v>
      </c>
      <c r="E325" s="134">
        <f t="shared" si="107"/>
        <v>99.387755102040813</v>
      </c>
      <c r="F325" s="134">
        <f t="shared" si="108"/>
        <v>98.149864968358258</v>
      </c>
      <c r="G325" s="181">
        <f>769250000+1665750000</f>
        <v>2435000000</v>
      </c>
      <c r="H325" s="134">
        <f t="shared" si="109"/>
        <v>99.387755102040813</v>
      </c>
      <c r="I325" s="134">
        <f t="shared" si="110"/>
        <v>98.149864968358258</v>
      </c>
      <c r="J325" s="6">
        <f t="shared" si="111"/>
        <v>-15000000</v>
      </c>
      <c r="K325" s="146"/>
    </row>
    <row r="326" spans="1:11" x14ac:dyDescent="0.25">
      <c r="A326" s="71"/>
      <c r="B326" s="76" t="s">
        <v>95</v>
      </c>
      <c r="C326" s="809">
        <f>SUM(C324:C325)</f>
        <v>2480900000</v>
      </c>
      <c r="D326" s="141">
        <f>SUM(D324:D325)</f>
        <v>100</v>
      </c>
      <c r="E326" s="134"/>
      <c r="F326" s="134"/>
      <c r="G326" s="181">
        <f>SUM(G324:G325)</f>
        <v>2460750000</v>
      </c>
      <c r="H326" s="134"/>
      <c r="I326" s="134"/>
      <c r="J326" s="56">
        <v>0</v>
      </c>
      <c r="K326" s="143"/>
    </row>
    <row r="327" spans="1:11" x14ac:dyDescent="0.25">
      <c r="A327" s="190"/>
      <c r="B327" s="2"/>
      <c r="C327" s="59"/>
      <c r="D327" s="41"/>
      <c r="E327" s="31"/>
      <c r="F327" s="31"/>
      <c r="G327" s="36"/>
      <c r="H327" s="31"/>
      <c r="I327" s="31"/>
      <c r="J327" s="33"/>
      <c r="K327" s="37"/>
    </row>
    <row r="328" spans="1:11" x14ac:dyDescent="0.25">
      <c r="A328" s="1103" t="s">
        <v>2</v>
      </c>
      <c r="B328" s="1104" t="s">
        <v>170</v>
      </c>
      <c r="C328" s="1103" t="s">
        <v>4</v>
      </c>
      <c r="D328" s="1105" t="s">
        <v>5</v>
      </c>
      <c r="E328" s="1106"/>
      <c r="F328" s="1106"/>
      <c r="G328" s="1107" t="s">
        <v>6</v>
      </c>
      <c r="H328" s="1106"/>
      <c r="I328" s="1106"/>
      <c r="J328" s="1103" t="s">
        <v>7</v>
      </c>
      <c r="K328" s="288" t="s">
        <v>8</v>
      </c>
    </row>
    <row r="329" spans="1:11" x14ac:dyDescent="0.25">
      <c r="A329" s="1103"/>
      <c r="B329" s="1104"/>
      <c r="C329" s="1103"/>
      <c r="D329" s="288" t="s">
        <v>9</v>
      </c>
      <c r="E329" s="306" t="s">
        <v>10</v>
      </c>
      <c r="F329" s="306" t="s">
        <v>11</v>
      </c>
      <c r="G329" s="307" t="s">
        <v>12</v>
      </c>
      <c r="H329" s="306" t="s">
        <v>13</v>
      </c>
      <c r="I329" s="306" t="s">
        <v>11</v>
      </c>
      <c r="J329" s="1108"/>
      <c r="K329" s="102"/>
    </row>
    <row r="330" spans="1:11" x14ac:dyDescent="0.25">
      <c r="A330" s="1103"/>
      <c r="B330" s="1104"/>
      <c r="C330" s="1103"/>
      <c r="D330" s="105" t="s">
        <v>14</v>
      </c>
      <c r="E330" s="106" t="s">
        <v>14</v>
      </c>
      <c r="F330" s="106" t="s">
        <v>14</v>
      </c>
      <c r="G330" s="107" t="s">
        <v>15</v>
      </c>
      <c r="H330" s="106" t="s">
        <v>14</v>
      </c>
      <c r="I330" s="106" t="s">
        <v>14</v>
      </c>
      <c r="J330" s="105" t="s">
        <v>15</v>
      </c>
      <c r="K330" s="105"/>
    </row>
    <row r="331" spans="1:11" x14ac:dyDescent="0.25">
      <c r="A331" s="79" t="s">
        <v>185</v>
      </c>
      <c r="B331" s="199" t="s">
        <v>146</v>
      </c>
      <c r="C331" s="24"/>
      <c r="D331" s="10"/>
      <c r="E331" s="34"/>
      <c r="F331" s="34"/>
      <c r="G331" s="6"/>
      <c r="H331" s="34"/>
      <c r="I331" s="34"/>
      <c r="J331" s="10"/>
      <c r="K331" s="10"/>
    </row>
    <row r="332" spans="1:11" x14ac:dyDescent="0.25">
      <c r="A332" s="125" t="s">
        <v>187</v>
      </c>
      <c r="B332" s="280" t="s">
        <v>150</v>
      </c>
      <c r="C332" s="131">
        <f>SUM(C333:C336)</f>
        <v>1508450760</v>
      </c>
      <c r="D332" s="10"/>
      <c r="E332" s="34"/>
      <c r="F332" s="34"/>
      <c r="G332" s="6"/>
      <c r="H332" s="34"/>
      <c r="I332" s="34"/>
      <c r="J332" s="10"/>
      <c r="K332" s="10"/>
    </row>
    <row r="333" spans="1:11" ht="25.5" x14ac:dyDescent="0.25">
      <c r="A333" s="124" t="s">
        <v>44</v>
      </c>
      <c r="B333" s="707" t="s">
        <v>384</v>
      </c>
      <c r="C333" s="253">
        <v>30900000</v>
      </c>
      <c r="D333" s="134">
        <f>C333/C332*100</f>
        <v>2.0484593080121489</v>
      </c>
      <c r="E333" s="134">
        <f t="shared" ref="E333:E335" si="112">G333/C333*100</f>
        <v>83.333333333333343</v>
      </c>
      <c r="F333" s="134">
        <f t="shared" ref="F333:F335" si="113">(D333*E333)/100</f>
        <v>1.7070494233434577</v>
      </c>
      <c r="G333" s="181">
        <f>25750000</f>
        <v>25750000</v>
      </c>
      <c r="H333" s="134">
        <f t="shared" ref="H333:H335" si="114">G333/C333*100</f>
        <v>83.333333333333343</v>
      </c>
      <c r="I333" s="134">
        <f t="shared" ref="I333:I335" si="115">(D333*H333)/100</f>
        <v>1.7070494233434577</v>
      </c>
      <c r="J333" s="6">
        <f t="shared" ref="J333:J336" si="116">G333-C333</f>
        <v>-5150000</v>
      </c>
      <c r="K333" s="10"/>
    </row>
    <row r="334" spans="1:11" x14ac:dyDescent="0.25">
      <c r="A334" s="49" t="s">
        <v>148</v>
      </c>
      <c r="B334" s="133" t="s">
        <v>534</v>
      </c>
      <c r="C334" s="256">
        <v>1050000000</v>
      </c>
      <c r="D334" s="134">
        <f>C334/C332*100</f>
        <v>69.607840563519616</v>
      </c>
      <c r="E334" s="134">
        <f t="shared" si="112"/>
        <v>98.237161904761905</v>
      </c>
      <c r="F334" s="134">
        <f t="shared" si="113"/>
        <v>68.380767032793301</v>
      </c>
      <c r="G334" s="181">
        <f>975805800+55684400</f>
        <v>1031490200</v>
      </c>
      <c r="H334" s="134">
        <f t="shared" si="114"/>
        <v>98.237161904761905</v>
      </c>
      <c r="I334" s="134">
        <f t="shared" si="115"/>
        <v>68.380767032793301</v>
      </c>
      <c r="J334" s="6">
        <f t="shared" si="116"/>
        <v>-18509800</v>
      </c>
      <c r="K334" s="10"/>
    </row>
    <row r="335" spans="1:11" s="84" customFormat="1" ht="25.5" x14ac:dyDescent="0.2">
      <c r="A335" s="49" t="s">
        <v>152</v>
      </c>
      <c r="B335" s="133" t="s">
        <v>153</v>
      </c>
      <c r="C335" s="256">
        <v>420000000</v>
      </c>
      <c r="D335" s="134">
        <f>C335/C332*100</f>
        <v>27.84313622540785</v>
      </c>
      <c r="E335" s="134">
        <f t="shared" si="112"/>
        <v>83.333333333333343</v>
      </c>
      <c r="F335" s="134">
        <f t="shared" si="113"/>
        <v>23.202613521173213</v>
      </c>
      <c r="G335" s="181">
        <f>350000000</f>
        <v>350000000</v>
      </c>
      <c r="H335" s="134">
        <f t="shared" si="114"/>
        <v>83.333333333333343</v>
      </c>
      <c r="I335" s="134">
        <f t="shared" si="115"/>
        <v>23.202613521173213</v>
      </c>
      <c r="J335" s="6">
        <f t="shared" si="116"/>
        <v>-70000000</v>
      </c>
      <c r="K335" s="38"/>
    </row>
    <row r="336" spans="1:11" s="84" customFormat="1" x14ac:dyDescent="0.2">
      <c r="A336" s="749" t="s">
        <v>234</v>
      </c>
      <c r="B336" s="133" t="s">
        <v>522</v>
      </c>
      <c r="C336" s="256">
        <v>7550760</v>
      </c>
      <c r="D336" s="804"/>
      <c r="E336" s="134"/>
      <c r="F336" s="134"/>
      <c r="G336" s="181">
        <f>7550760</f>
        <v>7550760</v>
      </c>
      <c r="H336" s="134"/>
      <c r="I336" s="134"/>
      <c r="J336" s="6">
        <f t="shared" si="116"/>
        <v>0</v>
      </c>
      <c r="K336" s="805"/>
    </row>
    <row r="337" spans="1:15" x14ac:dyDescent="0.25">
      <c r="A337" s="70"/>
      <c r="B337" s="129" t="s">
        <v>95</v>
      </c>
      <c r="C337" s="807">
        <f>SUM(C333:C336)</f>
        <v>1508450760</v>
      </c>
      <c r="D337" s="271">
        <f>SUM(D333:D335)</f>
        <v>99.499436096939618</v>
      </c>
      <c r="E337" s="134"/>
      <c r="F337" s="134"/>
      <c r="G337" s="181">
        <f>SUM(G333:G336)</f>
        <v>1414790960</v>
      </c>
      <c r="H337" s="134"/>
      <c r="I337" s="134"/>
      <c r="J337" s="56">
        <v>0</v>
      </c>
      <c r="K337" s="130"/>
    </row>
    <row r="338" spans="1:15" x14ac:dyDescent="0.25">
      <c r="A338" s="190"/>
      <c r="B338" s="2"/>
      <c r="C338" s="59"/>
      <c r="D338" s="41"/>
      <c r="E338" s="31"/>
      <c r="F338" s="31"/>
      <c r="G338" s="36"/>
      <c r="H338" s="31"/>
      <c r="I338" s="31"/>
      <c r="J338" s="33"/>
      <c r="K338" s="37"/>
    </row>
    <row r="339" spans="1:15" x14ac:dyDescent="0.25">
      <c r="A339" s="50"/>
      <c r="B339" s="5"/>
      <c r="C339" s="50"/>
      <c r="D339" s="9"/>
      <c r="E339" s="23"/>
      <c r="F339" s="23"/>
      <c r="G339" s="11"/>
      <c r="H339" s="23"/>
      <c r="I339" s="23"/>
      <c r="J339" s="9"/>
      <c r="K339" s="9"/>
    </row>
    <row r="340" spans="1:15" x14ac:dyDescent="0.25">
      <c r="A340" s="1123" t="s">
        <v>2</v>
      </c>
      <c r="B340" s="1126" t="s">
        <v>138</v>
      </c>
      <c r="C340" s="1129" t="s">
        <v>4</v>
      </c>
      <c r="D340" s="1121" t="s">
        <v>5</v>
      </c>
      <c r="E340" s="1132"/>
      <c r="F340" s="1132"/>
      <c r="G340" s="1122" t="s">
        <v>6</v>
      </c>
      <c r="H340" s="1132"/>
      <c r="I340" s="1132"/>
      <c r="J340" s="1123" t="s">
        <v>7</v>
      </c>
      <c r="K340" s="1123" t="s">
        <v>8</v>
      </c>
    </row>
    <row r="341" spans="1:15" x14ac:dyDescent="0.25">
      <c r="A341" s="1124"/>
      <c r="B341" s="1127"/>
      <c r="C341" s="1130"/>
      <c r="D341" s="289" t="s">
        <v>9</v>
      </c>
      <c r="E341" s="308" t="s">
        <v>10</v>
      </c>
      <c r="F341" s="308" t="s">
        <v>11</v>
      </c>
      <c r="G341" s="117" t="s">
        <v>12</v>
      </c>
      <c r="H341" s="116" t="s">
        <v>13</v>
      </c>
      <c r="I341" s="116" t="s">
        <v>11</v>
      </c>
      <c r="J341" s="1124"/>
      <c r="K341" s="1124"/>
    </row>
    <row r="342" spans="1:15" x14ac:dyDescent="0.25">
      <c r="A342" s="1125"/>
      <c r="B342" s="1128"/>
      <c r="C342" s="1131"/>
      <c r="D342" s="115" t="s">
        <v>14</v>
      </c>
      <c r="E342" s="119" t="s">
        <v>14</v>
      </c>
      <c r="F342" s="119" t="s">
        <v>14</v>
      </c>
      <c r="G342" s="120" t="s">
        <v>15</v>
      </c>
      <c r="H342" s="119" t="s">
        <v>14</v>
      </c>
      <c r="I342" s="119" t="s">
        <v>14</v>
      </c>
      <c r="J342" s="118" t="s">
        <v>15</v>
      </c>
      <c r="K342" s="1125"/>
    </row>
    <row r="343" spans="1:15" ht="25.5" x14ac:dyDescent="0.25">
      <c r="A343" s="79" t="s">
        <v>180</v>
      </c>
      <c r="B343" s="696" t="s">
        <v>379</v>
      </c>
      <c r="C343" s="127"/>
      <c r="D343" s="121"/>
      <c r="E343" s="34"/>
      <c r="F343" s="34"/>
      <c r="G343" s="6"/>
      <c r="H343" s="34"/>
      <c r="I343" s="34"/>
      <c r="J343" s="10"/>
      <c r="K343" s="85"/>
    </row>
    <row r="344" spans="1:15" ht="25.5" x14ac:dyDescent="0.25">
      <c r="A344" s="125" t="s">
        <v>181</v>
      </c>
      <c r="B344" s="697" t="s">
        <v>380</v>
      </c>
      <c r="C344" s="88">
        <f>SUM(C345:C368)</f>
        <v>235000000</v>
      </c>
      <c r="D344" s="121"/>
      <c r="E344" s="34"/>
      <c r="F344" s="34"/>
      <c r="G344" s="6"/>
      <c r="H344" s="34"/>
      <c r="I344" s="34"/>
      <c r="J344" s="10"/>
      <c r="K344" s="156"/>
    </row>
    <row r="345" spans="1:15" ht="25.5" x14ac:dyDescent="0.25">
      <c r="A345" s="49" t="s">
        <v>44</v>
      </c>
      <c r="B345" s="707" t="s">
        <v>384</v>
      </c>
      <c r="C345" s="39">
        <v>9690000</v>
      </c>
      <c r="D345" s="727">
        <f>C345/C344*100</f>
        <v>4.1234042553191488</v>
      </c>
      <c r="E345" s="134">
        <f t="shared" ref="E345:E356" si="117">G345/C345*100</f>
        <v>90.092879256965944</v>
      </c>
      <c r="F345" s="134">
        <f t="shared" ref="F345:F356" si="118">(D345*E345)/100</f>
        <v>3.7148936170212767</v>
      </c>
      <c r="G345" s="181">
        <f>8730000</f>
        <v>8730000</v>
      </c>
      <c r="H345" s="134">
        <f t="shared" ref="H345:H356" si="119">G345/C345*100</f>
        <v>90.092879256965944</v>
      </c>
      <c r="I345" s="134">
        <f t="shared" ref="I345:I356" si="120">(D345*H345)/100</f>
        <v>3.7148936170212767</v>
      </c>
      <c r="J345" s="6">
        <f t="shared" ref="J345:J368" si="121">G345-C345</f>
        <v>-960000</v>
      </c>
      <c r="K345" s="10"/>
      <c r="O345" s="717"/>
    </row>
    <row r="346" spans="1:15" x14ac:dyDescent="0.25">
      <c r="A346" s="49" t="s">
        <v>448</v>
      </c>
      <c r="B346" s="707" t="s">
        <v>578</v>
      </c>
      <c r="C346" s="39">
        <v>510000</v>
      </c>
      <c r="D346" s="727"/>
      <c r="E346" s="134"/>
      <c r="F346" s="134"/>
      <c r="G346" s="181"/>
      <c r="H346" s="134"/>
      <c r="I346" s="134"/>
      <c r="J346" s="6"/>
      <c r="K346" s="10"/>
      <c r="O346" s="717"/>
    </row>
    <row r="347" spans="1:15" x14ac:dyDescent="0.25">
      <c r="A347" s="49" t="s">
        <v>59</v>
      </c>
      <c r="B347" s="707" t="s">
        <v>197</v>
      </c>
      <c r="C347" s="39">
        <v>15090500</v>
      </c>
      <c r="D347" s="727">
        <f>C347/C344*100</f>
        <v>6.421489361702128</v>
      </c>
      <c r="E347" s="134">
        <f t="shared" si="117"/>
        <v>79.520227957986805</v>
      </c>
      <c r="F347" s="134">
        <f t="shared" si="118"/>
        <v>5.1063829787234036</v>
      </c>
      <c r="G347" s="181">
        <f>12000000</f>
        <v>12000000</v>
      </c>
      <c r="H347" s="134">
        <f t="shared" si="119"/>
        <v>79.520227957986805</v>
      </c>
      <c r="I347" s="134">
        <f t="shared" si="120"/>
        <v>5.1063829787234036</v>
      </c>
      <c r="J347" s="6">
        <f t="shared" si="121"/>
        <v>-3090500</v>
      </c>
      <c r="K347" s="10"/>
    </row>
    <row r="348" spans="1:15" x14ac:dyDescent="0.25">
      <c r="A348" s="49" t="s">
        <v>62</v>
      </c>
      <c r="B348" s="707" t="s">
        <v>414</v>
      </c>
      <c r="C348" s="39">
        <v>5172500</v>
      </c>
      <c r="D348" s="727"/>
      <c r="E348" s="134"/>
      <c r="F348" s="134"/>
      <c r="G348" s="181">
        <f>1485000</f>
        <v>1485000</v>
      </c>
      <c r="H348" s="134"/>
      <c r="I348" s="134"/>
      <c r="J348" s="6">
        <f t="shared" si="121"/>
        <v>-3687500</v>
      </c>
      <c r="K348" s="10"/>
    </row>
    <row r="349" spans="1:15" x14ac:dyDescent="0.25">
      <c r="A349" s="49" t="s">
        <v>54</v>
      </c>
      <c r="B349" s="707" t="s">
        <v>536</v>
      </c>
      <c r="C349" s="39">
        <v>800000</v>
      </c>
      <c r="D349" s="727"/>
      <c r="E349" s="134"/>
      <c r="F349" s="134"/>
      <c r="G349" s="181">
        <f>800000</f>
        <v>800000</v>
      </c>
      <c r="H349" s="134"/>
      <c r="I349" s="134"/>
      <c r="J349" s="6">
        <f t="shared" si="121"/>
        <v>0</v>
      </c>
      <c r="K349" s="10"/>
    </row>
    <row r="350" spans="1:15" ht="25.5" x14ac:dyDescent="0.25">
      <c r="A350" s="49" t="s">
        <v>193</v>
      </c>
      <c r="B350" s="707" t="s">
        <v>537</v>
      </c>
      <c r="C350" s="39">
        <v>8750000</v>
      </c>
      <c r="D350" s="727"/>
      <c r="E350" s="134"/>
      <c r="F350" s="134"/>
      <c r="G350" s="181">
        <f>8750000</f>
        <v>8750000</v>
      </c>
      <c r="H350" s="134"/>
      <c r="I350" s="134"/>
      <c r="J350" s="6">
        <f t="shared" si="121"/>
        <v>0</v>
      </c>
      <c r="K350" s="10"/>
    </row>
    <row r="351" spans="1:15" x14ac:dyDescent="0.25">
      <c r="A351" s="49" t="s">
        <v>148</v>
      </c>
      <c r="B351" s="133" t="s">
        <v>534</v>
      </c>
      <c r="C351" s="39">
        <v>10000000</v>
      </c>
      <c r="D351" s="727"/>
      <c r="E351" s="134"/>
      <c r="F351" s="134"/>
      <c r="G351" s="181">
        <f>10000000</f>
        <v>10000000</v>
      </c>
      <c r="H351" s="134"/>
      <c r="I351" s="134"/>
      <c r="J351" s="6">
        <f t="shared" si="121"/>
        <v>0</v>
      </c>
      <c r="K351" s="10"/>
    </row>
    <row r="352" spans="1:15" x14ac:dyDescent="0.25">
      <c r="A352" s="49" t="s">
        <v>579</v>
      </c>
      <c r="B352" s="133" t="s">
        <v>580</v>
      </c>
      <c r="C352" s="39">
        <v>7300000</v>
      </c>
      <c r="D352" s="727"/>
      <c r="E352" s="134"/>
      <c r="F352" s="134"/>
      <c r="G352" s="181"/>
      <c r="H352" s="134"/>
      <c r="I352" s="134"/>
      <c r="J352" s="6"/>
      <c r="K352" s="10"/>
    </row>
    <row r="353" spans="1:11" x14ac:dyDescent="0.25">
      <c r="A353" s="49" t="s">
        <v>77</v>
      </c>
      <c r="B353" s="49" t="s">
        <v>139</v>
      </c>
      <c r="C353" s="39">
        <v>88530000</v>
      </c>
      <c r="D353" s="727">
        <f>C353/C344*100</f>
        <v>37.672340425531914</v>
      </c>
      <c r="E353" s="134">
        <f t="shared" si="117"/>
        <v>68.078617417824461</v>
      </c>
      <c r="F353" s="134">
        <f t="shared" si="118"/>
        <v>25.646808510638294</v>
      </c>
      <c r="G353" s="181">
        <f>60270000</f>
        <v>60270000</v>
      </c>
      <c r="H353" s="134">
        <f t="shared" si="119"/>
        <v>68.078617417824461</v>
      </c>
      <c r="I353" s="134">
        <f t="shared" si="120"/>
        <v>25.646808510638294</v>
      </c>
      <c r="J353" s="6">
        <f t="shared" si="121"/>
        <v>-28260000</v>
      </c>
      <c r="K353" s="10"/>
    </row>
    <row r="354" spans="1:11" x14ac:dyDescent="0.25">
      <c r="A354" s="49" t="s">
        <v>601</v>
      </c>
      <c r="B354" s="49" t="s">
        <v>345</v>
      </c>
      <c r="C354" s="39">
        <v>9100000</v>
      </c>
      <c r="D354" s="727"/>
      <c r="E354" s="134"/>
      <c r="F354" s="134"/>
      <c r="G354" s="181">
        <f>9100000</f>
        <v>9100000</v>
      </c>
      <c r="H354" s="134"/>
      <c r="I354" s="134"/>
      <c r="J354" s="6"/>
      <c r="K354" s="10"/>
    </row>
    <row r="355" spans="1:11" x14ac:dyDescent="0.25">
      <c r="A355" s="49" t="s">
        <v>104</v>
      </c>
      <c r="B355" s="170" t="s">
        <v>418</v>
      </c>
      <c r="C355" s="39">
        <v>7300000</v>
      </c>
      <c r="D355" s="727">
        <f>C355/C344*100</f>
        <v>3.1063829787234045</v>
      </c>
      <c r="E355" s="134">
        <f t="shared" si="117"/>
        <v>100</v>
      </c>
      <c r="F355" s="134">
        <f t="shared" si="118"/>
        <v>3.1063829787234045</v>
      </c>
      <c r="G355" s="181">
        <f>7300000</f>
        <v>7300000</v>
      </c>
      <c r="H355" s="134">
        <f t="shared" si="119"/>
        <v>100</v>
      </c>
      <c r="I355" s="134">
        <f t="shared" si="120"/>
        <v>3.1063829787234045</v>
      </c>
      <c r="J355" s="6">
        <f t="shared" si="121"/>
        <v>0</v>
      </c>
      <c r="K355" s="10"/>
    </row>
    <row r="356" spans="1:11" ht="25.5" x14ac:dyDescent="0.25">
      <c r="A356" s="49" t="s">
        <v>192</v>
      </c>
      <c r="B356" s="316" t="s">
        <v>375</v>
      </c>
      <c r="C356" s="39">
        <v>13050000</v>
      </c>
      <c r="D356" s="727">
        <f>C356/C344*100</f>
        <v>5.5531914893617023</v>
      </c>
      <c r="E356" s="134">
        <f t="shared" si="117"/>
        <v>90.804597701149419</v>
      </c>
      <c r="F356" s="134">
        <f t="shared" si="118"/>
        <v>5.042553191489362</v>
      </c>
      <c r="G356" s="181">
        <f>11850000</f>
        <v>11850000</v>
      </c>
      <c r="H356" s="134">
        <f t="shared" si="119"/>
        <v>90.804597701149419</v>
      </c>
      <c r="I356" s="134">
        <f t="shared" si="120"/>
        <v>5.042553191489362</v>
      </c>
      <c r="J356" s="6">
        <f t="shared" si="121"/>
        <v>-1200000</v>
      </c>
      <c r="K356" s="10"/>
    </row>
    <row r="357" spans="1:11" x14ac:dyDescent="0.25">
      <c r="A357" s="749" t="s">
        <v>162</v>
      </c>
      <c r="B357" s="316" t="s">
        <v>538</v>
      </c>
      <c r="C357" s="751">
        <v>2000000</v>
      </c>
      <c r="D357" s="727"/>
      <c r="E357" s="134"/>
      <c r="F357" s="134"/>
      <c r="G357" s="181">
        <f>2000000</f>
        <v>2000000</v>
      </c>
      <c r="H357" s="134"/>
      <c r="I357" s="134"/>
      <c r="J357" s="6">
        <f t="shared" si="121"/>
        <v>0</v>
      </c>
      <c r="K357" s="130"/>
    </row>
    <row r="358" spans="1:11" x14ac:dyDescent="0.25">
      <c r="A358" s="749" t="s">
        <v>527</v>
      </c>
      <c r="B358" s="316" t="s">
        <v>523</v>
      </c>
      <c r="C358" s="751">
        <v>1150000</v>
      </c>
      <c r="D358" s="727"/>
      <c r="E358" s="134"/>
      <c r="F358" s="134"/>
      <c r="G358" s="181">
        <f>1150000</f>
        <v>1150000</v>
      </c>
      <c r="H358" s="134"/>
      <c r="I358" s="134"/>
      <c r="J358" s="6">
        <f t="shared" si="121"/>
        <v>0</v>
      </c>
      <c r="K358" s="130"/>
    </row>
    <row r="359" spans="1:11" x14ac:dyDescent="0.25">
      <c r="A359" s="749" t="s">
        <v>112</v>
      </c>
      <c r="B359" s="316" t="s">
        <v>525</v>
      </c>
      <c r="C359" s="751">
        <v>800000</v>
      </c>
      <c r="D359" s="727"/>
      <c r="E359" s="134"/>
      <c r="F359" s="134"/>
      <c r="G359" s="181">
        <f>800000</f>
        <v>800000</v>
      </c>
      <c r="H359" s="134"/>
      <c r="I359" s="134"/>
      <c r="J359" s="6">
        <f t="shared" si="121"/>
        <v>0</v>
      </c>
      <c r="K359" s="130"/>
    </row>
    <row r="360" spans="1:11" x14ac:dyDescent="0.25">
      <c r="A360" s="749" t="s">
        <v>521</v>
      </c>
      <c r="B360" s="316" t="s">
        <v>539</v>
      </c>
      <c r="C360" s="751">
        <v>1000000</v>
      </c>
      <c r="D360" s="727"/>
      <c r="E360" s="134"/>
      <c r="F360" s="134"/>
      <c r="G360" s="181">
        <f>1000000</f>
        <v>1000000</v>
      </c>
      <c r="H360" s="134"/>
      <c r="I360" s="134"/>
      <c r="J360" s="6">
        <f t="shared" si="121"/>
        <v>0</v>
      </c>
      <c r="K360" s="130"/>
    </row>
    <row r="361" spans="1:11" ht="25.5" x14ac:dyDescent="0.25">
      <c r="A361" s="749" t="s">
        <v>116</v>
      </c>
      <c r="B361" s="316" t="s">
        <v>420</v>
      </c>
      <c r="C361" s="751">
        <v>1382000</v>
      </c>
      <c r="D361" s="727">
        <f>C361/C345*100</f>
        <v>14.262125902992775</v>
      </c>
      <c r="E361" s="134"/>
      <c r="F361" s="134"/>
      <c r="G361" s="181">
        <f>1382000</f>
        <v>1382000</v>
      </c>
      <c r="H361" s="134"/>
      <c r="I361" s="134"/>
      <c r="J361" s="6">
        <f t="shared" si="121"/>
        <v>0</v>
      </c>
      <c r="K361" s="130"/>
    </row>
    <row r="362" spans="1:11" x14ac:dyDescent="0.25">
      <c r="A362" s="749" t="s">
        <v>65</v>
      </c>
      <c r="B362" s="754" t="s">
        <v>190</v>
      </c>
      <c r="C362" s="751">
        <v>7000000</v>
      </c>
      <c r="D362" s="727" t="e">
        <f>C362/#REF!*100</f>
        <v>#REF!</v>
      </c>
      <c r="E362" s="134"/>
      <c r="F362" s="134"/>
      <c r="G362" s="181">
        <f>6932360</f>
        <v>6932360</v>
      </c>
      <c r="H362" s="134"/>
      <c r="I362" s="134"/>
      <c r="J362" s="6">
        <f t="shared" si="121"/>
        <v>-67640</v>
      </c>
      <c r="K362" s="130"/>
    </row>
    <row r="363" spans="1:11" x14ac:dyDescent="0.25">
      <c r="A363" s="749" t="s">
        <v>541</v>
      </c>
      <c r="B363" s="754" t="s">
        <v>401</v>
      </c>
      <c r="C363" s="751">
        <v>3900000</v>
      </c>
      <c r="D363" s="727" t="e">
        <f>C363/#REF!*100</f>
        <v>#REF!</v>
      </c>
      <c r="E363" s="134"/>
      <c r="F363" s="134"/>
      <c r="G363" s="181">
        <f>3900000</f>
        <v>3900000</v>
      </c>
      <c r="H363" s="134"/>
      <c r="I363" s="134"/>
      <c r="J363" s="6">
        <f t="shared" si="121"/>
        <v>0</v>
      </c>
      <c r="K363" s="130"/>
    </row>
    <row r="364" spans="1:11" x14ac:dyDescent="0.25">
      <c r="A364" s="749" t="s">
        <v>603</v>
      </c>
      <c r="B364" s="754" t="s">
        <v>602</v>
      </c>
      <c r="C364" s="751">
        <v>5000000</v>
      </c>
      <c r="D364" s="727"/>
      <c r="E364" s="134"/>
      <c r="F364" s="134"/>
      <c r="G364" s="181">
        <f>5000000</f>
        <v>5000000</v>
      </c>
      <c r="H364" s="134"/>
      <c r="I364" s="134"/>
      <c r="J364" s="6"/>
      <c r="K364" s="130"/>
    </row>
    <row r="365" spans="1:11" x14ac:dyDescent="0.25">
      <c r="A365" s="749" t="s">
        <v>590</v>
      </c>
      <c r="B365" s="754" t="s">
        <v>598</v>
      </c>
      <c r="C365" s="751">
        <v>8500000</v>
      </c>
      <c r="D365" s="727"/>
      <c r="E365" s="134"/>
      <c r="F365" s="134"/>
      <c r="G365" s="181">
        <f>8500000</f>
        <v>8500000</v>
      </c>
      <c r="H365" s="134"/>
      <c r="I365" s="134"/>
      <c r="J365" s="6"/>
      <c r="K365" s="130"/>
    </row>
    <row r="366" spans="1:11" x14ac:dyDescent="0.25">
      <c r="A366" s="749" t="s">
        <v>584</v>
      </c>
      <c r="B366" s="754" t="s">
        <v>583</v>
      </c>
      <c r="C366" s="751">
        <v>17500000</v>
      </c>
      <c r="D366" s="727"/>
      <c r="E366" s="134"/>
      <c r="F366" s="134"/>
      <c r="G366" s="181">
        <f>17500000</f>
        <v>17500000</v>
      </c>
      <c r="H366" s="134"/>
      <c r="I366" s="134"/>
      <c r="J366" s="6"/>
      <c r="K366" s="130"/>
    </row>
    <row r="367" spans="1:11" x14ac:dyDescent="0.25">
      <c r="A367" s="749" t="s">
        <v>275</v>
      </c>
      <c r="B367" s="754" t="s">
        <v>421</v>
      </c>
      <c r="C367" s="751">
        <v>11475000</v>
      </c>
      <c r="D367" s="727" t="e">
        <f>C367/#REF!*100</f>
        <v>#REF!</v>
      </c>
      <c r="E367" s="134"/>
      <c r="F367" s="134"/>
      <c r="G367" s="181">
        <f>11475000</f>
        <v>11475000</v>
      </c>
      <c r="H367" s="134"/>
      <c r="I367" s="134"/>
      <c r="J367" s="6">
        <f t="shared" si="121"/>
        <v>0</v>
      </c>
      <c r="K367" s="130"/>
    </row>
    <row r="368" spans="1:11" x14ac:dyDescent="0.25">
      <c r="A368" s="749" t="s">
        <v>542</v>
      </c>
      <c r="B368" s="316" t="s">
        <v>540</v>
      </c>
      <c r="C368" s="751">
        <v>0</v>
      </c>
      <c r="D368" s="752"/>
      <c r="E368" s="134"/>
      <c r="F368" s="134"/>
      <c r="G368" s="181"/>
      <c r="H368" s="134"/>
      <c r="I368" s="134"/>
      <c r="J368" s="6">
        <f t="shared" si="121"/>
        <v>0</v>
      </c>
      <c r="K368" s="130"/>
    </row>
    <row r="369" spans="1:14" x14ac:dyDescent="0.25">
      <c r="A369" s="70"/>
      <c r="B369" s="164" t="s">
        <v>140</v>
      </c>
      <c r="C369" s="165">
        <f>SUM(C345:C368)</f>
        <v>235000000</v>
      </c>
      <c r="D369" s="166">
        <f>SUM(D345:D356)</f>
        <v>56.876808510638291</v>
      </c>
      <c r="E369" s="134"/>
      <c r="F369" s="134"/>
      <c r="G369" s="837">
        <f>SUM(G345:G368)</f>
        <v>189924360</v>
      </c>
      <c r="H369" s="134"/>
      <c r="I369" s="134"/>
      <c r="J369" s="734"/>
      <c r="K369" s="40"/>
    </row>
    <row r="370" spans="1:14" x14ac:dyDescent="0.25">
      <c r="A370" s="53"/>
      <c r="B370" s="5"/>
      <c r="C370" s="191"/>
      <c r="D370" s="41"/>
      <c r="E370" s="30"/>
      <c r="F370" s="31"/>
      <c r="G370" s="36"/>
      <c r="H370" s="23"/>
      <c r="I370" s="23"/>
      <c r="J370" s="33"/>
      <c r="K370" s="37"/>
    </row>
    <row r="371" spans="1:14" ht="31.5" x14ac:dyDescent="0.25">
      <c r="A371" s="55"/>
      <c r="B371" s="46" t="s">
        <v>145</v>
      </c>
      <c r="C371" s="155"/>
      <c r="D371" s="44"/>
      <c r="E371" s="45"/>
      <c r="F371" s="45"/>
      <c r="G371" s="48"/>
      <c r="H371" s="45"/>
      <c r="I371" s="45"/>
      <c r="J371" s="44"/>
      <c r="K371" s="44"/>
      <c r="L371" s="1"/>
      <c r="M371" s="1"/>
      <c r="N371" s="1"/>
    </row>
    <row r="372" spans="1:14" x14ac:dyDescent="0.25">
      <c r="A372" s="1119" t="s">
        <v>2</v>
      </c>
      <c r="B372" s="1120" t="s">
        <v>177</v>
      </c>
      <c r="C372" s="1119" t="s">
        <v>4</v>
      </c>
      <c r="D372" s="1121" t="s">
        <v>5</v>
      </c>
      <c r="E372" s="1121"/>
      <c r="F372" s="1121"/>
      <c r="G372" s="1122" t="s">
        <v>6</v>
      </c>
      <c r="H372" s="1122"/>
      <c r="I372" s="1122"/>
      <c r="J372" s="1119" t="s">
        <v>7</v>
      </c>
      <c r="K372" s="289" t="s">
        <v>8</v>
      </c>
    </row>
    <row r="373" spans="1:14" x14ac:dyDescent="0.25">
      <c r="A373" s="1119"/>
      <c r="B373" s="1120"/>
      <c r="C373" s="1119"/>
      <c r="D373" s="289" t="s">
        <v>9</v>
      </c>
      <c r="E373" s="308" t="s">
        <v>10</v>
      </c>
      <c r="F373" s="308" t="s">
        <v>11</v>
      </c>
      <c r="G373" s="309" t="s">
        <v>12</v>
      </c>
      <c r="H373" s="308" t="s">
        <v>13</v>
      </c>
      <c r="I373" s="308" t="s">
        <v>11</v>
      </c>
      <c r="J373" s="1123"/>
      <c r="K373" s="115"/>
    </row>
    <row r="374" spans="1:14" x14ac:dyDescent="0.25">
      <c r="A374" s="1119"/>
      <c r="B374" s="1120"/>
      <c r="C374" s="1119"/>
      <c r="D374" s="118" t="s">
        <v>14</v>
      </c>
      <c r="E374" s="119" t="s">
        <v>14</v>
      </c>
      <c r="F374" s="119" t="s">
        <v>14</v>
      </c>
      <c r="G374" s="120" t="s">
        <v>15</v>
      </c>
      <c r="H374" s="119" t="s">
        <v>14</v>
      </c>
      <c r="I374" s="119" t="s">
        <v>14</v>
      </c>
      <c r="J374" s="118" t="s">
        <v>15</v>
      </c>
      <c r="K374" s="118"/>
    </row>
    <row r="375" spans="1:14" x14ac:dyDescent="0.25">
      <c r="A375" s="79" t="s">
        <v>185</v>
      </c>
      <c r="B375" s="199" t="s">
        <v>146</v>
      </c>
      <c r="C375" s="260"/>
      <c r="D375" s="10"/>
      <c r="E375" s="34"/>
      <c r="F375" s="34"/>
      <c r="G375" s="6"/>
      <c r="H375" s="34"/>
      <c r="I375" s="34"/>
      <c r="J375" s="10"/>
      <c r="K375" s="10"/>
    </row>
    <row r="376" spans="1:14" x14ac:dyDescent="0.25">
      <c r="A376" s="125" t="s">
        <v>184</v>
      </c>
      <c r="B376" s="280" t="s">
        <v>147</v>
      </c>
      <c r="C376" s="131">
        <f>SUM(C377:C378)</f>
        <v>3395640000</v>
      </c>
      <c r="D376" s="10"/>
      <c r="E376" s="34"/>
      <c r="F376" s="34"/>
      <c r="G376" s="6"/>
      <c r="H376" s="34"/>
      <c r="I376" s="34"/>
      <c r="J376" s="10"/>
      <c r="K376" s="10"/>
    </row>
    <row r="377" spans="1:14" ht="25.5" x14ac:dyDescent="0.25">
      <c r="A377" s="313" t="s">
        <v>44</v>
      </c>
      <c r="B377" s="707" t="s">
        <v>384</v>
      </c>
      <c r="C377" s="253">
        <v>35640000</v>
      </c>
      <c r="D377" s="134">
        <f>C377/C376*100</f>
        <v>1.0495812276919816</v>
      </c>
      <c r="E377" s="134">
        <f t="shared" ref="E377:E378" si="122">G377/C377*100</f>
        <v>83.333333333333343</v>
      </c>
      <c r="F377" s="134">
        <f t="shared" ref="F377:F378" si="123">(D377*E377)/100</f>
        <v>0.87465102307665143</v>
      </c>
      <c r="G377" s="181">
        <f>29700000</f>
        <v>29700000</v>
      </c>
      <c r="H377" s="134">
        <f t="shared" ref="H377:H378" si="124">G377/C377*100</f>
        <v>83.333333333333343</v>
      </c>
      <c r="I377" s="134">
        <f t="shared" ref="I377:I378" si="125">(D377*H377)/100</f>
        <v>0.87465102307665143</v>
      </c>
      <c r="J377" s="6">
        <f t="shared" ref="J377:J378" si="126">G377-C377</f>
        <v>-5940000</v>
      </c>
      <c r="K377" s="10"/>
    </row>
    <row r="378" spans="1:14" x14ac:dyDescent="0.25">
      <c r="A378" s="49" t="s">
        <v>148</v>
      </c>
      <c r="B378" s="133" t="s">
        <v>534</v>
      </c>
      <c r="C378" s="256">
        <v>3360000000</v>
      </c>
      <c r="D378" s="134">
        <f>C378/C376*100</f>
        <v>98.950418772308012</v>
      </c>
      <c r="E378" s="134">
        <f t="shared" si="122"/>
        <v>100</v>
      </c>
      <c r="F378" s="134">
        <f t="shared" si="123"/>
        <v>98.950418772307998</v>
      </c>
      <c r="G378" s="181">
        <f>2220557000+1139443000</f>
        <v>3360000000</v>
      </c>
      <c r="H378" s="134">
        <f t="shared" si="124"/>
        <v>100</v>
      </c>
      <c r="I378" s="134">
        <f t="shared" si="125"/>
        <v>98.950418772307998</v>
      </c>
      <c r="J378" s="6">
        <f t="shared" si="126"/>
        <v>0</v>
      </c>
      <c r="K378" s="10"/>
    </row>
    <row r="379" spans="1:14" x14ac:dyDescent="0.25">
      <c r="A379" s="70"/>
      <c r="B379" s="129" t="s">
        <v>95</v>
      </c>
      <c r="C379" s="807">
        <f>SUM(C377:C378)</f>
        <v>3395640000</v>
      </c>
      <c r="D379" s="271">
        <f>SUM(D377:D378)</f>
        <v>100</v>
      </c>
      <c r="E379" s="134"/>
      <c r="F379" s="134"/>
      <c r="G379" s="181">
        <f>SUM(G377:G378)</f>
        <v>3389700000</v>
      </c>
      <c r="H379" s="134"/>
      <c r="I379" s="134"/>
      <c r="J379" s="734"/>
      <c r="K379" s="130"/>
    </row>
    <row r="380" spans="1:14" x14ac:dyDescent="0.25">
      <c r="A380" s="230"/>
      <c r="B380" s="231"/>
      <c r="C380" s="232"/>
      <c r="D380" s="23"/>
      <c r="E380" s="23"/>
      <c r="F380" s="23"/>
      <c r="G380" s="11"/>
      <c r="H380" s="23"/>
      <c r="I380" s="23"/>
      <c r="J380" s="9"/>
      <c r="K380" s="9"/>
    </row>
    <row r="381" spans="1:14" x14ac:dyDescent="0.25">
      <c r="A381" s="1119" t="s">
        <v>2</v>
      </c>
      <c r="B381" s="1120" t="s">
        <v>177</v>
      </c>
      <c r="C381" s="1119" t="s">
        <v>4</v>
      </c>
      <c r="D381" s="1121" t="s">
        <v>5</v>
      </c>
      <c r="E381" s="1121"/>
      <c r="F381" s="1121"/>
      <c r="G381" s="1122" t="s">
        <v>6</v>
      </c>
      <c r="H381" s="1122"/>
      <c r="I381" s="1122"/>
      <c r="J381" s="1119" t="s">
        <v>7</v>
      </c>
      <c r="K381" s="289" t="s">
        <v>8</v>
      </c>
    </row>
    <row r="382" spans="1:14" x14ac:dyDescent="0.25">
      <c r="A382" s="1119"/>
      <c r="B382" s="1120"/>
      <c r="C382" s="1119"/>
      <c r="D382" s="289" t="s">
        <v>9</v>
      </c>
      <c r="E382" s="308" t="s">
        <v>10</v>
      </c>
      <c r="F382" s="308" t="s">
        <v>11</v>
      </c>
      <c r="G382" s="309" t="s">
        <v>12</v>
      </c>
      <c r="H382" s="308" t="s">
        <v>13</v>
      </c>
      <c r="I382" s="308" t="s">
        <v>11</v>
      </c>
      <c r="J382" s="1123"/>
      <c r="K382" s="115"/>
    </row>
    <row r="383" spans="1:14" x14ac:dyDescent="0.25">
      <c r="A383" s="1119"/>
      <c r="B383" s="1120"/>
      <c r="C383" s="1119"/>
      <c r="D383" s="118" t="s">
        <v>14</v>
      </c>
      <c r="E383" s="119" t="s">
        <v>14</v>
      </c>
      <c r="F383" s="119" t="s">
        <v>14</v>
      </c>
      <c r="G383" s="120" t="s">
        <v>15</v>
      </c>
      <c r="H383" s="119" t="s">
        <v>14</v>
      </c>
      <c r="I383" s="119" t="s">
        <v>14</v>
      </c>
      <c r="J383" s="118" t="s">
        <v>15</v>
      </c>
      <c r="K383" s="118"/>
    </row>
    <row r="384" spans="1:14" x14ac:dyDescent="0.25">
      <c r="A384" s="139" t="s">
        <v>185</v>
      </c>
      <c r="B384" s="199" t="s">
        <v>146</v>
      </c>
      <c r="C384" s="24"/>
      <c r="D384" s="10"/>
      <c r="E384" s="34"/>
      <c r="F384" s="34"/>
      <c r="G384" s="6"/>
      <c r="H384" s="34"/>
      <c r="I384" s="34"/>
      <c r="J384" s="10"/>
      <c r="K384" s="10"/>
    </row>
    <row r="385" spans="1:11" x14ac:dyDescent="0.25">
      <c r="A385" s="140" t="s">
        <v>187</v>
      </c>
      <c r="B385" s="280" t="s">
        <v>150</v>
      </c>
      <c r="C385" s="252">
        <f>SUM(C386:C390)</f>
        <v>2057255328</v>
      </c>
      <c r="D385" s="10"/>
      <c r="E385" s="34"/>
      <c r="F385" s="34"/>
      <c r="G385" s="6"/>
      <c r="H385" s="34"/>
      <c r="I385" s="34"/>
      <c r="J385" s="10"/>
      <c r="K385" s="10"/>
    </row>
    <row r="386" spans="1:11" ht="25.5" x14ac:dyDescent="0.25">
      <c r="A386" s="159" t="s">
        <v>44</v>
      </c>
      <c r="B386" s="707" t="s">
        <v>384</v>
      </c>
      <c r="C386" s="253">
        <v>30210000</v>
      </c>
      <c r="D386" s="134">
        <f>C386/C385*100</f>
        <v>1.4684613809880966</v>
      </c>
      <c r="E386" s="134">
        <f t="shared" ref="E386:E389" si="127">G386/C386*100</f>
        <v>82.058920887123463</v>
      </c>
      <c r="F386" s="134">
        <f t="shared" ref="F386:F389" si="128">(D386*E386)/100</f>
        <v>1.2050035628829829</v>
      </c>
      <c r="G386" s="181">
        <f>24790000</f>
        <v>24790000</v>
      </c>
      <c r="H386" s="134">
        <f t="shared" ref="H386:H389" si="129">G386/C386*100</f>
        <v>82.058920887123463</v>
      </c>
      <c r="I386" s="134">
        <f t="shared" ref="I386:I389" si="130">(D386*H386)/100</f>
        <v>1.2050035628829829</v>
      </c>
      <c r="J386" s="6">
        <f t="shared" ref="J386:J390" si="131">G386-C386</f>
        <v>-5420000</v>
      </c>
      <c r="K386" s="10"/>
    </row>
    <row r="387" spans="1:11" x14ac:dyDescent="0.25">
      <c r="A387" s="313" t="s">
        <v>59</v>
      </c>
      <c r="B387" s="707" t="s">
        <v>197</v>
      </c>
      <c r="C387" s="253">
        <v>690000</v>
      </c>
      <c r="D387" s="134">
        <f>C387/C385*100</f>
        <v>3.3539832932200815E-2</v>
      </c>
      <c r="E387" s="134">
        <f t="shared" si="127"/>
        <v>100</v>
      </c>
      <c r="F387" s="134">
        <f t="shared" si="128"/>
        <v>3.3539832932200815E-2</v>
      </c>
      <c r="G387" s="181">
        <f>690000</f>
        <v>690000</v>
      </c>
      <c r="H387" s="134">
        <f t="shared" si="129"/>
        <v>100</v>
      </c>
      <c r="I387" s="134">
        <f t="shared" si="130"/>
        <v>3.3539832932200815E-2</v>
      </c>
      <c r="J387" s="6">
        <f t="shared" si="131"/>
        <v>0</v>
      </c>
      <c r="K387" s="10"/>
    </row>
    <row r="388" spans="1:11" x14ac:dyDescent="0.25">
      <c r="A388" s="313" t="s">
        <v>62</v>
      </c>
      <c r="B388" s="133" t="s">
        <v>534</v>
      </c>
      <c r="C388" s="253">
        <v>1440000000</v>
      </c>
      <c r="D388" s="134">
        <f>C388/C385*100</f>
        <v>69.99617307589736</v>
      </c>
      <c r="E388" s="134">
        <f t="shared" si="127"/>
        <v>76.76080555555555</v>
      </c>
      <c r="F388" s="134">
        <f t="shared" si="128"/>
        <v>53.729626311119702</v>
      </c>
      <c r="G388" s="181">
        <f>929955600+175400000</f>
        <v>1105355600</v>
      </c>
      <c r="H388" s="134">
        <f t="shared" si="129"/>
        <v>76.76080555555555</v>
      </c>
      <c r="I388" s="134">
        <f t="shared" si="130"/>
        <v>53.729626311119702</v>
      </c>
      <c r="J388" s="6">
        <f t="shared" si="131"/>
        <v>-334644400</v>
      </c>
      <c r="K388" s="10"/>
    </row>
    <row r="389" spans="1:11" s="725" customFormat="1" ht="25.5" x14ac:dyDescent="0.2">
      <c r="A389" s="723" t="s">
        <v>152</v>
      </c>
      <c r="B389" s="133" t="s">
        <v>153</v>
      </c>
      <c r="C389" s="724">
        <v>576000000</v>
      </c>
      <c r="D389" s="728">
        <f>C389/C385*100</f>
        <v>27.998469230358946</v>
      </c>
      <c r="E389" s="728">
        <f t="shared" si="127"/>
        <v>75</v>
      </c>
      <c r="F389" s="728">
        <f t="shared" si="128"/>
        <v>20.998851922769209</v>
      </c>
      <c r="G389" s="181">
        <f>432000000</f>
        <v>432000000</v>
      </c>
      <c r="H389" s="728">
        <f t="shared" si="129"/>
        <v>75</v>
      </c>
      <c r="I389" s="728">
        <f t="shared" si="130"/>
        <v>20.998851922769209</v>
      </c>
      <c r="J389" s="6">
        <f t="shared" si="131"/>
        <v>-144000000</v>
      </c>
      <c r="K389" s="313"/>
    </row>
    <row r="390" spans="1:11" s="725" customFormat="1" x14ac:dyDescent="0.2">
      <c r="A390" s="749" t="s">
        <v>234</v>
      </c>
      <c r="B390" s="133" t="s">
        <v>522</v>
      </c>
      <c r="C390" s="724">
        <v>10355328</v>
      </c>
      <c r="D390" s="820"/>
      <c r="E390" s="728"/>
      <c r="F390" s="728"/>
      <c r="G390" s="181">
        <f>10085658</f>
        <v>10085658</v>
      </c>
      <c r="H390" s="728"/>
      <c r="I390" s="728"/>
      <c r="J390" s="6">
        <f t="shared" si="131"/>
        <v>-269670</v>
      </c>
      <c r="K390" s="821"/>
    </row>
    <row r="391" spans="1:11" x14ac:dyDescent="0.25">
      <c r="A391" s="70"/>
      <c r="B391" s="129" t="s">
        <v>95</v>
      </c>
      <c r="C391" s="807">
        <f>SUM(C386:C390)</f>
        <v>2057255328</v>
      </c>
      <c r="D391" s="271">
        <f>SUM(D386:D389)</f>
        <v>99.496643520176605</v>
      </c>
      <c r="E391" s="134"/>
      <c r="F391" s="134"/>
      <c r="G391" s="181">
        <f>SUM(G386:G390)</f>
        <v>1572921258</v>
      </c>
      <c r="H391" s="134"/>
      <c r="I391" s="134"/>
      <c r="J391" s="734"/>
      <c r="K391" s="130"/>
    </row>
    <row r="392" spans="1:11" x14ac:dyDescent="0.25">
      <c r="A392" s="50"/>
      <c r="B392" s="5"/>
      <c r="C392" s="50"/>
      <c r="D392" s="9"/>
      <c r="E392" s="23"/>
      <c r="F392" s="23"/>
      <c r="G392" s="11"/>
      <c r="H392" s="23"/>
      <c r="I392" s="23"/>
      <c r="J392" s="9"/>
      <c r="K392" s="9"/>
    </row>
    <row r="393" spans="1:11" x14ac:dyDescent="0.25">
      <c r="A393" s="50"/>
      <c r="B393" s="5"/>
      <c r="C393" s="50"/>
      <c r="D393" s="9"/>
      <c r="E393" s="23"/>
      <c r="F393" s="23"/>
      <c r="G393" s="11"/>
      <c r="H393" s="23"/>
      <c r="I393" s="23"/>
      <c r="J393" s="9"/>
      <c r="K393" s="9"/>
    </row>
    <row r="394" spans="1:11" x14ac:dyDescent="0.25">
      <c r="A394" s="1139" t="s">
        <v>2</v>
      </c>
      <c r="B394" s="1142" t="s">
        <v>175</v>
      </c>
      <c r="C394" s="290"/>
      <c r="D394" s="1145" t="s">
        <v>5</v>
      </c>
      <c r="E394" s="1146"/>
      <c r="F394" s="1147"/>
      <c r="G394" s="1148" t="s">
        <v>6</v>
      </c>
      <c r="H394" s="1149"/>
      <c r="I394" s="1150"/>
      <c r="J394" s="1138" t="s">
        <v>7</v>
      </c>
      <c r="K394" s="198" t="s">
        <v>8</v>
      </c>
    </row>
    <row r="395" spans="1:11" x14ac:dyDescent="0.25">
      <c r="A395" s="1140"/>
      <c r="B395" s="1143"/>
      <c r="C395" s="929" t="s">
        <v>4</v>
      </c>
      <c r="D395" s="198" t="s">
        <v>9</v>
      </c>
      <c r="E395" s="310" t="s">
        <v>10</v>
      </c>
      <c r="F395" s="310" t="s">
        <v>11</v>
      </c>
      <c r="G395" s="194" t="s">
        <v>12</v>
      </c>
      <c r="H395" s="193" t="s">
        <v>13</v>
      </c>
      <c r="I395" s="193" t="s">
        <v>11</v>
      </c>
      <c r="J395" s="1151"/>
      <c r="K395" s="192"/>
    </row>
    <row r="396" spans="1:11" x14ac:dyDescent="0.25">
      <c r="A396" s="1141"/>
      <c r="B396" s="1144"/>
      <c r="C396" s="229"/>
      <c r="D396" s="197" t="s">
        <v>14</v>
      </c>
      <c r="E396" s="195" t="s">
        <v>14</v>
      </c>
      <c r="F396" s="195" t="s">
        <v>14</v>
      </c>
      <c r="G396" s="196" t="s">
        <v>15</v>
      </c>
      <c r="H396" s="195" t="s">
        <v>14</v>
      </c>
      <c r="I396" s="195" t="s">
        <v>14</v>
      </c>
      <c r="J396" s="197" t="s">
        <v>15</v>
      </c>
      <c r="K396" s="197"/>
    </row>
    <row r="397" spans="1:11" ht="25.5" x14ac:dyDescent="0.25">
      <c r="A397" s="321" t="s">
        <v>180</v>
      </c>
      <c r="B397" s="696" t="s">
        <v>379</v>
      </c>
      <c r="C397" s="291"/>
      <c r="D397" s="121"/>
      <c r="E397" s="122"/>
      <c r="F397" s="122"/>
      <c r="G397" s="123"/>
      <c r="H397" s="122"/>
      <c r="I397" s="122"/>
      <c r="J397" s="121"/>
      <c r="K397" s="121"/>
    </row>
    <row r="398" spans="1:11" ht="25.5" x14ac:dyDescent="0.25">
      <c r="A398" s="160" t="s">
        <v>181</v>
      </c>
      <c r="B398" s="697" t="s">
        <v>380</v>
      </c>
      <c r="C398" s="261">
        <f>SUM(C399:C418)</f>
        <v>293839000</v>
      </c>
      <c r="D398" s="161"/>
      <c r="E398" s="161"/>
      <c r="F398" s="161"/>
      <c r="G398" s="82"/>
      <c r="H398" s="161"/>
      <c r="I398" s="161"/>
      <c r="J398" s="162"/>
      <c r="K398" s="162"/>
    </row>
    <row r="399" spans="1:11" ht="25.5" x14ac:dyDescent="0.25">
      <c r="A399" s="314" t="s">
        <v>44</v>
      </c>
      <c r="B399" s="707" t="s">
        <v>384</v>
      </c>
      <c r="C399" s="262">
        <v>8580000</v>
      </c>
      <c r="D399" s="134">
        <f>C399/C398*100</f>
        <v>2.9199663761447598</v>
      </c>
      <c r="E399" s="134">
        <f t="shared" ref="E399:E410" si="132">G399/C399*100</f>
        <v>100</v>
      </c>
      <c r="F399" s="134">
        <f t="shared" ref="F399:F410" si="133">(D399*E399)/100</f>
        <v>2.9199663761447594</v>
      </c>
      <c r="G399" s="181">
        <f>8580000</f>
        <v>8580000</v>
      </c>
      <c r="H399" s="134">
        <f t="shared" ref="H399:H410" si="134">G399/C399*100</f>
        <v>100</v>
      </c>
      <c r="I399" s="134">
        <f t="shared" ref="I399:I410" si="135">(D399*H399)/100</f>
        <v>2.9199663761447594</v>
      </c>
      <c r="J399" s="6">
        <f t="shared" ref="J399:J418" si="136">G399-C399</f>
        <v>0</v>
      </c>
      <c r="K399" s="10"/>
    </row>
    <row r="400" spans="1:11" x14ac:dyDescent="0.25">
      <c r="A400" s="314" t="s">
        <v>448</v>
      </c>
      <c r="B400" s="707" t="s">
        <v>578</v>
      </c>
      <c r="C400" s="262">
        <v>1700000</v>
      </c>
      <c r="D400" s="134"/>
      <c r="E400" s="134"/>
      <c r="F400" s="134"/>
      <c r="G400" s="181">
        <f>510000</f>
        <v>510000</v>
      </c>
      <c r="H400" s="134"/>
      <c r="I400" s="134"/>
      <c r="J400" s="6">
        <f t="shared" si="136"/>
        <v>-1190000</v>
      </c>
      <c r="K400" s="10"/>
    </row>
    <row r="401" spans="1:11" x14ac:dyDescent="0.25">
      <c r="A401" s="314" t="s">
        <v>59</v>
      </c>
      <c r="B401" s="707" t="s">
        <v>197</v>
      </c>
      <c r="C401" s="262">
        <v>16992575</v>
      </c>
      <c r="D401" s="134">
        <f>C401/C398*100</f>
        <v>5.7829542708762283</v>
      </c>
      <c r="E401" s="134">
        <f t="shared" si="132"/>
        <v>35.30953960774044</v>
      </c>
      <c r="F401" s="134">
        <f t="shared" si="133"/>
        <v>2.041934528772559</v>
      </c>
      <c r="G401" s="181">
        <f>6000000</f>
        <v>6000000</v>
      </c>
      <c r="H401" s="134">
        <f t="shared" si="134"/>
        <v>35.30953960774044</v>
      </c>
      <c r="I401" s="134">
        <f t="shared" si="135"/>
        <v>2.041934528772559</v>
      </c>
      <c r="J401" s="6">
        <f t="shared" si="136"/>
        <v>-10992575</v>
      </c>
      <c r="K401" s="10"/>
    </row>
    <row r="402" spans="1:11" x14ac:dyDescent="0.25">
      <c r="A402" s="314" t="s">
        <v>62</v>
      </c>
      <c r="B402" s="707" t="s">
        <v>334</v>
      </c>
      <c r="C402" s="262">
        <v>11387825</v>
      </c>
      <c r="D402" s="134">
        <f>C402/C398*100</f>
        <v>3.8755321791865609</v>
      </c>
      <c r="E402" s="134">
        <f t="shared" si="132"/>
        <v>0</v>
      </c>
      <c r="F402" s="134">
        <f t="shared" si="133"/>
        <v>0</v>
      </c>
      <c r="G402" s="181">
        <v>0</v>
      </c>
      <c r="H402" s="134">
        <f t="shared" si="134"/>
        <v>0</v>
      </c>
      <c r="I402" s="134">
        <f t="shared" si="135"/>
        <v>0</v>
      </c>
      <c r="J402" s="6">
        <f t="shared" si="136"/>
        <v>-11387825</v>
      </c>
      <c r="K402" s="10"/>
    </row>
    <row r="403" spans="1:11" x14ac:dyDescent="0.25">
      <c r="A403" s="314" t="s">
        <v>148</v>
      </c>
      <c r="B403" s="133" t="s">
        <v>534</v>
      </c>
      <c r="C403" s="262">
        <v>8000000</v>
      </c>
      <c r="D403" s="134"/>
      <c r="E403" s="134"/>
      <c r="F403" s="134"/>
      <c r="G403" s="181">
        <f>8000000</f>
        <v>8000000</v>
      </c>
      <c r="H403" s="134"/>
      <c r="I403" s="134"/>
      <c r="J403" s="6">
        <f t="shared" si="136"/>
        <v>0</v>
      </c>
      <c r="K403" s="10"/>
    </row>
    <row r="404" spans="1:11" ht="25.5" x14ac:dyDescent="0.25">
      <c r="A404" s="314" t="s">
        <v>605</v>
      </c>
      <c r="B404" s="133" t="s">
        <v>604</v>
      </c>
      <c r="C404" s="262">
        <v>26000000</v>
      </c>
      <c r="D404" s="134"/>
      <c r="E404" s="134"/>
      <c r="F404" s="134"/>
      <c r="G404" s="181">
        <f>4000000</f>
        <v>4000000</v>
      </c>
      <c r="H404" s="134"/>
      <c r="I404" s="134"/>
      <c r="J404" s="6"/>
      <c r="K404" s="10"/>
    </row>
    <row r="405" spans="1:11" x14ac:dyDescent="0.25">
      <c r="A405" s="314" t="s">
        <v>579</v>
      </c>
      <c r="B405" s="133" t="s">
        <v>580</v>
      </c>
      <c r="C405" s="262">
        <v>12350000</v>
      </c>
      <c r="D405" s="134"/>
      <c r="E405" s="134"/>
      <c r="F405" s="134"/>
      <c r="G405" s="181"/>
      <c r="H405" s="134"/>
      <c r="I405" s="134"/>
      <c r="J405" s="6"/>
      <c r="K405" s="10"/>
    </row>
    <row r="406" spans="1:11" x14ac:dyDescent="0.25">
      <c r="A406" s="314" t="s">
        <v>194</v>
      </c>
      <c r="B406" s="49" t="s">
        <v>139</v>
      </c>
      <c r="C406" s="263">
        <v>58590000</v>
      </c>
      <c r="D406" s="134">
        <f>C406/C398*100</f>
        <v>19.939490673464039</v>
      </c>
      <c r="E406" s="134">
        <f t="shared" si="132"/>
        <v>59.720088752346811</v>
      </c>
      <c r="F406" s="134">
        <f t="shared" si="133"/>
        <v>11.90788152695864</v>
      </c>
      <c r="G406" s="181">
        <f>34990000</f>
        <v>34990000</v>
      </c>
      <c r="H406" s="134">
        <f t="shared" si="134"/>
        <v>59.720088752346811</v>
      </c>
      <c r="I406" s="134">
        <f t="shared" si="135"/>
        <v>11.90788152695864</v>
      </c>
      <c r="J406" s="6">
        <f t="shared" si="136"/>
        <v>-23600000</v>
      </c>
      <c r="K406" s="10"/>
    </row>
    <row r="407" spans="1:11" x14ac:dyDescent="0.25">
      <c r="A407" s="314" t="s">
        <v>183</v>
      </c>
      <c r="B407" s="49" t="s">
        <v>417</v>
      </c>
      <c r="C407" s="263">
        <v>22850000</v>
      </c>
      <c r="D407" s="134"/>
      <c r="E407" s="134">
        <f t="shared" si="132"/>
        <v>19.693654266958426</v>
      </c>
      <c r="F407" s="134"/>
      <c r="G407" s="181">
        <f>4500000</f>
        <v>4500000</v>
      </c>
      <c r="H407" s="134">
        <f t="shared" si="134"/>
        <v>19.693654266958426</v>
      </c>
      <c r="I407" s="134"/>
      <c r="J407" s="6">
        <f t="shared" si="136"/>
        <v>-18350000</v>
      </c>
      <c r="K407" s="10"/>
    </row>
    <row r="408" spans="1:11" x14ac:dyDescent="0.25">
      <c r="A408" s="322" t="s">
        <v>195</v>
      </c>
      <c r="B408" s="170" t="s">
        <v>179</v>
      </c>
      <c r="C408" s="178">
        <v>24500000</v>
      </c>
      <c r="D408" s="134">
        <f>C408/C398*100</f>
        <v>8.337899325821283</v>
      </c>
      <c r="E408" s="134">
        <f t="shared" si="132"/>
        <v>100</v>
      </c>
      <c r="F408" s="134">
        <f t="shared" si="133"/>
        <v>8.337899325821283</v>
      </c>
      <c r="G408" s="181">
        <f>24500000</f>
        <v>24500000</v>
      </c>
      <c r="H408" s="134">
        <f t="shared" si="134"/>
        <v>100</v>
      </c>
      <c r="I408" s="134">
        <f t="shared" si="135"/>
        <v>8.337899325821283</v>
      </c>
      <c r="J408" s="6">
        <f t="shared" si="136"/>
        <v>0</v>
      </c>
      <c r="K408" s="10"/>
    </row>
    <row r="409" spans="1:11" x14ac:dyDescent="0.25">
      <c r="A409" s="322" t="s">
        <v>62</v>
      </c>
      <c r="B409" s="170" t="s">
        <v>418</v>
      </c>
      <c r="C409" s="178">
        <v>7500000</v>
      </c>
      <c r="D409" s="134"/>
      <c r="E409" s="134"/>
      <c r="F409" s="134"/>
      <c r="G409" s="181">
        <f>7500000</f>
        <v>7500000</v>
      </c>
      <c r="H409" s="134"/>
      <c r="I409" s="134"/>
      <c r="J409" s="6">
        <f t="shared" si="136"/>
        <v>0</v>
      </c>
      <c r="K409" s="10"/>
    </row>
    <row r="410" spans="1:11" ht="25.5" x14ac:dyDescent="0.25">
      <c r="A410" s="314" t="s">
        <v>106</v>
      </c>
      <c r="B410" s="316" t="s">
        <v>375</v>
      </c>
      <c r="C410" s="263">
        <v>26650000</v>
      </c>
      <c r="D410" s="134">
        <f>C410/C398*100</f>
        <v>9.0695925319647834</v>
      </c>
      <c r="E410" s="134">
        <f t="shared" si="132"/>
        <v>62.476547842401494</v>
      </c>
      <c r="F410" s="134">
        <f t="shared" si="133"/>
        <v>5.6663683173438502</v>
      </c>
      <c r="G410" s="181">
        <f>16650000</f>
        <v>16650000</v>
      </c>
      <c r="H410" s="134">
        <f t="shared" si="134"/>
        <v>62.476547842401494</v>
      </c>
      <c r="I410" s="134">
        <f t="shared" si="135"/>
        <v>5.6663683173438502</v>
      </c>
      <c r="J410" s="6">
        <f t="shared" si="136"/>
        <v>-10000000</v>
      </c>
      <c r="K410" s="10"/>
    </row>
    <row r="411" spans="1:11" x14ac:dyDescent="0.25">
      <c r="A411" s="745" t="s">
        <v>162</v>
      </c>
      <c r="B411" s="746" t="s">
        <v>538</v>
      </c>
      <c r="C411" s="263">
        <v>3000000</v>
      </c>
      <c r="D411" s="134"/>
      <c r="E411" s="134"/>
      <c r="F411" s="134"/>
      <c r="G411" s="181">
        <f>3000000</f>
        <v>3000000</v>
      </c>
      <c r="H411" s="134"/>
      <c r="I411" s="134"/>
      <c r="J411" s="6">
        <f t="shared" si="136"/>
        <v>0</v>
      </c>
      <c r="K411" s="10"/>
    </row>
    <row r="412" spans="1:11" x14ac:dyDescent="0.25">
      <c r="A412" s="745" t="s">
        <v>521</v>
      </c>
      <c r="B412" s="746" t="s">
        <v>539</v>
      </c>
      <c r="C412" s="263">
        <v>3000000</v>
      </c>
      <c r="D412" s="134"/>
      <c r="E412" s="134"/>
      <c r="F412" s="134"/>
      <c r="G412" s="181">
        <f>3000000</f>
        <v>3000000</v>
      </c>
      <c r="H412" s="134"/>
      <c r="I412" s="134"/>
      <c r="J412" s="6">
        <f t="shared" si="136"/>
        <v>0</v>
      </c>
      <c r="K412" s="10"/>
    </row>
    <row r="413" spans="1:11" ht="25.5" x14ac:dyDescent="0.25">
      <c r="A413" s="745" t="s">
        <v>116</v>
      </c>
      <c r="B413" s="316" t="s">
        <v>420</v>
      </c>
      <c r="C413" s="263">
        <v>5838600</v>
      </c>
      <c r="D413" s="134"/>
      <c r="E413" s="134"/>
      <c r="F413" s="134"/>
      <c r="G413" s="181">
        <f>3000000</f>
        <v>3000000</v>
      </c>
      <c r="H413" s="134"/>
      <c r="I413" s="134"/>
      <c r="J413" s="6">
        <f t="shared" si="136"/>
        <v>-2838600</v>
      </c>
      <c r="K413" s="10"/>
    </row>
    <row r="414" spans="1:11" x14ac:dyDescent="0.25">
      <c r="A414" s="745" t="s">
        <v>65</v>
      </c>
      <c r="B414" s="754" t="s">
        <v>190</v>
      </c>
      <c r="C414" s="263">
        <v>7000000</v>
      </c>
      <c r="D414" s="134"/>
      <c r="E414" s="134"/>
      <c r="F414" s="134"/>
      <c r="G414" s="181">
        <f>6932360</f>
        <v>6932360</v>
      </c>
      <c r="H414" s="134"/>
      <c r="I414" s="134"/>
      <c r="J414" s="6">
        <f t="shared" si="136"/>
        <v>-67640</v>
      </c>
      <c r="K414" s="10"/>
    </row>
    <row r="415" spans="1:11" x14ac:dyDescent="0.25">
      <c r="A415" s="745" t="s">
        <v>400</v>
      </c>
      <c r="B415" s="754" t="s">
        <v>401</v>
      </c>
      <c r="C415" s="263">
        <v>7000000</v>
      </c>
      <c r="D415" s="134"/>
      <c r="E415" s="134"/>
      <c r="F415" s="134"/>
      <c r="G415" s="181">
        <f>7000000</f>
        <v>7000000</v>
      </c>
      <c r="H415" s="134"/>
      <c r="I415" s="134"/>
      <c r="J415" s="6">
        <f t="shared" si="136"/>
        <v>0</v>
      </c>
      <c r="K415" s="10"/>
    </row>
    <row r="416" spans="1:11" x14ac:dyDescent="0.25">
      <c r="A416" s="745" t="s">
        <v>584</v>
      </c>
      <c r="B416" s="926" t="s">
        <v>583</v>
      </c>
      <c r="C416" s="263">
        <v>17500000</v>
      </c>
      <c r="D416" s="134"/>
      <c r="E416" s="134"/>
      <c r="F416" s="134"/>
      <c r="G416" s="181">
        <f>17500000</f>
        <v>17500000</v>
      </c>
      <c r="H416" s="134"/>
      <c r="I416" s="134"/>
      <c r="J416" s="6"/>
      <c r="K416" s="10"/>
    </row>
    <row r="417" spans="1:14" x14ac:dyDescent="0.25">
      <c r="A417" s="745" t="s">
        <v>301</v>
      </c>
      <c r="B417" s="746" t="s">
        <v>409</v>
      </c>
      <c r="C417" s="263">
        <v>20400000</v>
      </c>
      <c r="D417" s="134">
        <f>C417/C399*100</f>
        <v>237.76223776223776</v>
      </c>
      <c r="E417" s="134"/>
      <c r="F417" s="134"/>
      <c r="G417" s="181">
        <f>20400000</f>
        <v>20400000</v>
      </c>
      <c r="H417" s="134"/>
      <c r="I417" s="134"/>
      <c r="J417" s="6">
        <f t="shared" si="136"/>
        <v>0</v>
      </c>
      <c r="K417" s="10"/>
    </row>
    <row r="418" spans="1:14" x14ac:dyDescent="0.25">
      <c r="A418" s="745" t="s">
        <v>275</v>
      </c>
      <c r="B418" s="316" t="s">
        <v>543</v>
      </c>
      <c r="C418" s="263">
        <v>5000000</v>
      </c>
      <c r="D418" s="134"/>
      <c r="E418" s="134"/>
      <c r="F418" s="134"/>
      <c r="G418" s="181">
        <f>5000000</f>
        <v>5000000</v>
      </c>
      <c r="H418" s="134"/>
      <c r="I418" s="134"/>
      <c r="J418" s="6">
        <f t="shared" si="136"/>
        <v>0</v>
      </c>
      <c r="K418" s="10"/>
    </row>
    <row r="419" spans="1:14" x14ac:dyDescent="0.25">
      <c r="A419" s="1152" t="s">
        <v>95</v>
      </c>
      <c r="B419" s="1154"/>
      <c r="C419" s="822">
        <f>SUM(C399:C418)</f>
        <v>293839000</v>
      </c>
      <c r="D419" s="12">
        <f>SUM(D399:D410)</f>
        <v>49.925435357457658</v>
      </c>
      <c r="E419" s="134"/>
      <c r="F419" s="134"/>
      <c r="G419" s="837">
        <f>SUM(G399:G418)</f>
        <v>181062360</v>
      </c>
      <c r="H419" s="134"/>
      <c r="I419" s="134"/>
      <c r="J419" s="56">
        <v>0</v>
      </c>
      <c r="K419" s="3">
        <v>0</v>
      </c>
    </row>
    <row r="420" spans="1:14" x14ac:dyDescent="0.25">
      <c r="A420" s="5"/>
      <c r="B420" s="5"/>
      <c r="C420" s="5"/>
      <c r="D420" s="29"/>
      <c r="E420" s="30"/>
      <c r="F420" s="31"/>
      <c r="G420" s="36"/>
      <c r="H420" s="32"/>
      <c r="I420" s="31"/>
      <c r="J420" s="36"/>
      <c r="K420" s="37"/>
    </row>
    <row r="421" spans="1:14" ht="31.5" x14ac:dyDescent="0.25">
      <c r="A421" s="55"/>
      <c r="B421" s="46" t="s">
        <v>145</v>
      </c>
      <c r="C421" s="155"/>
      <c r="D421" s="44"/>
      <c r="E421" s="45"/>
      <c r="F421" s="45"/>
      <c r="G421" s="48"/>
      <c r="H421" s="45"/>
      <c r="I421" s="45"/>
      <c r="J421" s="44"/>
      <c r="K421" s="44"/>
      <c r="L421" s="1"/>
      <c r="M421" s="1"/>
      <c r="N421" s="1"/>
    </row>
    <row r="422" spans="1:14" x14ac:dyDescent="0.25">
      <c r="A422" s="1133" t="s">
        <v>2</v>
      </c>
      <c r="B422" s="1134" t="s">
        <v>175</v>
      </c>
      <c r="C422" s="1133" t="s">
        <v>4</v>
      </c>
      <c r="D422" s="1135" t="s">
        <v>5</v>
      </c>
      <c r="E422" s="1136"/>
      <c r="F422" s="1136"/>
      <c r="G422" s="1137" t="s">
        <v>6</v>
      </c>
      <c r="H422" s="1136"/>
      <c r="I422" s="1136"/>
      <c r="J422" s="1133" t="s">
        <v>7</v>
      </c>
      <c r="K422" s="198" t="s">
        <v>8</v>
      </c>
    </row>
    <row r="423" spans="1:14" x14ac:dyDescent="0.25">
      <c r="A423" s="1133"/>
      <c r="B423" s="1134"/>
      <c r="C423" s="1133"/>
      <c r="D423" s="198" t="s">
        <v>9</v>
      </c>
      <c r="E423" s="310" t="s">
        <v>10</v>
      </c>
      <c r="F423" s="310" t="s">
        <v>11</v>
      </c>
      <c r="G423" s="311" t="s">
        <v>12</v>
      </c>
      <c r="H423" s="310" t="s">
        <v>13</v>
      </c>
      <c r="I423" s="310" t="s">
        <v>11</v>
      </c>
      <c r="J423" s="1138"/>
      <c r="K423" s="192"/>
    </row>
    <row r="424" spans="1:14" x14ac:dyDescent="0.25">
      <c r="A424" s="1133"/>
      <c r="B424" s="1134"/>
      <c r="C424" s="1133"/>
      <c r="D424" s="197" t="s">
        <v>14</v>
      </c>
      <c r="E424" s="195" t="s">
        <v>14</v>
      </c>
      <c r="F424" s="195" t="s">
        <v>14</v>
      </c>
      <c r="G424" s="196" t="s">
        <v>15</v>
      </c>
      <c r="H424" s="195" t="s">
        <v>14</v>
      </c>
      <c r="I424" s="195" t="s">
        <v>14</v>
      </c>
      <c r="J424" s="197" t="s">
        <v>15</v>
      </c>
      <c r="K424" s="197"/>
    </row>
    <row r="425" spans="1:14" x14ac:dyDescent="0.25">
      <c r="A425" s="79" t="s">
        <v>185</v>
      </c>
      <c r="B425" s="199" t="s">
        <v>146</v>
      </c>
      <c r="C425" s="24"/>
      <c r="D425" s="10"/>
      <c r="E425" s="34"/>
      <c r="F425" s="34"/>
      <c r="G425" s="6"/>
      <c r="H425" s="34"/>
      <c r="I425" s="34"/>
      <c r="J425" s="10"/>
      <c r="K425" s="10"/>
    </row>
    <row r="426" spans="1:14" x14ac:dyDescent="0.25">
      <c r="A426" s="125" t="s">
        <v>184</v>
      </c>
      <c r="B426" s="280" t="s">
        <v>147</v>
      </c>
      <c r="C426" s="252">
        <f>SUM(C427:C428)</f>
        <v>1430900000</v>
      </c>
      <c r="D426" s="10"/>
      <c r="E426" s="34"/>
      <c r="F426" s="34"/>
      <c r="G426" s="6"/>
      <c r="H426" s="34"/>
      <c r="I426" s="34"/>
      <c r="J426" s="10"/>
      <c r="K426" s="10"/>
    </row>
    <row r="427" spans="1:14" ht="25.5" x14ac:dyDescent="0.25">
      <c r="A427" s="154" t="s">
        <v>44</v>
      </c>
      <c r="B427" s="707" t="s">
        <v>384</v>
      </c>
      <c r="C427" s="253">
        <v>30900000</v>
      </c>
      <c r="D427" s="134">
        <f>C427/C426*100</f>
        <v>2.1594800475225382</v>
      </c>
      <c r="E427" s="134">
        <f t="shared" ref="E427:E428" si="137">G427/C427*100</f>
        <v>65.4368932038835</v>
      </c>
      <c r="F427" s="134">
        <f t="shared" ref="F427:F428" si="138">(D427*E427)/100</f>
        <v>1.4130966524564961</v>
      </c>
      <c r="G427" s="181">
        <f>20220000</f>
        <v>20220000</v>
      </c>
      <c r="H427" s="134">
        <f t="shared" ref="H427:H428" si="139">G427/C427*100</f>
        <v>65.4368932038835</v>
      </c>
      <c r="I427" s="134">
        <f t="shared" ref="I427:I428" si="140">(D427*H427)/100</f>
        <v>1.4130966524564961</v>
      </c>
      <c r="J427" s="6">
        <f t="shared" ref="J427:J428" si="141">G427-C427</f>
        <v>-10680000</v>
      </c>
      <c r="K427" s="10"/>
    </row>
    <row r="428" spans="1:14" x14ac:dyDescent="0.25">
      <c r="A428" s="124" t="s">
        <v>148</v>
      </c>
      <c r="B428" s="133" t="s">
        <v>534</v>
      </c>
      <c r="C428" s="256">
        <v>1400000000</v>
      </c>
      <c r="D428" s="134">
        <f>C428/C426*100</f>
        <v>97.840519952477464</v>
      </c>
      <c r="E428" s="134">
        <f t="shared" si="137"/>
        <v>99.555000000000007</v>
      </c>
      <c r="F428" s="134">
        <f t="shared" si="138"/>
        <v>97.405129638688948</v>
      </c>
      <c r="G428" s="181">
        <f>425559463+968210537</f>
        <v>1393770000</v>
      </c>
      <c r="H428" s="134">
        <f t="shared" si="139"/>
        <v>99.555000000000007</v>
      </c>
      <c r="I428" s="134">
        <f t="shared" si="140"/>
        <v>97.405129638688948</v>
      </c>
      <c r="J428" s="6">
        <f t="shared" si="141"/>
        <v>-6230000</v>
      </c>
      <c r="K428" s="10"/>
    </row>
    <row r="429" spans="1:14" x14ac:dyDescent="0.25">
      <c r="A429" s="70"/>
      <c r="B429" s="129" t="s">
        <v>95</v>
      </c>
      <c r="C429" s="807">
        <f>SUM(C427:C428)</f>
        <v>1430900000</v>
      </c>
      <c r="D429" s="271">
        <f>SUM(D427:D428)</f>
        <v>100</v>
      </c>
      <c r="E429" s="134"/>
      <c r="F429" s="134"/>
      <c r="G429" s="181">
        <f>SUM(G427:G428)</f>
        <v>1413990000</v>
      </c>
      <c r="H429" s="134"/>
      <c r="I429" s="134"/>
      <c r="J429" s="56">
        <v>0</v>
      </c>
      <c r="K429" s="130"/>
    </row>
    <row r="430" spans="1:14" x14ac:dyDescent="0.25">
      <c r="A430" s="5"/>
      <c r="B430" s="5"/>
      <c r="C430" s="5"/>
      <c r="D430" s="29"/>
      <c r="E430" s="30"/>
      <c r="F430" s="31"/>
      <c r="G430" s="36"/>
      <c r="H430" s="32"/>
      <c r="I430" s="31"/>
      <c r="J430" s="36"/>
      <c r="K430" s="37"/>
    </row>
    <row r="431" spans="1:14" x14ac:dyDescent="0.25">
      <c r="A431" s="1133" t="s">
        <v>2</v>
      </c>
      <c r="B431" s="1134" t="s">
        <v>175</v>
      </c>
      <c r="C431" s="1133" t="s">
        <v>4</v>
      </c>
      <c r="D431" s="1135" t="s">
        <v>5</v>
      </c>
      <c r="E431" s="1136"/>
      <c r="F431" s="1136"/>
      <c r="G431" s="1137" t="s">
        <v>6</v>
      </c>
      <c r="H431" s="1136"/>
      <c r="I431" s="1136"/>
      <c r="J431" s="1133" t="s">
        <v>7</v>
      </c>
      <c r="K431" s="198" t="s">
        <v>8</v>
      </c>
    </row>
    <row r="432" spans="1:14" x14ac:dyDescent="0.25">
      <c r="A432" s="1133"/>
      <c r="B432" s="1134"/>
      <c r="C432" s="1133"/>
      <c r="D432" s="198" t="s">
        <v>9</v>
      </c>
      <c r="E432" s="310" t="s">
        <v>10</v>
      </c>
      <c r="F432" s="310" t="s">
        <v>11</v>
      </c>
      <c r="G432" s="311" t="s">
        <v>12</v>
      </c>
      <c r="H432" s="310" t="s">
        <v>13</v>
      </c>
      <c r="I432" s="310" t="s">
        <v>11</v>
      </c>
      <c r="J432" s="1138"/>
      <c r="K432" s="192"/>
    </row>
    <row r="433" spans="1:14" x14ac:dyDescent="0.25">
      <c r="A433" s="1133"/>
      <c r="B433" s="1134"/>
      <c r="C433" s="1133"/>
      <c r="D433" s="197" t="s">
        <v>14</v>
      </c>
      <c r="E433" s="195" t="s">
        <v>14</v>
      </c>
      <c r="F433" s="195" t="s">
        <v>14</v>
      </c>
      <c r="G433" s="196" t="s">
        <v>15</v>
      </c>
      <c r="H433" s="195" t="s">
        <v>14</v>
      </c>
      <c r="I433" s="195" t="s">
        <v>14</v>
      </c>
      <c r="J433" s="197" t="s">
        <v>15</v>
      </c>
      <c r="K433" s="197"/>
    </row>
    <row r="434" spans="1:14" x14ac:dyDescent="0.25">
      <c r="A434" s="79" t="s">
        <v>185</v>
      </c>
      <c r="B434" s="199" t="s">
        <v>146</v>
      </c>
      <c r="C434" s="24"/>
      <c r="D434" s="10"/>
      <c r="E434" s="34"/>
      <c r="F434" s="34"/>
      <c r="G434" s="6"/>
      <c r="H434" s="34"/>
      <c r="I434" s="34"/>
      <c r="J434" s="10"/>
      <c r="K434" s="10"/>
    </row>
    <row r="435" spans="1:14" x14ac:dyDescent="0.25">
      <c r="A435" s="125" t="s">
        <v>187</v>
      </c>
      <c r="B435" s="280" t="s">
        <v>156</v>
      </c>
      <c r="C435" s="252">
        <f>SUM(C436:C439)</f>
        <v>870474720</v>
      </c>
      <c r="D435" s="10"/>
      <c r="E435" s="14"/>
      <c r="F435" s="34"/>
      <c r="G435" s="6"/>
      <c r="H435" s="34"/>
      <c r="I435" s="34"/>
      <c r="J435" s="35"/>
      <c r="K435" s="10"/>
    </row>
    <row r="436" spans="1:14" ht="25.5" x14ac:dyDescent="0.25">
      <c r="A436" s="49" t="s">
        <v>59</v>
      </c>
      <c r="B436" s="707" t="s">
        <v>384</v>
      </c>
      <c r="C436" s="256">
        <v>26160000</v>
      </c>
      <c r="D436" s="34">
        <f>C436/C435*100</f>
        <v>3.0052567178516112</v>
      </c>
      <c r="E436" s="134">
        <f t="shared" ref="E436:E438" si="142">G436/C436*100</f>
        <v>65.481651376146786</v>
      </c>
      <c r="F436" s="134">
        <f t="shared" ref="F436:F438" si="143">(D436*E436)/100</f>
        <v>1.9678917269418232</v>
      </c>
      <c r="G436" s="181">
        <f>17130000</f>
        <v>17130000</v>
      </c>
      <c r="H436" s="134">
        <f t="shared" ref="H436:H438" si="144">G436/C436*100</f>
        <v>65.481651376146786</v>
      </c>
      <c r="I436" s="134">
        <f t="shared" ref="I436:I438" si="145">(D436*H436)/100</f>
        <v>1.9678917269418232</v>
      </c>
      <c r="J436" s="6">
        <f t="shared" ref="J436:J439" si="146">G436-C436</f>
        <v>-9030000</v>
      </c>
      <c r="K436" s="10"/>
    </row>
    <row r="437" spans="1:14" x14ac:dyDescent="0.25">
      <c r="A437" s="49" t="s">
        <v>148</v>
      </c>
      <c r="B437" s="133" t="s">
        <v>534</v>
      </c>
      <c r="C437" s="264">
        <v>600000000</v>
      </c>
      <c r="D437" s="134">
        <f>C437/C435*100</f>
        <v>68.927906372743365</v>
      </c>
      <c r="E437" s="134">
        <f t="shared" si="142"/>
        <v>90.858233333333345</v>
      </c>
      <c r="F437" s="134">
        <f t="shared" si="143"/>
        <v>62.62667800392871</v>
      </c>
      <c r="G437" s="181">
        <f>532899400+12250000</f>
        <v>545149400</v>
      </c>
      <c r="H437" s="134">
        <f t="shared" si="144"/>
        <v>90.858233333333345</v>
      </c>
      <c r="I437" s="134">
        <f t="shared" si="145"/>
        <v>62.62667800392871</v>
      </c>
      <c r="J437" s="6">
        <f t="shared" si="146"/>
        <v>-54850600</v>
      </c>
      <c r="K437" s="3"/>
    </row>
    <row r="438" spans="1:14" s="84" customFormat="1" ht="25.5" x14ac:dyDescent="0.2">
      <c r="A438" s="723" t="s">
        <v>152</v>
      </c>
      <c r="B438" s="133" t="s">
        <v>153</v>
      </c>
      <c r="C438" s="264">
        <v>240000000</v>
      </c>
      <c r="D438" s="134">
        <f>C438/C435*100</f>
        <v>27.571162549097352</v>
      </c>
      <c r="E438" s="134">
        <f t="shared" si="142"/>
        <v>83.333333333333343</v>
      </c>
      <c r="F438" s="134">
        <f t="shared" si="143"/>
        <v>22.975968790914461</v>
      </c>
      <c r="G438" s="181">
        <f>200000000</f>
        <v>200000000</v>
      </c>
      <c r="H438" s="134">
        <f t="shared" si="144"/>
        <v>83.333333333333343</v>
      </c>
      <c r="I438" s="134">
        <f t="shared" si="145"/>
        <v>22.975968790914461</v>
      </c>
      <c r="J438" s="6">
        <f t="shared" si="146"/>
        <v>-40000000</v>
      </c>
      <c r="K438" s="85"/>
    </row>
    <row r="439" spans="1:14" s="84" customFormat="1" x14ac:dyDescent="0.2">
      <c r="A439" s="749" t="s">
        <v>234</v>
      </c>
      <c r="B439" s="133" t="s">
        <v>522</v>
      </c>
      <c r="C439" s="264">
        <v>4314720</v>
      </c>
      <c r="D439" s="804"/>
      <c r="E439" s="134"/>
      <c r="F439" s="134"/>
      <c r="G439" s="181">
        <f>4314720</f>
        <v>4314720</v>
      </c>
      <c r="H439" s="134"/>
      <c r="I439" s="134"/>
      <c r="J439" s="6">
        <f t="shared" si="146"/>
        <v>0</v>
      </c>
      <c r="K439" s="823"/>
    </row>
    <row r="440" spans="1:14" x14ac:dyDescent="0.25">
      <c r="A440" s="73"/>
      <c r="B440" s="136" t="s">
        <v>154</v>
      </c>
      <c r="C440" s="824">
        <f>SUM(C436:C439)</f>
        <v>870474720</v>
      </c>
      <c r="D440" s="272">
        <f>SUM(D436:D438)</f>
        <v>99.504325639692325</v>
      </c>
      <c r="E440" s="134"/>
      <c r="F440" s="134"/>
      <c r="G440" s="181">
        <f>SUM(G436:G439)</f>
        <v>766594120</v>
      </c>
      <c r="H440" s="134"/>
      <c r="I440" s="134"/>
      <c r="J440" s="56">
        <v>0</v>
      </c>
      <c r="K440" s="40"/>
    </row>
    <row r="441" spans="1:14" x14ac:dyDescent="0.25">
      <c r="A441" s="50"/>
      <c r="B441" s="5"/>
      <c r="C441" s="50" t="s">
        <v>141</v>
      </c>
      <c r="D441" s="9"/>
      <c r="E441" s="23"/>
      <c r="F441" s="23"/>
      <c r="G441" s="11"/>
      <c r="H441" s="23"/>
      <c r="I441" s="23"/>
      <c r="J441" s="9"/>
      <c r="K441" s="9"/>
    </row>
    <row r="442" spans="1:14" x14ac:dyDescent="0.25">
      <c r="A442" s="50"/>
      <c r="B442" s="5"/>
      <c r="C442" s="50"/>
      <c r="D442" s="9"/>
      <c r="E442" s="23"/>
      <c r="F442" s="23"/>
      <c r="G442" s="11"/>
      <c r="H442" s="23"/>
      <c r="I442" s="23"/>
      <c r="J442" s="9"/>
      <c r="K442" s="9"/>
    </row>
    <row r="443" spans="1:14" x14ac:dyDescent="0.25">
      <c r="A443" s="1123" t="s">
        <v>2</v>
      </c>
      <c r="B443" s="1126" t="s">
        <v>171</v>
      </c>
      <c r="C443" s="1123" t="s">
        <v>4</v>
      </c>
      <c r="D443" s="1155" t="s">
        <v>5</v>
      </c>
      <c r="E443" s="1156"/>
      <c r="F443" s="1157"/>
      <c r="G443" s="1158" t="s">
        <v>6</v>
      </c>
      <c r="H443" s="1159"/>
      <c r="I443" s="1160"/>
      <c r="J443" s="1123" t="s">
        <v>7</v>
      </c>
      <c r="K443" s="289" t="s">
        <v>8</v>
      </c>
    </row>
    <row r="444" spans="1:14" x14ac:dyDescent="0.25">
      <c r="A444" s="1124"/>
      <c r="B444" s="1127"/>
      <c r="C444" s="1124"/>
      <c r="D444" s="289" t="s">
        <v>9</v>
      </c>
      <c r="E444" s="308" t="s">
        <v>10</v>
      </c>
      <c r="F444" s="308" t="s">
        <v>11</v>
      </c>
      <c r="G444" s="309" t="s">
        <v>12</v>
      </c>
      <c r="H444" s="308" t="s">
        <v>13</v>
      </c>
      <c r="I444" s="308" t="s">
        <v>11</v>
      </c>
      <c r="J444" s="1124"/>
      <c r="K444" s="115"/>
    </row>
    <row r="445" spans="1:14" x14ac:dyDescent="0.25">
      <c r="A445" s="1125"/>
      <c r="B445" s="1128"/>
      <c r="C445" s="1125"/>
      <c r="D445" s="118" t="s">
        <v>14</v>
      </c>
      <c r="E445" s="119" t="s">
        <v>14</v>
      </c>
      <c r="F445" s="119" t="s">
        <v>14</v>
      </c>
      <c r="G445" s="120" t="s">
        <v>15</v>
      </c>
      <c r="H445" s="119" t="s">
        <v>14</v>
      </c>
      <c r="I445" s="119" t="s">
        <v>14</v>
      </c>
      <c r="J445" s="118" t="s">
        <v>15</v>
      </c>
      <c r="K445" s="118"/>
    </row>
    <row r="446" spans="1:14" ht="25.5" x14ac:dyDescent="0.25">
      <c r="A446" s="79" t="s">
        <v>180</v>
      </c>
      <c r="B446" s="696" t="s">
        <v>379</v>
      </c>
      <c r="C446" s="128"/>
      <c r="D446" s="10"/>
      <c r="E446" s="34"/>
      <c r="F446" s="34"/>
      <c r="G446" s="6"/>
      <c r="H446" s="34"/>
      <c r="I446" s="34"/>
      <c r="J446" s="10"/>
      <c r="K446" s="10"/>
    </row>
    <row r="447" spans="1:14" ht="25.5" x14ac:dyDescent="0.25">
      <c r="A447" s="158" t="s">
        <v>181</v>
      </c>
      <c r="B447" s="697" t="s">
        <v>380</v>
      </c>
      <c r="C447" s="265">
        <f>SUM(C448:C464)</f>
        <v>235000000</v>
      </c>
      <c r="D447" s="10"/>
      <c r="E447" s="34"/>
      <c r="F447" s="34"/>
      <c r="G447" s="6"/>
      <c r="H447" s="34"/>
      <c r="I447" s="34"/>
      <c r="J447" s="10"/>
      <c r="K447" s="10"/>
    </row>
    <row r="448" spans="1:14" ht="25.5" x14ac:dyDescent="0.25">
      <c r="A448" s="74" t="s">
        <v>44</v>
      </c>
      <c r="B448" s="707" t="s">
        <v>384</v>
      </c>
      <c r="C448" s="266">
        <v>8580000</v>
      </c>
      <c r="D448" s="134">
        <f>C448/C447*100</f>
        <v>3.6510638297872342</v>
      </c>
      <c r="E448" s="134">
        <f t="shared" ref="E448:E458" si="147">G448/C448*100</f>
        <v>100</v>
      </c>
      <c r="F448" s="134">
        <f t="shared" ref="F448:F458" si="148">(D448*E448)/100</f>
        <v>3.6510638297872346</v>
      </c>
      <c r="G448" s="181">
        <f>8580000</f>
        <v>8580000</v>
      </c>
      <c r="H448" s="134">
        <f t="shared" ref="H448:H458" si="149">G448/C448*100</f>
        <v>100</v>
      </c>
      <c r="I448" s="134">
        <f t="shared" ref="I448:I458" si="150">(D448*H448)/100</f>
        <v>3.6510638297872346</v>
      </c>
      <c r="J448" s="6">
        <f t="shared" ref="J448:J461" si="151">G448-C448</f>
        <v>0</v>
      </c>
      <c r="K448" s="10"/>
      <c r="L448" s="1"/>
      <c r="M448" s="1"/>
      <c r="N448" s="25"/>
    </row>
    <row r="449" spans="1:14" x14ac:dyDescent="0.25">
      <c r="A449" s="74" t="s">
        <v>448</v>
      </c>
      <c r="B449" s="707" t="s">
        <v>578</v>
      </c>
      <c r="C449" s="266">
        <v>510000</v>
      </c>
      <c r="D449" s="134"/>
      <c r="E449" s="134"/>
      <c r="F449" s="134"/>
      <c r="G449" s="181"/>
      <c r="H449" s="134"/>
      <c r="I449" s="134"/>
      <c r="J449" s="6"/>
      <c r="K449" s="10"/>
      <c r="L449" s="1"/>
      <c r="M449" s="1"/>
      <c r="N449" s="25"/>
    </row>
    <row r="450" spans="1:14" x14ac:dyDescent="0.25">
      <c r="A450" s="74" t="s">
        <v>59</v>
      </c>
      <c r="B450" s="707" t="s">
        <v>197</v>
      </c>
      <c r="C450" s="266">
        <v>14570000</v>
      </c>
      <c r="D450" s="134">
        <f>C450/C447*100</f>
        <v>6.2</v>
      </c>
      <c r="E450" s="134">
        <f t="shared" si="147"/>
        <v>75.900823610157858</v>
      </c>
      <c r="F450" s="134">
        <f t="shared" si="148"/>
        <v>4.7058510638297868</v>
      </c>
      <c r="G450" s="181">
        <f>11058750</f>
        <v>11058750</v>
      </c>
      <c r="H450" s="134">
        <f t="shared" si="149"/>
        <v>75.900823610157858</v>
      </c>
      <c r="I450" s="134">
        <f t="shared" si="150"/>
        <v>4.7058510638297868</v>
      </c>
      <c r="J450" s="6">
        <f t="shared" si="151"/>
        <v>-3511250</v>
      </c>
      <c r="K450" s="10"/>
      <c r="L450" s="1"/>
      <c r="M450" s="1"/>
      <c r="N450" s="1"/>
    </row>
    <row r="451" spans="1:14" x14ac:dyDescent="0.25">
      <c r="A451" s="74" t="s">
        <v>62</v>
      </c>
      <c r="B451" s="707" t="s">
        <v>334</v>
      </c>
      <c r="C451" s="266">
        <v>9840000</v>
      </c>
      <c r="D451" s="134">
        <f>C451/C447*100</f>
        <v>4.1872340425531913</v>
      </c>
      <c r="E451" s="134">
        <f t="shared" si="147"/>
        <v>72.865853658536579</v>
      </c>
      <c r="F451" s="134">
        <f t="shared" si="148"/>
        <v>3.0510638297872337</v>
      </c>
      <c r="G451" s="181">
        <f>7170000</f>
        <v>7170000</v>
      </c>
      <c r="H451" s="134">
        <f t="shared" si="149"/>
        <v>72.865853658536579</v>
      </c>
      <c r="I451" s="134">
        <f t="shared" si="150"/>
        <v>3.0510638297872337</v>
      </c>
      <c r="J451" s="6">
        <f t="shared" si="151"/>
        <v>-2670000</v>
      </c>
      <c r="K451" s="10"/>
      <c r="L451" s="1"/>
      <c r="M451" s="1"/>
      <c r="N451" s="1"/>
    </row>
    <row r="452" spans="1:14" ht="25.5" x14ac:dyDescent="0.25">
      <c r="A452" s="49" t="s">
        <v>193</v>
      </c>
      <c r="B452" s="707" t="s">
        <v>537</v>
      </c>
      <c r="C452" s="266">
        <v>5250000</v>
      </c>
      <c r="D452" s="134"/>
      <c r="E452" s="134"/>
      <c r="F452" s="134"/>
      <c r="G452" s="181">
        <f>5250000</f>
        <v>5250000</v>
      </c>
      <c r="H452" s="134"/>
      <c r="I452" s="134"/>
      <c r="J452" s="6">
        <f t="shared" si="151"/>
        <v>0</v>
      </c>
      <c r="K452" s="10"/>
      <c r="L452" s="1"/>
      <c r="M452" s="1"/>
      <c r="N452" s="1"/>
    </row>
    <row r="453" spans="1:14" x14ac:dyDescent="0.25">
      <c r="A453" s="49" t="s">
        <v>148</v>
      </c>
      <c r="B453" s="133" t="s">
        <v>534</v>
      </c>
      <c r="C453" s="266">
        <v>8000000</v>
      </c>
      <c r="D453" s="134"/>
      <c r="E453" s="134"/>
      <c r="F453" s="134"/>
      <c r="G453" s="181">
        <f>8000000</f>
        <v>8000000</v>
      </c>
      <c r="H453" s="134"/>
      <c r="I453" s="134"/>
      <c r="J453" s="6">
        <f t="shared" si="151"/>
        <v>0</v>
      </c>
      <c r="K453" s="10"/>
      <c r="L453" s="1"/>
      <c r="M453" s="1"/>
      <c r="N453" s="1"/>
    </row>
    <row r="454" spans="1:14" x14ac:dyDescent="0.25">
      <c r="A454" s="49" t="s">
        <v>579</v>
      </c>
      <c r="B454" s="133" t="s">
        <v>580</v>
      </c>
      <c r="C454" s="266">
        <v>5100000</v>
      </c>
      <c r="D454" s="134"/>
      <c r="E454" s="134"/>
      <c r="F454" s="134"/>
      <c r="G454" s="181"/>
      <c r="H454" s="134"/>
      <c r="I454" s="134"/>
      <c r="J454" s="6"/>
      <c r="K454" s="10"/>
      <c r="L454" s="1"/>
      <c r="M454" s="1"/>
      <c r="N454" s="1"/>
    </row>
    <row r="455" spans="1:14" x14ac:dyDescent="0.25">
      <c r="A455" s="74" t="s">
        <v>77</v>
      </c>
      <c r="B455" s="49" t="s">
        <v>143</v>
      </c>
      <c r="C455" s="266">
        <v>69700000</v>
      </c>
      <c r="D455" s="134">
        <f>C455/C447*100</f>
        <v>29.659574468085104</v>
      </c>
      <c r="E455" s="134">
        <f t="shared" si="147"/>
        <v>85.179340028694412</v>
      </c>
      <c r="F455" s="134">
        <f t="shared" si="148"/>
        <v>25.263829787234044</v>
      </c>
      <c r="G455" s="181">
        <f>59370000</f>
        <v>59370000</v>
      </c>
      <c r="H455" s="134">
        <f t="shared" si="149"/>
        <v>85.179340028694412</v>
      </c>
      <c r="I455" s="134">
        <f t="shared" si="150"/>
        <v>25.263829787234044</v>
      </c>
      <c r="J455" s="6">
        <f t="shared" si="151"/>
        <v>-10330000</v>
      </c>
      <c r="K455" s="10"/>
      <c r="L455" s="1"/>
      <c r="M455" s="1"/>
      <c r="N455" s="1"/>
    </row>
    <row r="456" spans="1:14" x14ac:dyDescent="0.25">
      <c r="A456" s="314" t="s">
        <v>183</v>
      </c>
      <c r="B456" s="49" t="s">
        <v>417</v>
      </c>
      <c r="C456" s="266">
        <v>20150000</v>
      </c>
      <c r="D456" s="134"/>
      <c r="E456" s="134"/>
      <c r="F456" s="134"/>
      <c r="G456" s="181">
        <f>4600000</f>
        <v>4600000</v>
      </c>
      <c r="H456" s="134"/>
      <c r="I456" s="134"/>
      <c r="J456" s="6">
        <f t="shared" si="151"/>
        <v>-15550000</v>
      </c>
      <c r="K456" s="10"/>
      <c r="L456" s="1"/>
      <c r="M456" s="1"/>
      <c r="N456" s="1"/>
    </row>
    <row r="457" spans="1:14" x14ac:dyDescent="0.25">
      <c r="A457" s="74" t="s">
        <v>186</v>
      </c>
      <c r="B457" s="170" t="s">
        <v>182</v>
      </c>
      <c r="C457" s="266">
        <v>31000000</v>
      </c>
      <c r="D457" s="134">
        <f>C457/C447*100</f>
        <v>13.191489361702127</v>
      </c>
      <c r="E457" s="134">
        <f t="shared" si="147"/>
        <v>100</v>
      </c>
      <c r="F457" s="134">
        <f t="shared" si="148"/>
        <v>13.191489361702127</v>
      </c>
      <c r="G457" s="181">
        <f>31000000</f>
        <v>31000000</v>
      </c>
      <c r="H457" s="134">
        <f t="shared" si="149"/>
        <v>100</v>
      </c>
      <c r="I457" s="134">
        <f t="shared" si="150"/>
        <v>13.191489361702127</v>
      </c>
      <c r="J457" s="6">
        <f t="shared" si="151"/>
        <v>0</v>
      </c>
      <c r="K457" s="10"/>
      <c r="L457" s="1"/>
      <c r="M457" s="1"/>
      <c r="N457" s="1"/>
    </row>
    <row r="458" spans="1:14" ht="25.5" x14ac:dyDescent="0.25">
      <c r="A458" s="74" t="s">
        <v>106</v>
      </c>
      <c r="B458" s="316" t="s">
        <v>375</v>
      </c>
      <c r="C458" s="266">
        <v>15300000</v>
      </c>
      <c r="D458" s="134">
        <f>C458/C447*100</f>
        <v>6.5106382978723403</v>
      </c>
      <c r="E458" s="134">
        <f t="shared" si="147"/>
        <v>86.928104575163403</v>
      </c>
      <c r="F458" s="134">
        <f t="shared" si="148"/>
        <v>5.6595744680851068</v>
      </c>
      <c r="G458" s="181">
        <f>13300000</f>
        <v>13300000</v>
      </c>
      <c r="H458" s="134">
        <f t="shared" si="149"/>
        <v>86.928104575163403</v>
      </c>
      <c r="I458" s="134">
        <f t="shared" si="150"/>
        <v>5.6595744680851068</v>
      </c>
      <c r="J458" s="6">
        <f t="shared" si="151"/>
        <v>-2000000</v>
      </c>
      <c r="K458" s="10"/>
      <c r="L458" s="1"/>
      <c r="M458" s="1"/>
      <c r="N458" s="1"/>
    </row>
    <row r="459" spans="1:14" x14ac:dyDescent="0.25">
      <c r="A459" s="755" t="s">
        <v>116</v>
      </c>
      <c r="B459" s="316" t="s">
        <v>538</v>
      </c>
      <c r="C459" s="266">
        <v>2000000</v>
      </c>
      <c r="D459" s="134">
        <f>C459/C448*100</f>
        <v>23.310023310023308</v>
      </c>
      <c r="E459" s="134"/>
      <c r="F459" s="134"/>
      <c r="G459" s="181">
        <f>2000000</f>
        <v>2000000</v>
      </c>
      <c r="H459" s="134"/>
      <c r="I459" s="134"/>
      <c r="J459" s="6">
        <f t="shared" si="151"/>
        <v>0</v>
      </c>
      <c r="K459" s="10"/>
      <c r="L459" s="1"/>
      <c r="M459" s="1"/>
      <c r="N459" s="1"/>
    </row>
    <row r="460" spans="1:14" x14ac:dyDescent="0.25">
      <c r="A460" s="755" t="s">
        <v>521</v>
      </c>
      <c r="B460" s="316" t="s">
        <v>539</v>
      </c>
      <c r="C460" s="266">
        <v>2000000</v>
      </c>
      <c r="D460" s="134"/>
      <c r="E460" s="134"/>
      <c r="F460" s="134"/>
      <c r="G460" s="181">
        <f>2000000</f>
        <v>2000000</v>
      </c>
      <c r="H460" s="134"/>
      <c r="I460" s="134"/>
      <c r="J460" s="6">
        <f t="shared" si="151"/>
        <v>0</v>
      </c>
      <c r="K460" s="10"/>
      <c r="L460" s="1"/>
      <c r="M460" s="1"/>
      <c r="N460" s="1"/>
    </row>
    <row r="461" spans="1:14" x14ac:dyDescent="0.25">
      <c r="A461" s="755" t="s">
        <v>65</v>
      </c>
      <c r="B461" s="316" t="s">
        <v>190</v>
      </c>
      <c r="C461" s="266">
        <v>7000000</v>
      </c>
      <c r="D461" s="134"/>
      <c r="E461" s="134"/>
      <c r="F461" s="134"/>
      <c r="G461" s="181">
        <f>6932360</f>
        <v>6932360</v>
      </c>
      <c r="H461" s="134"/>
      <c r="I461" s="134"/>
      <c r="J461" s="6">
        <f t="shared" si="151"/>
        <v>-67640</v>
      </c>
      <c r="K461" s="10"/>
      <c r="L461" s="1"/>
      <c r="M461" s="1"/>
      <c r="N461" s="1"/>
    </row>
    <row r="462" spans="1:14" x14ac:dyDescent="0.25">
      <c r="A462" s="74" t="s">
        <v>582</v>
      </c>
      <c r="B462" s="316" t="s">
        <v>581</v>
      </c>
      <c r="C462" s="266">
        <v>5000000</v>
      </c>
      <c r="D462" s="134"/>
      <c r="E462" s="134"/>
      <c r="F462" s="134"/>
      <c r="G462" s="181"/>
      <c r="H462" s="134"/>
      <c r="I462" s="134"/>
      <c r="J462" s="6"/>
      <c r="K462" s="10"/>
      <c r="L462" s="1"/>
      <c r="M462" s="1"/>
      <c r="N462" s="1"/>
    </row>
    <row r="463" spans="1:14" x14ac:dyDescent="0.25">
      <c r="A463" s="74" t="s">
        <v>584</v>
      </c>
      <c r="B463" s="316" t="s">
        <v>583</v>
      </c>
      <c r="C463" s="266">
        <v>17500000</v>
      </c>
      <c r="D463" s="134"/>
      <c r="E463" s="134"/>
      <c r="F463" s="134"/>
      <c r="G463" s="181"/>
      <c r="H463" s="134"/>
      <c r="I463" s="134"/>
      <c r="J463" s="6"/>
      <c r="K463" s="10"/>
      <c r="L463" s="1"/>
      <c r="M463" s="1"/>
      <c r="N463" s="1"/>
    </row>
    <row r="464" spans="1:14" x14ac:dyDescent="0.25">
      <c r="A464" s="74" t="s">
        <v>586</v>
      </c>
      <c r="B464" s="316" t="s">
        <v>585</v>
      </c>
      <c r="C464" s="266">
        <v>13500000</v>
      </c>
      <c r="D464" s="134"/>
      <c r="E464" s="134"/>
      <c r="F464" s="134"/>
      <c r="G464" s="181"/>
      <c r="H464" s="134"/>
      <c r="I464" s="134"/>
      <c r="J464" s="6"/>
      <c r="K464" s="10"/>
      <c r="L464" s="1"/>
      <c r="M464" s="1"/>
      <c r="N464" s="1"/>
    </row>
    <row r="465" spans="1:14" x14ac:dyDescent="0.25">
      <c r="A465" s="1152" t="s">
        <v>128</v>
      </c>
      <c r="B465" s="1154"/>
      <c r="C465" s="923">
        <f>SUM(C448:C464)</f>
        <v>235000000</v>
      </c>
      <c r="D465" s="273">
        <f>SUM(D448:D458)</f>
        <v>63.4</v>
      </c>
      <c r="E465" s="134"/>
      <c r="F465" s="134"/>
      <c r="G465" s="13">
        <f>SUM(G448:G464)</f>
        <v>159261110</v>
      </c>
      <c r="H465" s="134"/>
      <c r="I465" s="134"/>
      <c r="J465" s="56">
        <v>0</v>
      </c>
      <c r="K465" s="12"/>
      <c r="L465" s="9"/>
      <c r="M465" s="9"/>
      <c r="N465" s="9"/>
    </row>
    <row r="466" spans="1:14" x14ac:dyDescent="0.25">
      <c r="A466" s="5"/>
      <c r="B466" s="5"/>
      <c r="C466" s="65"/>
      <c r="D466" s="66"/>
      <c r="E466" s="30"/>
      <c r="F466" s="31"/>
      <c r="G466" s="36"/>
      <c r="H466" s="30"/>
      <c r="I466" s="31"/>
      <c r="J466" s="33"/>
      <c r="K466" s="29"/>
      <c r="L466" s="9"/>
      <c r="M466" s="9"/>
      <c r="N466" s="9"/>
    </row>
    <row r="467" spans="1:14" ht="31.5" x14ac:dyDescent="0.25">
      <c r="A467" s="55"/>
      <c r="B467" s="46" t="s">
        <v>145</v>
      </c>
      <c r="C467" s="155"/>
      <c r="D467" s="44"/>
      <c r="E467" s="45"/>
      <c r="F467" s="45"/>
      <c r="G467" s="48"/>
      <c r="H467" s="45"/>
      <c r="I467" s="45"/>
      <c r="J467" s="44"/>
      <c r="K467" s="44"/>
      <c r="L467" s="1"/>
      <c r="M467" s="1"/>
      <c r="N467" s="1"/>
    </row>
    <row r="468" spans="1:14" x14ac:dyDescent="0.25">
      <c r="A468" s="1119" t="s">
        <v>2</v>
      </c>
      <c r="B468" s="1120" t="s">
        <v>171</v>
      </c>
      <c r="C468" s="1119" t="s">
        <v>4</v>
      </c>
      <c r="D468" s="1121" t="s">
        <v>5</v>
      </c>
      <c r="E468" s="1132"/>
      <c r="F468" s="1132"/>
      <c r="G468" s="1122" t="s">
        <v>6</v>
      </c>
      <c r="H468" s="1132"/>
      <c r="I468" s="1132"/>
      <c r="J468" s="1119" t="s">
        <v>7</v>
      </c>
      <c r="K468" s="289" t="s">
        <v>8</v>
      </c>
      <c r="L468" s="1"/>
      <c r="M468" s="1"/>
    </row>
    <row r="469" spans="1:14" x14ac:dyDescent="0.25">
      <c r="A469" s="1119"/>
      <c r="B469" s="1120"/>
      <c r="C469" s="1119"/>
      <c r="D469" s="289" t="s">
        <v>9</v>
      </c>
      <c r="E469" s="308" t="s">
        <v>10</v>
      </c>
      <c r="F469" s="308" t="s">
        <v>11</v>
      </c>
      <c r="G469" s="309" t="s">
        <v>12</v>
      </c>
      <c r="H469" s="308" t="s">
        <v>13</v>
      </c>
      <c r="I469" s="308" t="s">
        <v>11</v>
      </c>
      <c r="J469" s="1123"/>
      <c r="K469" s="115"/>
      <c r="L469" s="1"/>
      <c r="M469" s="1"/>
    </row>
    <row r="470" spans="1:14" x14ac:dyDescent="0.25">
      <c r="A470" s="1119"/>
      <c r="B470" s="1120"/>
      <c r="C470" s="1119"/>
      <c r="D470" s="118" t="s">
        <v>14</v>
      </c>
      <c r="E470" s="119" t="s">
        <v>14</v>
      </c>
      <c r="F470" s="119" t="s">
        <v>14</v>
      </c>
      <c r="G470" s="120" t="s">
        <v>15</v>
      </c>
      <c r="H470" s="119" t="s">
        <v>14</v>
      </c>
      <c r="I470" s="119" t="s">
        <v>14</v>
      </c>
      <c r="J470" s="118" t="s">
        <v>15</v>
      </c>
      <c r="K470" s="118"/>
      <c r="L470" s="1"/>
      <c r="M470" s="1"/>
    </row>
    <row r="471" spans="1:14" x14ac:dyDescent="0.25">
      <c r="A471" s="79" t="s">
        <v>185</v>
      </c>
      <c r="B471" s="199" t="s">
        <v>146</v>
      </c>
      <c r="C471" s="24"/>
      <c r="D471" s="10"/>
      <c r="E471" s="34"/>
      <c r="F471" s="34"/>
      <c r="G471" s="6"/>
      <c r="H471" s="34"/>
      <c r="I471" s="34"/>
      <c r="J471" s="10"/>
      <c r="K471" s="10"/>
      <c r="L471" s="1"/>
      <c r="M471" s="25"/>
    </row>
    <row r="472" spans="1:14" x14ac:dyDescent="0.25">
      <c r="A472" s="125" t="s">
        <v>184</v>
      </c>
      <c r="B472" s="280" t="s">
        <v>147</v>
      </c>
      <c r="C472" s="252">
        <f>SUM(C473:C474)</f>
        <v>5850440000</v>
      </c>
      <c r="D472" s="10"/>
      <c r="E472" s="34"/>
      <c r="F472" s="34"/>
      <c r="G472" s="6"/>
      <c r="H472" s="34"/>
      <c r="I472" s="34"/>
      <c r="J472" s="10"/>
      <c r="K472" s="10"/>
      <c r="L472" s="1"/>
      <c r="M472" s="1"/>
    </row>
    <row r="473" spans="1:14" x14ac:dyDescent="0.25">
      <c r="A473" s="154" t="s">
        <v>413</v>
      </c>
      <c r="B473" s="707" t="s">
        <v>414</v>
      </c>
      <c r="C473" s="253">
        <v>40440000</v>
      </c>
      <c r="D473" s="134" t="e">
        <f>C473/#REF!*100</f>
        <v>#REF!</v>
      </c>
      <c r="E473" s="134"/>
      <c r="F473" s="134"/>
      <c r="G473" s="181">
        <v>0</v>
      </c>
      <c r="H473" s="134"/>
      <c r="I473" s="134"/>
      <c r="J473" s="6">
        <f t="shared" ref="J473:J474" si="152">G473-C473</f>
        <v>-40440000</v>
      </c>
      <c r="K473" s="10"/>
      <c r="L473" s="1"/>
      <c r="M473" s="1"/>
    </row>
    <row r="474" spans="1:14" x14ac:dyDescent="0.25">
      <c r="A474" s="124" t="s">
        <v>148</v>
      </c>
      <c r="B474" s="133" t="s">
        <v>534</v>
      </c>
      <c r="C474" s="256">
        <v>5810000000</v>
      </c>
      <c r="D474" s="134">
        <f>C474/C472*100</f>
        <v>99.308769938671276</v>
      </c>
      <c r="E474" s="134">
        <f t="shared" ref="E474" si="153">G474/C474*100</f>
        <v>99.872633390705673</v>
      </c>
      <c r="F474" s="134">
        <f t="shared" ref="F474" si="154">(D474*E474)/100</f>
        <v>99.182283725668498</v>
      </c>
      <c r="G474" s="181">
        <f>2165530000+3637070000</f>
        <v>5802600000</v>
      </c>
      <c r="H474" s="134">
        <f t="shared" ref="H474" si="155">G474/C474*100</f>
        <v>99.872633390705673</v>
      </c>
      <c r="I474" s="134">
        <f t="shared" ref="I474" si="156">(D474*H474)/100</f>
        <v>99.182283725668498</v>
      </c>
      <c r="J474" s="6">
        <f t="shared" si="152"/>
        <v>-7400000</v>
      </c>
      <c r="K474" s="10"/>
      <c r="L474" s="1"/>
      <c r="M474" s="1"/>
    </row>
    <row r="475" spans="1:14" x14ac:dyDescent="0.25">
      <c r="A475" s="72"/>
      <c r="B475" s="136" t="s">
        <v>154</v>
      </c>
      <c r="C475" s="808">
        <f>SUM(C473:C474)</f>
        <v>5850440000</v>
      </c>
      <c r="D475" s="271" t="e">
        <f>SUM(D473:D474)</f>
        <v>#REF!</v>
      </c>
      <c r="E475" s="134"/>
      <c r="F475" s="134"/>
      <c r="G475" s="181">
        <f>SUM(G473:G474)</f>
        <v>5802600000</v>
      </c>
      <c r="H475" s="134"/>
      <c r="I475" s="134"/>
      <c r="J475" s="56">
        <v>0</v>
      </c>
      <c r="K475" s="130"/>
      <c r="L475" s="1"/>
      <c r="M475" s="1"/>
    </row>
    <row r="476" spans="1:14" x14ac:dyDescent="0.25">
      <c r="A476" s="5"/>
      <c r="B476" s="5"/>
      <c r="C476" s="65"/>
      <c r="D476" s="66"/>
      <c r="E476" s="30"/>
      <c r="F476" s="31"/>
      <c r="G476" s="36"/>
      <c r="H476" s="30"/>
      <c r="I476" s="31"/>
      <c r="J476" s="33"/>
      <c r="K476" s="29"/>
      <c r="L476" s="9"/>
      <c r="M476" s="9"/>
      <c r="N476" s="9"/>
    </row>
    <row r="477" spans="1:14" x14ac:dyDescent="0.25">
      <c r="A477" s="1119" t="s">
        <v>2</v>
      </c>
      <c r="B477" s="1120" t="s">
        <v>171</v>
      </c>
      <c r="C477" s="1119" t="s">
        <v>4</v>
      </c>
      <c r="D477" s="1121" t="s">
        <v>5</v>
      </c>
      <c r="E477" s="1132"/>
      <c r="F477" s="1132"/>
      <c r="G477" s="1122" t="s">
        <v>6</v>
      </c>
      <c r="H477" s="1132"/>
      <c r="I477" s="1132"/>
      <c r="J477" s="1119" t="s">
        <v>7</v>
      </c>
      <c r="K477" s="289" t="s">
        <v>8</v>
      </c>
      <c r="L477" s="1"/>
      <c r="M477" s="1"/>
    </row>
    <row r="478" spans="1:14" x14ac:dyDescent="0.25">
      <c r="A478" s="1119"/>
      <c r="B478" s="1120"/>
      <c r="C478" s="1119"/>
      <c r="D478" s="289" t="s">
        <v>9</v>
      </c>
      <c r="E478" s="308" t="s">
        <v>10</v>
      </c>
      <c r="F478" s="308" t="s">
        <v>11</v>
      </c>
      <c r="G478" s="309" t="s">
        <v>12</v>
      </c>
      <c r="H478" s="308" t="s">
        <v>13</v>
      </c>
      <c r="I478" s="308" t="s">
        <v>11</v>
      </c>
      <c r="J478" s="1123"/>
      <c r="K478" s="115"/>
      <c r="L478" s="1"/>
      <c r="M478" s="1"/>
    </row>
    <row r="479" spans="1:14" x14ac:dyDescent="0.25">
      <c r="A479" s="1119"/>
      <c r="B479" s="1120"/>
      <c r="C479" s="1119"/>
      <c r="D479" s="118" t="s">
        <v>14</v>
      </c>
      <c r="E479" s="119" t="s">
        <v>14</v>
      </c>
      <c r="F479" s="119" t="s">
        <v>14</v>
      </c>
      <c r="G479" s="120" t="s">
        <v>15</v>
      </c>
      <c r="H479" s="119" t="s">
        <v>14</v>
      </c>
      <c r="I479" s="119" t="s">
        <v>14</v>
      </c>
      <c r="J479" s="118" t="s">
        <v>15</v>
      </c>
      <c r="K479" s="118"/>
      <c r="L479" s="1"/>
      <c r="M479" s="1"/>
    </row>
    <row r="480" spans="1:14" x14ac:dyDescent="0.25">
      <c r="A480" s="79" t="s">
        <v>185</v>
      </c>
      <c r="B480" s="199" t="s">
        <v>146</v>
      </c>
      <c r="C480" s="24"/>
      <c r="D480" s="10"/>
      <c r="E480" s="34"/>
      <c r="F480" s="34"/>
      <c r="G480" s="6"/>
      <c r="H480" s="34"/>
      <c r="I480" s="34"/>
      <c r="J480" s="10"/>
      <c r="K480" s="10"/>
      <c r="L480" s="1"/>
      <c r="M480" s="1"/>
    </row>
    <row r="481" spans="1:13" x14ac:dyDescent="0.25">
      <c r="A481" s="125" t="s">
        <v>187</v>
      </c>
      <c r="B481" s="280" t="s">
        <v>164</v>
      </c>
      <c r="C481" s="252">
        <f>SUM(C482:C488)</f>
        <v>3593637888</v>
      </c>
      <c r="D481" s="10"/>
      <c r="E481" s="34"/>
      <c r="F481" s="34"/>
      <c r="G481" s="6"/>
      <c r="H481" s="34"/>
      <c r="I481" s="34"/>
      <c r="J481" s="10"/>
      <c r="K481" s="10"/>
      <c r="L481" s="1"/>
      <c r="M481" s="1"/>
    </row>
    <row r="482" spans="1:13" ht="25.5" x14ac:dyDescent="0.25">
      <c r="A482" s="154" t="s">
        <v>44</v>
      </c>
      <c r="B482" s="707" t="s">
        <v>384</v>
      </c>
      <c r="C482" s="253">
        <v>35255000</v>
      </c>
      <c r="D482" s="134">
        <f>C482/C481*100</f>
        <v>0.98103930052954746</v>
      </c>
      <c r="E482" s="134">
        <f t="shared" ref="E482:E485" si="157">G482/C482*100</f>
        <v>0</v>
      </c>
      <c r="F482" s="134">
        <f t="shared" ref="F482:F485" si="158">(D482*E482)/100</f>
        <v>0</v>
      </c>
      <c r="G482" s="181">
        <v>0</v>
      </c>
      <c r="H482" s="134">
        <f t="shared" ref="H482:H485" si="159">G482/C482*100</f>
        <v>0</v>
      </c>
      <c r="I482" s="134">
        <f t="shared" ref="I482:I485" si="160">(D482*H482)/100</f>
        <v>0</v>
      </c>
      <c r="J482" s="6">
        <f t="shared" ref="J482:J486" si="161">G482-C482</f>
        <v>-35255000</v>
      </c>
      <c r="K482" s="10"/>
      <c r="L482" s="1"/>
      <c r="M482" s="1"/>
    </row>
    <row r="483" spans="1:13" x14ac:dyDescent="0.25">
      <c r="A483" s="154" t="s">
        <v>413</v>
      </c>
      <c r="B483" s="707" t="s">
        <v>414</v>
      </c>
      <c r="C483" s="253">
        <v>385000</v>
      </c>
      <c r="D483" s="134"/>
      <c r="E483" s="134"/>
      <c r="F483" s="134"/>
      <c r="G483" s="181">
        <f>385000</f>
        <v>385000</v>
      </c>
      <c r="H483" s="134"/>
      <c r="I483" s="134"/>
      <c r="J483" s="6">
        <f t="shared" si="161"/>
        <v>0</v>
      </c>
      <c r="K483" s="10"/>
      <c r="L483" s="1"/>
      <c r="M483" s="1"/>
    </row>
    <row r="484" spans="1:13" x14ac:dyDescent="0.25">
      <c r="A484" s="124" t="s">
        <v>148</v>
      </c>
      <c r="B484" s="133" t="s">
        <v>534</v>
      </c>
      <c r="C484" s="256">
        <v>2490000000</v>
      </c>
      <c r="D484" s="134">
        <f>C484/C481*100</f>
        <v>69.289118091577734</v>
      </c>
      <c r="E484" s="134">
        <f t="shared" si="157"/>
        <v>96.465028112449801</v>
      </c>
      <c r="F484" s="134">
        <f t="shared" si="158"/>
        <v>66.839767245909002</v>
      </c>
      <c r="G484" s="181">
        <f>1437110000+964869200</f>
        <v>2401979200</v>
      </c>
      <c r="H484" s="134">
        <f t="shared" si="159"/>
        <v>96.465028112449801</v>
      </c>
      <c r="I484" s="134">
        <f t="shared" si="160"/>
        <v>66.839767245909002</v>
      </c>
      <c r="J484" s="6">
        <f t="shared" si="161"/>
        <v>-88020800</v>
      </c>
      <c r="K484" s="10"/>
    </row>
    <row r="485" spans="1:13" s="84" customFormat="1" ht="25.5" x14ac:dyDescent="0.2">
      <c r="A485" s="124" t="s">
        <v>152</v>
      </c>
      <c r="B485" s="133" t="s">
        <v>166</v>
      </c>
      <c r="C485" s="256">
        <v>996000000</v>
      </c>
      <c r="D485" s="134">
        <f>C485/C481*100</f>
        <v>27.715647236631092</v>
      </c>
      <c r="E485" s="134">
        <f t="shared" si="157"/>
        <v>75</v>
      </c>
      <c r="F485" s="134">
        <f t="shared" si="158"/>
        <v>20.786735427473317</v>
      </c>
      <c r="G485" s="181">
        <f>747000000</f>
        <v>747000000</v>
      </c>
      <c r="H485" s="134">
        <f t="shared" si="159"/>
        <v>75</v>
      </c>
      <c r="I485" s="134">
        <f t="shared" si="160"/>
        <v>20.786735427473317</v>
      </c>
      <c r="J485" s="6">
        <f t="shared" si="161"/>
        <v>-249000000</v>
      </c>
      <c r="K485" s="38"/>
    </row>
    <row r="486" spans="1:13" s="84" customFormat="1" ht="25.5" x14ac:dyDescent="0.2">
      <c r="A486" s="825" t="s">
        <v>571</v>
      </c>
      <c r="B486" s="133" t="s">
        <v>569</v>
      </c>
      <c r="C486" s="256">
        <v>52000200</v>
      </c>
      <c r="D486" s="804"/>
      <c r="E486" s="134"/>
      <c r="F486" s="134"/>
      <c r="G486" s="181">
        <f>52000200</f>
        <v>52000200</v>
      </c>
      <c r="H486" s="134"/>
      <c r="I486" s="134"/>
      <c r="J486" s="6">
        <f t="shared" si="161"/>
        <v>0</v>
      </c>
      <c r="K486" s="805"/>
    </row>
    <row r="487" spans="1:13" s="84" customFormat="1" ht="25.5" x14ac:dyDescent="0.2">
      <c r="A487" s="825" t="s">
        <v>572</v>
      </c>
      <c r="B487" s="133" t="s">
        <v>570</v>
      </c>
      <c r="C487" s="256">
        <v>2091600</v>
      </c>
      <c r="D487" s="804"/>
      <c r="E487" s="134"/>
      <c r="F487" s="134"/>
      <c r="G487" s="181">
        <f>2091600</f>
        <v>2091600</v>
      </c>
      <c r="H487" s="134"/>
      <c r="I487" s="134"/>
      <c r="J487" s="6"/>
      <c r="K487" s="805"/>
    </row>
    <row r="488" spans="1:13" s="84" customFormat="1" x14ac:dyDescent="0.2">
      <c r="A488" s="825" t="s">
        <v>234</v>
      </c>
      <c r="B488" s="133" t="s">
        <v>522</v>
      </c>
      <c r="C488" s="256">
        <v>17906088</v>
      </c>
      <c r="D488" s="804"/>
      <c r="E488" s="134"/>
      <c r="F488" s="134"/>
      <c r="G488" s="181">
        <f>17906088</f>
        <v>17906088</v>
      </c>
      <c r="H488" s="134"/>
      <c r="I488" s="134"/>
      <c r="J488" s="6">
        <f t="shared" ref="J488" si="162">G488-C488</f>
        <v>0</v>
      </c>
      <c r="K488" s="805"/>
    </row>
    <row r="489" spans="1:13" x14ac:dyDescent="0.25">
      <c r="A489" s="70"/>
      <c r="B489" s="129" t="s">
        <v>95</v>
      </c>
      <c r="C489" s="807">
        <f>SUM(C482:C488)</f>
        <v>3593637888</v>
      </c>
      <c r="D489" s="271">
        <f>SUM(D482:D485)</f>
        <v>97.985804628738379</v>
      </c>
      <c r="E489" s="134"/>
      <c r="F489" s="134"/>
      <c r="G489" s="181">
        <f>SUM(G482:G488)</f>
        <v>3221362088</v>
      </c>
      <c r="H489" s="134"/>
      <c r="I489" s="134"/>
      <c r="J489" s="780"/>
      <c r="K489" s="130"/>
    </row>
    <row r="490" spans="1:13" x14ac:dyDescent="0.25">
      <c r="J490" s="779"/>
    </row>
    <row r="492" spans="1:13" x14ac:dyDescent="0.25">
      <c r="A492" s="50"/>
      <c r="B492" s="5"/>
      <c r="C492" s="50"/>
      <c r="D492" s="29"/>
      <c r="E492" s="30"/>
      <c r="F492" s="31"/>
      <c r="G492" s="36"/>
      <c r="H492" s="32"/>
      <c r="I492" s="31"/>
      <c r="J492" s="36"/>
      <c r="K492" s="37"/>
    </row>
    <row r="493" spans="1:13" x14ac:dyDescent="0.25">
      <c r="A493" s="1"/>
      <c r="B493" s="16" t="s">
        <v>363</v>
      </c>
      <c r="C493" s="61"/>
      <c r="D493" s="1"/>
      <c r="E493" s="1"/>
      <c r="F493" s="1"/>
      <c r="G493" s="1"/>
      <c r="H493" s="1"/>
      <c r="I493" s="18" t="s">
        <v>609</v>
      </c>
      <c r="J493" s="17"/>
      <c r="K493" s="1"/>
    </row>
    <row r="494" spans="1:13" x14ac:dyDescent="0.25">
      <c r="A494" s="1"/>
      <c r="B494" s="19"/>
      <c r="C494" s="62"/>
      <c r="D494" s="1"/>
      <c r="E494" s="1"/>
      <c r="F494" s="1"/>
      <c r="G494" s="1"/>
      <c r="H494" s="1"/>
      <c r="I494" s="63"/>
      <c r="J494" s="16"/>
      <c r="K494" s="1"/>
    </row>
    <row r="495" spans="1:13" x14ac:dyDescent="0.25">
      <c r="A495" s="1"/>
      <c r="B495" s="19"/>
      <c r="C495" s="62"/>
      <c r="D495" s="1"/>
      <c r="E495" s="1"/>
      <c r="F495" s="1"/>
      <c r="G495" s="1"/>
      <c r="H495" s="1"/>
      <c r="I495" s="63"/>
      <c r="J495" s="16"/>
      <c r="K495" s="1"/>
    </row>
    <row r="496" spans="1:13" x14ac:dyDescent="0.25">
      <c r="A496" s="1"/>
      <c r="B496" s="19"/>
      <c r="C496" s="62"/>
      <c r="D496" s="1"/>
      <c r="E496" s="1"/>
      <c r="F496" s="1"/>
      <c r="G496" s="1"/>
      <c r="H496" s="1"/>
      <c r="I496" s="18"/>
      <c r="J496" s="19"/>
      <c r="K496" s="1"/>
    </row>
    <row r="497" spans="1:14" x14ac:dyDescent="0.25">
      <c r="A497" s="1"/>
      <c r="B497" s="75" t="s">
        <v>440</v>
      </c>
      <c r="C497" s="21"/>
      <c r="D497" s="1"/>
      <c r="E497" s="1"/>
      <c r="F497" s="1"/>
      <c r="G497" s="1"/>
      <c r="H497" s="1"/>
      <c r="I497" s="20"/>
      <c r="J497" s="21"/>
      <c r="K497" s="1"/>
    </row>
    <row r="498" spans="1:14" x14ac:dyDescent="0.25">
      <c r="A498" s="1"/>
      <c r="B498" s="739" t="s">
        <v>441</v>
      </c>
      <c r="C498" s="19"/>
      <c r="D498" s="1"/>
      <c r="E498" s="1"/>
      <c r="F498" s="1"/>
      <c r="G498" s="1"/>
      <c r="H498" s="1"/>
      <c r="I498" s="22"/>
      <c r="J498" s="19"/>
      <c r="K498" s="1"/>
    </row>
    <row r="499" spans="1:14" x14ac:dyDescent="0.25">
      <c r="A499" s="5"/>
      <c r="B499" s="5"/>
      <c r="C499" s="65"/>
      <c r="D499" s="66"/>
      <c r="E499" s="30"/>
      <c r="F499" s="31"/>
      <c r="G499" s="36"/>
      <c r="H499" s="30"/>
      <c r="I499" s="31"/>
      <c r="J499" s="33"/>
      <c r="K499" s="29"/>
      <c r="L499" s="9"/>
      <c r="M499" s="9"/>
      <c r="N499" s="9"/>
    </row>
  </sheetData>
  <mergeCells count="149">
    <mergeCell ref="J468:J469"/>
    <mergeCell ref="A477:A479"/>
    <mergeCell ref="B477:B479"/>
    <mergeCell ref="C477:C479"/>
    <mergeCell ref="D477:F477"/>
    <mergeCell ref="G477:I477"/>
    <mergeCell ref="J477:J478"/>
    <mergeCell ref="A465:B465"/>
    <mergeCell ref="A468:A470"/>
    <mergeCell ref="B468:B470"/>
    <mergeCell ref="C468:C470"/>
    <mergeCell ref="D468:F468"/>
    <mergeCell ref="G468:I468"/>
    <mergeCell ref="A443:A445"/>
    <mergeCell ref="B443:B445"/>
    <mergeCell ref="C443:C445"/>
    <mergeCell ref="D443:F443"/>
    <mergeCell ref="G443:I443"/>
    <mergeCell ref="J443:J444"/>
    <mergeCell ref="A431:A433"/>
    <mergeCell ref="B431:B433"/>
    <mergeCell ref="C431:C433"/>
    <mergeCell ref="D431:F431"/>
    <mergeCell ref="G431:I431"/>
    <mergeCell ref="J431:J432"/>
    <mergeCell ref="A422:A424"/>
    <mergeCell ref="B422:B424"/>
    <mergeCell ref="C422:C424"/>
    <mergeCell ref="D422:F422"/>
    <mergeCell ref="G422:I422"/>
    <mergeCell ref="J422:J423"/>
    <mergeCell ref="A394:A396"/>
    <mergeCell ref="B394:B396"/>
    <mergeCell ref="D394:F394"/>
    <mergeCell ref="G394:I394"/>
    <mergeCell ref="J394:J395"/>
    <mergeCell ref="A419:B419"/>
    <mergeCell ref="A381:A383"/>
    <mergeCell ref="B381:B383"/>
    <mergeCell ref="C381:C383"/>
    <mergeCell ref="D381:F381"/>
    <mergeCell ref="G381:I381"/>
    <mergeCell ref="J381:J382"/>
    <mergeCell ref="K340:K342"/>
    <mergeCell ref="A372:A374"/>
    <mergeCell ref="B372:B374"/>
    <mergeCell ref="C372:C374"/>
    <mergeCell ref="D372:F372"/>
    <mergeCell ref="G372:I372"/>
    <mergeCell ref="J372:J373"/>
    <mergeCell ref="A340:A342"/>
    <mergeCell ref="B340:B342"/>
    <mergeCell ref="C340:C342"/>
    <mergeCell ref="D340:F340"/>
    <mergeCell ref="G340:I340"/>
    <mergeCell ref="J340:J341"/>
    <mergeCell ref="A328:A330"/>
    <mergeCell ref="B328:B330"/>
    <mergeCell ref="C328:C330"/>
    <mergeCell ref="D328:F328"/>
    <mergeCell ref="G328:I328"/>
    <mergeCell ref="J328:J329"/>
    <mergeCell ref="K293:K295"/>
    <mergeCell ref="A319:A321"/>
    <mergeCell ref="B319:B321"/>
    <mergeCell ref="C319:C321"/>
    <mergeCell ref="D319:F319"/>
    <mergeCell ref="G319:I319"/>
    <mergeCell ref="J319:J320"/>
    <mergeCell ref="A293:A295"/>
    <mergeCell ref="B293:B295"/>
    <mergeCell ref="C293:C295"/>
    <mergeCell ref="D293:F293"/>
    <mergeCell ref="G293:I293"/>
    <mergeCell ref="J293:J294"/>
    <mergeCell ref="J270:J271"/>
    <mergeCell ref="A279:A281"/>
    <mergeCell ref="B279:B281"/>
    <mergeCell ref="C279:C281"/>
    <mergeCell ref="D279:F279"/>
    <mergeCell ref="G279:I279"/>
    <mergeCell ref="J279:J280"/>
    <mergeCell ref="A246:A248"/>
    <mergeCell ref="B246:B248"/>
    <mergeCell ref="D246:F246"/>
    <mergeCell ref="G246:I246"/>
    <mergeCell ref="J246:J247"/>
    <mergeCell ref="A270:A272"/>
    <mergeCell ref="B270:B272"/>
    <mergeCell ref="C270:C272"/>
    <mergeCell ref="D270:F270"/>
    <mergeCell ref="G270:I270"/>
    <mergeCell ref="A233:A235"/>
    <mergeCell ref="B233:B235"/>
    <mergeCell ref="C233:C235"/>
    <mergeCell ref="D233:F233"/>
    <mergeCell ref="G233:I233"/>
    <mergeCell ref="J233:J234"/>
    <mergeCell ref="A223:A225"/>
    <mergeCell ref="B223:B225"/>
    <mergeCell ref="C223:C225"/>
    <mergeCell ref="D223:F223"/>
    <mergeCell ref="G223:I223"/>
    <mergeCell ref="J223:J224"/>
    <mergeCell ref="A195:A197"/>
    <mergeCell ref="B195:B197"/>
    <mergeCell ref="C195:C197"/>
    <mergeCell ref="D195:F195"/>
    <mergeCell ref="G195:I195"/>
    <mergeCell ref="J195:J196"/>
    <mergeCell ref="A183:A185"/>
    <mergeCell ref="B183:B185"/>
    <mergeCell ref="C183:C185"/>
    <mergeCell ref="D183:F183"/>
    <mergeCell ref="G183:I183"/>
    <mergeCell ref="J183:J184"/>
    <mergeCell ref="K147:K149"/>
    <mergeCell ref="A170:B170"/>
    <mergeCell ref="A173:A175"/>
    <mergeCell ref="B173:B175"/>
    <mergeCell ref="C173:C175"/>
    <mergeCell ref="D173:F173"/>
    <mergeCell ref="G173:I173"/>
    <mergeCell ref="J173:J174"/>
    <mergeCell ref="A144:C144"/>
    <mergeCell ref="A147:A149"/>
    <mergeCell ref="B147:B149"/>
    <mergeCell ref="D147:F147"/>
    <mergeCell ref="G147:I147"/>
    <mergeCell ref="J147:J148"/>
    <mergeCell ref="A98:C98"/>
    <mergeCell ref="A100:K100"/>
    <mergeCell ref="A101:K101"/>
    <mergeCell ref="A102:K102"/>
    <mergeCell ref="A103:A105"/>
    <mergeCell ref="B103:B105"/>
    <mergeCell ref="C103:C105"/>
    <mergeCell ref="D103:F103"/>
    <mergeCell ref="G103:I103"/>
    <mergeCell ref="J103:J104"/>
    <mergeCell ref="A1:K1"/>
    <mergeCell ref="A2:K2"/>
    <mergeCell ref="A3:K3"/>
    <mergeCell ref="A5:A7"/>
    <mergeCell ref="B5:B7"/>
    <mergeCell ref="C5:C7"/>
    <mergeCell ref="D5:F5"/>
    <mergeCell ref="G5:I5"/>
    <mergeCell ref="J5:J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99"/>
  <sheetViews>
    <sheetView tabSelected="1" topLeftCell="A123" workbookViewId="0">
      <selection activeCell="G122" sqref="G122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444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946" t="s">
        <v>1</v>
      </c>
      <c r="B4" s="946"/>
      <c r="C4" s="946"/>
      <c r="D4" s="946"/>
      <c r="E4" s="947"/>
      <c r="F4" s="947"/>
      <c r="G4" s="47"/>
      <c r="H4" s="947"/>
      <c r="I4" s="947"/>
      <c r="J4" s="946"/>
      <c r="K4" s="946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C11+C16+C21+C29+C40+C45+C53+C55+C59+C64+C66+C70+C74+C78+C81+C87+C92+C94</f>
        <v>15602615906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>
        <f>1150000</f>
        <v>1150000</v>
      </c>
      <c r="H12" s="161"/>
      <c r="I12" s="161"/>
      <c r="J12" s="6">
        <v>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100</v>
      </c>
      <c r="F13" s="134">
        <f>(D13*E13)/100</f>
        <v>14.766666666666667</v>
      </c>
      <c r="G13" s="6">
        <f>3610000+820000</f>
        <v>4430000</v>
      </c>
      <c r="H13" s="134">
        <f>G13/C13*100</f>
        <v>100</v>
      </c>
      <c r="I13" s="134">
        <f>(D13*H13)/100</f>
        <v>14.766666666666667</v>
      </c>
      <c r="J13" s="6">
        <f t="shared" ref="J13:J15" si="0">G13-C13</f>
        <v>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f>4320000</f>
        <v>4320000</v>
      </c>
      <c r="H14" s="134"/>
      <c r="I14" s="134"/>
      <c r="J14" s="6">
        <f t="shared" si="0"/>
        <v>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135">
        <f>20100000</f>
        <v>20100000</v>
      </c>
      <c r="H15" s="134"/>
      <c r="I15" s="134"/>
      <c r="J15" s="6">
        <f t="shared" si="0"/>
        <v>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/>
      <c r="H16" s="790"/>
      <c r="I16" s="790"/>
      <c r="J16" s="791"/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1700000</v>
      </c>
      <c r="D17" s="200"/>
      <c r="E17" s="134"/>
      <c r="F17" s="134"/>
      <c r="G17" s="6">
        <f>1700000</f>
        <v>1700000</v>
      </c>
      <c r="H17" s="134"/>
      <c r="I17" s="134"/>
      <c r="J17" s="6">
        <f t="shared" ref="J17:J20" si="1">G17-C17</f>
        <v>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6470000</v>
      </c>
      <c r="D18" s="200"/>
      <c r="E18" s="134"/>
      <c r="F18" s="134"/>
      <c r="G18" s="6">
        <f>4720000+1750000</f>
        <v>6470000</v>
      </c>
      <c r="H18" s="134"/>
      <c r="I18" s="134"/>
      <c r="J18" s="6">
        <f t="shared" si="1"/>
        <v>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2450000</v>
      </c>
      <c r="D19" s="200"/>
      <c r="E19" s="134"/>
      <c r="F19" s="134"/>
      <c r="G19" s="6">
        <f>1585000</f>
        <v>1585000</v>
      </c>
      <c r="H19" s="134"/>
      <c r="I19" s="134"/>
      <c r="J19" s="6">
        <f t="shared" si="1"/>
        <v>-865000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f>4460000+4900000</f>
        <v>9360000</v>
      </c>
      <c r="H20" s="134"/>
      <c r="I20" s="134"/>
      <c r="J20" s="6">
        <f t="shared" si="1"/>
        <v>-20000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/>
      <c r="H21" s="242"/>
      <c r="I21" s="242"/>
      <c r="J21" s="791"/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1700000</v>
      </c>
      <c r="D23" s="741"/>
      <c r="E23" s="742"/>
      <c r="F23" s="742"/>
      <c r="G23" s="6">
        <f>1700000</f>
        <v>1700000</v>
      </c>
      <c r="H23" s="742"/>
      <c r="I23" s="742"/>
      <c r="J23" s="6">
        <f t="shared" si="2"/>
        <v>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6529000</v>
      </c>
      <c r="D24" s="200">
        <f>C24/C21*100</f>
        <v>13.058</v>
      </c>
      <c r="E24" s="134">
        <f>G24/C24*100</f>
        <v>100</v>
      </c>
      <c r="F24" s="134">
        <f t="shared" ref="F24:F26" si="3">(D24*E24)/100</f>
        <v>13.058</v>
      </c>
      <c r="G24" s="6">
        <f>5459000+1070000</f>
        <v>6529000</v>
      </c>
      <c r="H24" s="134">
        <f t="shared" ref="H24:H26" si="4">G24/C24*100</f>
        <v>100</v>
      </c>
      <c r="I24" s="134">
        <f t="shared" ref="I24:I26" si="5">(D24*H24)/100</f>
        <v>13.058</v>
      </c>
      <c r="J24" s="6">
        <f t="shared" si="2"/>
        <v>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99.896491046475518</v>
      </c>
      <c r="F25" s="134">
        <f t="shared" si="3"/>
        <v>19.302</v>
      </c>
      <c r="G25" s="6">
        <f>9651000</f>
        <v>9651000</v>
      </c>
      <c r="H25" s="134">
        <f t="shared" si="4"/>
        <v>99.896491046475518</v>
      </c>
      <c r="I25" s="134">
        <f t="shared" si="5"/>
        <v>19.302</v>
      </c>
      <c r="J25" s="6">
        <f t="shared" si="2"/>
        <v>-10000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11800000</v>
      </c>
      <c r="D26" s="200">
        <f>C26/C21*100</f>
        <v>23.599999999999998</v>
      </c>
      <c r="E26" s="134">
        <f>G26/C26*100</f>
        <v>100</v>
      </c>
      <c r="F26" s="134">
        <f t="shared" si="3"/>
        <v>23.6</v>
      </c>
      <c r="G26" s="6">
        <f>11800000</f>
        <v>11800000</v>
      </c>
      <c r="H26" s="134">
        <f t="shared" si="4"/>
        <v>100</v>
      </c>
      <c r="I26" s="134">
        <f t="shared" si="5"/>
        <v>23.6</v>
      </c>
      <c r="J26" s="6">
        <f t="shared" si="2"/>
        <v>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f>17851651</f>
        <v>17851651</v>
      </c>
      <c r="H27" s="134"/>
      <c r="I27" s="134"/>
      <c r="J27" s="6">
        <f t="shared" si="2"/>
        <v>-148349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12286248670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4702610725</v>
      </c>
      <c r="D30" s="200">
        <f>C30/C29*100</f>
        <v>38.275399198801992</v>
      </c>
      <c r="E30" s="134">
        <f>G30/C30*100</f>
        <v>96.9124809921408</v>
      </c>
      <c r="F30" s="134">
        <f t="shared" ref="F30:F38" si="6">(D30*E30)/100</f>
        <v>37.093638973204996</v>
      </c>
      <c r="G30" s="6">
        <f>4557416725</f>
        <v>4557416725</v>
      </c>
      <c r="H30" s="134">
        <f>G30/C30*100</f>
        <v>96.9124809921408</v>
      </c>
      <c r="I30" s="134">
        <f t="shared" ref="I30:I38" si="7">(D30*H30)/100</f>
        <v>37.093638973204996</v>
      </c>
      <c r="J30" s="6">
        <f t="shared" ref="J30:J39" si="8">G30-C30</f>
        <v>-145194000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5.7367331472056229</v>
      </c>
      <c r="E31" s="134">
        <f t="shared" ref="E31:E39" si="9">G31/C31*100</f>
        <v>62.391921277960492</v>
      </c>
      <c r="F31" s="134">
        <f t="shared" si="6"/>
        <v>3.5792580291311977</v>
      </c>
      <c r="G31" s="6">
        <f>439756542</f>
        <v>439756542</v>
      </c>
      <c r="H31" s="134">
        <f t="shared" ref="H31:H39" si="10">G31/C31*100</f>
        <v>62.391921277960492</v>
      </c>
      <c r="I31" s="134">
        <f t="shared" si="7"/>
        <v>3.5792580291311977</v>
      </c>
      <c r="J31" s="6">
        <f t="shared" si="8"/>
        <v>-265072758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3.1902919314752891</v>
      </c>
      <c r="E32" s="134">
        <f t="shared" si="9"/>
        <v>79.884235211517691</v>
      </c>
      <c r="F32" s="134">
        <f t="shared" si="6"/>
        <v>2.5485403104737907</v>
      </c>
      <c r="G32" s="6">
        <f>313120000</f>
        <v>313120000</v>
      </c>
      <c r="H32" s="134">
        <f t="shared" si="10"/>
        <v>79.884235211517691</v>
      </c>
      <c r="I32" s="134">
        <f t="shared" si="7"/>
        <v>2.5485403104737907</v>
      </c>
      <c r="J32" s="6">
        <f t="shared" si="8"/>
        <v>-78847200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0.35975179395420787</v>
      </c>
      <c r="E33" s="134">
        <f t="shared" si="9"/>
        <v>39.909502262443439</v>
      </c>
      <c r="F33" s="134">
        <f t="shared" si="6"/>
        <v>0.14357515034733545</v>
      </c>
      <c r="G33" s="6">
        <f>17640000</f>
        <v>17640000</v>
      </c>
      <c r="H33" s="134">
        <f t="shared" si="10"/>
        <v>39.909502262443439</v>
      </c>
      <c r="I33" s="134">
        <f t="shared" si="7"/>
        <v>0.14357515034733545</v>
      </c>
      <c r="J33" s="6">
        <f t="shared" si="8"/>
        <v>-26560000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128857800</v>
      </c>
      <c r="D34" s="200">
        <f>C34/C29*100</f>
        <v>1.0487969392532244</v>
      </c>
      <c r="E34" s="134">
        <f t="shared" si="9"/>
        <v>90.200205187423649</v>
      </c>
      <c r="F34" s="134">
        <f t="shared" si="6"/>
        <v>0.94601699120582738</v>
      </c>
      <c r="G34" s="6">
        <f>116230000</f>
        <v>116230000</v>
      </c>
      <c r="H34" s="134">
        <f>G34/C34*100</f>
        <v>90.200205187423649</v>
      </c>
      <c r="I34" s="134">
        <f t="shared" si="7"/>
        <v>0.94601699120582738</v>
      </c>
      <c r="J34" s="6">
        <f t="shared" si="8"/>
        <v>-12627800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288747600</v>
      </c>
      <c r="D35" s="200">
        <f>C35/C29*100</f>
        <v>2.3501689389133942</v>
      </c>
      <c r="E35" s="134">
        <f t="shared" si="9"/>
        <v>95.632815649376823</v>
      </c>
      <c r="F35" s="134">
        <f t="shared" si="6"/>
        <v>2.2475327287999618</v>
      </c>
      <c r="G35" s="6">
        <f>276137460</f>
        <v>276137460</v>
      </c>
      <c r="H35" s="134">
        <f t="shared" si="10"/>
        <v>95.632815649376823</v>
      </c>
      <c r="I35" s="134">
        <f t="shared" si="7"/>
        <v>2.2475327287999618</v>
      </c>
      <c r="J35" s="6">
        <f t="shared" si="8"/>
        <v>-12610140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25000000</v>
      </c>
      <c r="D36" s="200">
        <f>C36/C29*100</f>
        <v>0.2034795214673121</v>
      </c>
      <c r="E36" s="134">
        <f t="shared" si="9"/>
        <v>28.164287999999999</v>
      </c>
      <c r="F36" s="134">
        <f t="shared" si="6"/>
        <v>5.7308558447075608E-2</v>
      </c>
      <c r="G36" s="6">
        <f>7041072</f>
        <v>7041072</v>
      </c>
      <c r="H36" s="134">
        <f t="shared" si="10"/>
        <v>28.164287999999999</v>
      </c>
      <c r="I36" s="134">
        <f t="shared" si="7"/>
        <v>5.7308558447075608E-2</v>
      </c>
      <c r="J36" s="6">
        <f t="shared" si="8"/>
        <v>-17958928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4.6686341405460094E-3</v>
      </c>
      <c r="E37" s="134">
        <f>G37/C37*100</f>
        <v>10.400453277545328</v>
      </c>
      <c r="F37" s="134">
        <f t="shared" si="6"/>
        <v>4.8555911248701763E-4</v>
      </c>
      <c r="G37" s="6">
        <f>59657</f>
        <v>59657</v>
      </c>
      <c r="H37" s="134">
        <f>G37/C37*100</f>
        <v>10.400453277545328</v>
      </c>
      <c r="I37" s="134">
        <f t="shared" si="7"/>
        <v>4.8555911248701763E-4</v>
      </c>
      <c r="J37" s="6">
        <f t="shared" si="8"/>
        <v>-513943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5698212114</v>
      </c>
      <c r="D38" s="200">
        <f>C38/C29*100</f>
        <v>46.378778967038443</v>
      </c>
      <c r="E38" s="134">
        <f t="shared" si="9"/>
        <v>96.810119378437733</v>
      </c>
      <c r="F38" s="134">
        <f t="shared" si="6"/>
        <v>44.899351284251686</v>
      </c>
      <c r="G38" s="6">
        <f>5516445950</f>
        <v>5516445950</v>
      </c>
      <c r="H38" s="134">
        <f t="shared" si="10"/>
        <v>96.810119378437733</v>
      </c>
      <c r="I38" s="134">
        <f t="shared" si="7"/>
        <v>44.899351284251686</v>
      </c>
      <c r="J38" s="6">
        <f t="shared" si="8"/>
        <v>-181766164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301250331</v>
      </c>
      <c r="D39" s="200"/>
      <c r="E39" s="134">
        <f t="shared" si="9"/>
        <v>94.010307660043708</v>
      </c>
      <c r="F39" s="134"/>
      <c r="G39" s="6">
        <f>283206363</f>
        <v>283206363</v>
      </c>
      <c r="H39" s="134">
        <f t="shared" si="10"/>
        <v>94.010307660043708</v>
      </c>
      <c r="I39" s="134"/>
      <c r="J39" s="6">
        <f t="shared" si="8"/>
        <v>-18043968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1901284136</v>
      </c>
      <c r="D40" s="241"/>
      <c r="E40" s="242"/>
      <c r="F40" s="242"/>
      <c r="G40" s="791"/>
      <c r="H40" s="242"/>
      <c r="I40" s="242"/>
      <c r="J40" s="791"/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1750199998</v>
      </c>
      <c r="D41" s="200">
        <f>C41/C40*100</f>
        <v>92.053573943037421</v>
      </c>
      <c r="E41" s="134">
        <f>G41/C41*100</f>
        <v>98.184493312975079</v>
      </c>
      <c r="F41" s="134">
        <f t="shared" ref="F41:F44" si="11">(D41*E41)/100</f>
        <v>90.38233515245615</v>
      </c>
      <c r="G41" s="6">
        <f>1718425000</f>
        <v>1718425000</v>
      </c>
      <c r="H41" s="134">
        <f t="shared" ref="H41:H44" si="12">G41/C41*100</f>
        <v>98.184493312975079</v>
      </c>
      <c r="I41" s="134">
        <f t="shared" ref="I41:I44" si="13">(D41*H41)/100</f>
        <v>90.38233515245615</v>
      </c>
      <c r="J41" s="6">
        <f t="shared" ref="J41:J44" si="14">G41-C41</f>
        <v>-31774998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133803946</v>
      </c>
      <c r="D42" s="200">
        <f>C42/C40*100</f>
        <v>7.0375565369993707</v>
      </c>
      <c r="E42" s="134">
        <f t="shared" ref="E42:E44" si="15">G42/C42*100</f>
        <v>93.293252352961247</v>
      </c>
      <c r="F42" s="134">
        <f t="shared" si="11"/>
        <v>6.5655653795451441</v>
      </c>
      <c r="G42" s="6">
        <f>124830053</f>
        <v>124830053</v>
      </c>
      <c r="H42" s="134">
        <f t="shared" si="12"/>
        <v>93.293252352961247</v>
      </c>
      <c r="I42" s="134">
        <f t="shared" si="13"/>
        <v>6.5655653795451441</v>
      </c>
      <c r="J42" s="6">
        <f t="shared" si="14"/>
        <v>-8973893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7310887</v>
      </c>
      <c r="D43" s="200">
        <f>C43/C40*100</f>
        <v>0.38452364176250614</v>
      </c>
      <c r="E43" s="134">
        <f t="shared" si="15"/>
        <v>75.712728154600114</v>
      </c>
      <c r="F43" s="134">
        <f t="shared" si="11"/>
        <v>0.29113333957781468</v>
      </c>
      <c r="G43" s="6">
        <f>5535272</f>
        <v>5535272</v>
      </c>
      <c r="H43" s="134">
        <f t="shared" si="12"/>
        <v>75.712728154600114</v>
      </c>
      <c r="I43" s="134">
        <f t="shared" si="13"/>
        <v>0.29113333957781468</v>
      </c>
      <c r="J43" s="6">
        <f t="shared" si="14"/>
        <v>-1775615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9969305</v>
      </c>
      <c r="D44" s="200">
        <f>C44/C40*100</f>
        <v>0.52434587820071099</v>
      </c>
      <c r="E44" s="134">
        <f t="shared" si="15"/>
        <v>36.667099662413776</v>
      </c>
      <c r="F44" s="134">
        <f t="shared" si="11"/>
        <v>0.19226242573561345</v>
      </c>
      <c r="G44" s="6">
        <f>3655455</f>
        <v>3655455</v>
      </c>
      <c r="H44" s="134">
        <f t="shared" si="12"/>
        <v>36.667099662413776</v>
      </c>
      <c r="I44" s="134">
        <f t="shared" si="13"/>
        <v>0.19226242573561345</v>
      </c>
      <c r="J44" s="6">
        <f t="shared" si="14"/>
        <v>-6313850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1700000</v>
      </c>
      <c r="D47" s="741"/>
      <c r="E47" s="742"/>
      <c r="F47" s="742"/>
      <c r="G47" s="6">
        <v>1700000</v>
      </c>
      <c r="H47" s="742"/>
      <c r="I47" s="742"/>
      <c r="J47" s="6">
        <f t="shared" si="16"/>
        <v>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9525400</v>
      </c>
      <c r="D48" s="200">
        <f>C48/C45*100</f>
        <v>19.050800000000002</v>
      </c>
      <c r="E48" s="134">
        <f t="shared" ref="E48:E50" si="17">G48/C48*100</f>
        <v>100</v>
      </c>
      <c r="F48" s="134">
        <f t="shared" ref="F48:F50" si="18">(D48*E48)/100</f>
        <v>19.050800000000002</v>
      </c>
      <c r="G48" s="6">
        <f>8779400+746000</f>
        <v>9525400</v>
      </c>
      <c r="H48" s="134">
        <f t="shared" ref="H48:H50" si="19">G48/C48*100</f>
        <v>100</v>
      </c>
      <c r="I48" s="134">
        <f t="shared" ref="I48:I50" si="20">(D48*H48)/100</f>
        <v>19.050800000000002</v>
      </c>
      <c r="J48" s="6">
        <f t="shared" si="16"/>
        <v>0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100</v>
      </c>
      <c r="F49" s="134">
        <f t="shared" si="18"/>
        <v>8.2492000000000001</v>
      </c>
      <c r="G49" s="6">
        <f>1749000+2375600</f>
        <v>4124600</v>
      </c>
      <c r="H49" s="134">
        <f t="shared" si="19"/>
        <v>100</v>
      </c>
      <c r="I49" s="134">
        <f t="shared" si="20"/>
        <v>8.2492000000000001</v>
      </c>
      <c r="J49" s="6">
        <f t="shared" si="16"/>
        <v>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12240000</v>
      </c>
      <c r="D50" s="200">
        <f>C50/C45*100</f>
        <v>24.48</v>
      </c>
      <c r="E50" s="134">
        <f t="shared" si="17"/>
        <v>100</v>
      </c>
      <c r="F50" s="134">
        <f t="shared" si="18"/>
        <v>24.48</v>
      </c>
      <c r="G50" s="6">
        <f>12240000</f>
        <v>12240000</v>
      </c>
      <c r="H50" s="134">
        <f t="shared" si="19"/>
        <v>100</v>
      </c>
      <c r="I50" s="134">
        <f t="shared" si="20"/>
        <v>24.48</v>
      </c>
      <c r="J50" s="6">
        <f t="shared" si="16"/>
        <v>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135">
        <f>19950000</f>
        <v>19950000</v>
      </c>
      <c r="H51" s="134"/>
      <c r="I51" s="134"/>
      <c r="J51" s="135">
        <f t="shared" si="16"/>
        <v>-150000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100</v>
      </c>
      <c r="F54" s="134">
        <f t="shared" ref="F54:F57" si="21">(D54*E54)/100</f>
        <v>100</v>
      </c>
      <c r="G54" s="6">
        <f>9448000+4028500</f>
        <v>13476500</v>
      </c>
      <c r="H54" s="134">
        <f>G54/C54*100</f>
        <v>100</v>
      </c>
      <c r="I54" s="134">
        <f>(D54*H54)/100</f>
        <v>100</v>
      </c>
      <c r="J54" s="6">
        <f>G54-C54</f>
        <v>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SUM(C56:C58)</f>
        <v>16708000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1.0174766578884367</v>
      </c>
      <c r="E56" s="134">
        <f t="shared" ref="E56:E57" si="22">G56/C56*100</f>
        <v>100</v>
      </c>
      <c r="F56" s="134">
        <f t="shared" si="21"/>
        <v>1.0174766578884367</v>
      </c>
      <c r="G56" s="6">
        <f>170000</f>
        <v>170000</v>
      </c>
      <c r="H56" s="134">
        <f t="shared" ref="H56:H59" si="23">G56/C56*100</f>
        <v>100</v>
      </c>
      <c r="I56" s="134">
        <f t="shared" ref="I56:I57" si="24">(D56*H56)/100</f>
        <v>1.0174766578884367</v>
      </c>
      <c r="J56" s="6">
        <f t="shared" ref="J56:J57" si="25">G56-C56</f>
        <v>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6803000</v>
      </c>
      <c r="D57" s="200">
        <f>C57/C55*100</f>
        <v>40.717021785970793</v>
      </c>
      <c r="E57" s="134">
        <f t="shared" si="22"/>
        <v>81.449360576216378</v>
      </c>
      <c r="F57" s="134">
        <f t="shared" si="21"/>
        <v>33.163753890351927</v>
      </c>
      <c r="G57" s="6">
        <f>5541000</f>
        <v>5541000</v>
      </c>
      <c r="H57" s="134">
        <f t="shared" si="23"/>
        <v>81.449360576216378</v>
      </c>
      <c r="I57" s="134">
        <f t="shared" si="24"/>
        <v>33.163753890351927</v>
      </c>
      <c r="J57" s="6">
        <f t="shared" si="25"/>
        <v>-1262000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49" t="s">
        <v>565</v>
      </c>
      <c r="B58" s="707" t="s">
        <v>178</v>
      </c>
      <c r="C58" s="56">
        <v>9735000</v>
      </c>
      <c r="D58" s="200"/>
      <c r="E58" s="134"/>
      <c r="F58" s="134"/>
      <c r="G58" s="6"/>
      <c r="H58" s="134"/>
      <c r="I58" s="134"/>
      <c r="J58" s="6">
        <f>G58-C58</f>
        <v>-9735000</v>
      </c>
      <c r="K58" s="163"/>
      <c r="L58" s="4"/>
      <c r="M58" s="4"/>
      <c r="N58" s="4"/>
      <c r="O58" s="4"/>
      <c r="P58" s="4"/>
      <c r="Q58" s="4"/>
      <c r="R58" s="9"/>
    </row>
    <row r="59" spans="1:18" x14ac:dyDescent="0.25">
      <c r="A59" s="238" t="s">
        <v>503</v>
      </c>
      <c r="B59" s="238" t="s">
        <v>61</v>
      </c>
      <c r="C59" s="239">
        <f>SUM(C60:C63)</f>
        <v>62599600</v>
      </c>
      <c r="D59" s="241"/>
      <c r="E59" s="242"/>
      <c r="F59" s="242"/>
      <c r="G59" s="791">
        <v>0</v>
      </c>
      <c r="H59" s="242">
        <f t="shared" si="23"/>
        <v>0</v>
      </c>
      <c r="I59" s="242"/>
      <c r="J59" s="791">
        <v>0</v>
      </c>
      <c r="K59" s="237"/>
      <c r="L59" s="4"/>
      <c r="M59" s="4"/>
      <c r="N59" s="4"/>
      <c r="O59" s="4"/>
      <c r="P59" s="4"/>
      <c r="Q59" s="4"/>
      <c r="R59" s="9"/>
    </row>
    <row r="60" spans="1:18" ht="22.5" customHeight="1" x14ac:dyDescent="0.25">
      <c r="A60" s="49" t="s">
        <v>450</v>
      </c>
      <c r="B60" s="707" t="s">
        <v>384</v>
      </c>
      <c r="C60" s="56">
        <v>3090000</v>
      </c>
      <c r="D60" s="200">
        <f>C60/C59*100</f>
        <v>4.9361337772126337</v>
      </c>
      <c r="E60" s="134">
        <f>G60/C60*100</f>
        <v>100</v>
      </c>
      <c r="F60" s="134">
        <f t="shared" ref="F60:F72" si="26">(D60*E60)/100</f>
        <v>4.9361337772126337</v>
      </c>
      <c r="G60" s="135">
        <f>3090000</f>
        <v>3090000</v>
      </c>
      <c r="H60" s="134">
        <f>G60/C60*100</f>
        <v>100</v>
      </c>
      <c r="I60" s="134">
        <f>(D60*H60)/100</f>
        <v>4.9361337772126337</v>
      </c>
      <c r="J60" s="6">
        <f t="shared" ref="J60:J63" si="27">G60-C60</f>
        <v>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448</v>
      </c>
      <c r="B61" s="707" t="s">
        <v>445</v>
      </c>
      <c r="C61" s="56">
        <v>1700000</v>
      </c>
      <c r="D61" s="200"/>
      <c r="E61" s="134"/>
      <c r="F61" s="134"/>
      <c r="G61" s="6">
        <f>170000+1530000</f>
        <v>1700000</v>
      </c>
      <c r="H61" s="134"/>
      <c r="I61" s="134"/>
      <c r="J61" s="6">
        <f t="shared" si="27"/>
        <v>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415</v>
      </c>
      <c r="B62" s="707" t="s">
        <v>197</v>
      </c>
      <c r="C62" s="56">
        <v>8463000</v>
      </c>
      <c r="D62" s="200"/>
      <c r="E62" s="134"/>
      <c r="F62" s="134"/>
      <c r="G62" s="6">
        <f>7664500+302500</f>
        <v>7967000</v>
      </c>
      <c r="H62" s="134"/>
      <c r="I62" s="134"/>
      <c r="J62" s="6">
        <f t="shared" si="27"/>
        <v>-496000</v>
      </c>
      <c r="K62" s="163"/>
      <c r="L62" s="4"/>
      <c r="M62" s="4"/>
      <c r="N62" s="4"/>
      <c r="O62" s="4"/>
      <c r="P62" s="4"/>
      <c r="Q62" s="4"/>
      <c r="R62" s="9"/>
    </row>
    <row r="63" spans="1:18" x14ac:dyDescent="0.25">
      <c r="A63" s="49" t="s">
        <v>413</v>
      </c>
      <c r="B63" s="707" t="s">
        <v>334</v>
      </c>
      <c r="C63" s="56">
        <v>49346600</v>
      </c>
      <c r="D63" s="200"/>
      <c r="E63" s="134"/>
      <c r="F63" s="134"/>
      <c r="G63" s="6">
        <f>32587000+16650800</f>
        <v>49237800</v>
      </c>
      <c r="H63" s="134"/>
      <c r="I63" s="134"/>
      <c r="J63" s="6">
        <f t="shared" si="27"/>
        <v>-108800</v>
      </c>
      <c r="K63" s="163"/>
      <c r="L63" s="4"/>
      <c r="M63" s="4"/>
      <c r="N63" s="4"/>
      <c r="O63" s="4"/>
      <c r="P63" s="4"/>
      <c r="Q63" s="4"/>
      <c r="R63" s="9"/>
    </row>
    <row r="64" spans="1:18" s="796" customFormat="1" x14ac:dyDescent="0.25">
      <c r="A64" s="799" t="s">
        <v>468</v>
      </c>
      <c r="B64" s="736" t="s">
        <v>467</v>
      </c>
      <c r="C64" s="800">
        <v>3000000</v>
      </c>
      <c r="D64" s="789"/>
      <c r="E64" s="790"/>
      <c r="F64" s="790"/>
      <c r="G64" s="791">
        <v>0</v>
      </c>
      <c r="H64" s="790"/>
      <c r="I64" s="790"/>
      <c r="J64" s="791">
        <v>0</v>
      </c>
      <c r="K64" s="793"/>
      <c r="L64" s="794"/>
      <c r="M64" s="794"/>
      <c r="N64" s="794"/>
      <c r="O64" s="794"/>
      <c r="P64" s="794"/>
      <c r="Q64" s="794"/>
      <c r="R64" s="795"/>
    </row>
    <row r="65" spans="1:18" x14ac:dyDescent="0.25">
      <c r="A65" s="49" t="s">
        <v>413</v>
      </c>
      <c r="B65" s="707" t="s">
        <v>334</v>
      </c>
      <c r="C65" s="56">
        <v>3000000</v>
      </c>
      <c r="D65" s="200"/>
      <c r="E65" s="134"/>
      <c r="F65" s="134"/>
      <c r="G65" s="6">
        <f>3000000</f>
        <v>3000000</v>
      </c>
      <c r="H65" s="134"/>
      <c r="I65" s="134"/>
      <c r="J65" s="6">
        <f>G65-C65</f>
        <v>0</v>
      </c>
      <c r="K65" s="163"/>
      <c r="L65" s="4"/>
      <c r="M65" s="4"/>
      <c r="N65" s="4"/>
      <c r="O65" s="4"/>
      <c r="P65" s="4"/>
      <c r="Q65" s="4"/>
      <c r="R65" s="9"/>
    </row>
    <row r="66" spans="1:18" s="796" customFormat="1" x14ac:dyDescent="0.25">
      <c r="A66" s="799" t="s">
        <v>469</v>
      </c>
      <c r="B66" s="736" t="s">
        <v>470</v>
      </c>
      <c r="C66" s="800">
        <f>SUM(C67:C69)</f>
        <v>12000000</v>
      </c>
      <c r="D66" s="789"/>
      <c r="E66" s="790"/>
      <c r="F66" s="790"/>
      <c r="G66" s="791">
        <v>0</v>
      </c>
      <c r="H66" s="790"/>
      <c r="I66" s="790"/>
      <c r="J66" s="791">
        <v>0</v>
      </c>
      <c r="K66" s="793"/>
      <c r="L66" s="794"/>
      <c r="M66" s="794"/>
      <c r="N66" s="794"/>
      <c r="O66" s="794"/>
      <c r="P66" s="794"/>
      <c r="Q66" s="794"/>
      <c r="R66" s="795"/>
    </row>
    <row r="67" spans="1:18" x14ac:dyDescent="0.25">
      <c r="A67" s="49" t="s">
        <v>448</v>
      </c>
      <c r="B67" s="707" t="s">
        <v>445</v>
      </c>
      <c r="C67" s="56">
        <v>170000</v>
      </c>
      <c r="D67" s="200"/>
      <c r="E67" s="134"/>
      <c r="F67" s="134"/>
      <c r="G67" s="6">
        <f>170000</f>
        <v>170000</v>
      </c>
      <c r="H67" s="134"/>
      <c r="I67" s="134"/>
      <c r="J67" s="6">
        <f t="shared" ref="J67:J69" si="28">G67-C67</f>
        <v>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413</v>
      </c>
      <c r="B68" s="707" t="s">
        <v>334</v>
      </c>
      <c r="C68" s="56">
        <v>820000</v>
      </c>
      <c r="D68" s="200"/>
      <c r="E68" s="134"/>
      <c r="F68" s="134"/>
      <c r="G68" s="6">
        <f>800000</f>
        <v>800000</v>
      </c>
      <c r="H68" s="134"/>
      <c r="I68" s="134"/>
      <c r="J68" s="6">
        <f t="shared" si="28"/>
        <v>-20000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49" t="s">
        <v>391</v>
      </c>
      <c r="B69" s="218" t="s">
        <v>198</v>
      </c>
      <c r="C69" s="56">
        <v>11010000</v>
      </c>
      <c r="D69" s="200"/>
      <c r="E69" s="134"/>
      <c r="F69" s="134"/>
      <c r="G69" s="6">
        <f>3142200+3896600</f>
        <v>7038800</v>
      </c>
      <c r="H69" s="134"/>
      <c r="I69" s="134"/>
      <c r="J69" s="6">
        <f t="shared" si="28"/>
        <v>-3971200</v>
      </c>
      <c r="K69" s="163"/>
      <c r="L69" s="4"/>
      <c r="M69" s="4"/>
      <c r="N69" s="4"/>
      <c r="O69" s="4"/>
      <c r="P69" s="4"/>
      <c r="Q69" s="4"/>
      <c r="R69" s="9"/>
    </row>
    <row r="70" spans="1:18" x14ac:dyDescent="0.25">
      <c r="A70" s="238" t="s">
        <v>504</v>
      </c>
      <c r="B70" s="238" t="s">
        <v>64</v>
      </c>
      <c r="C70" s="239">
        <f>SUM(C71:C72)</f>
        <v>408714000</v>
      </c>
      <c r="D70" s="241"/>
      <c r="E70" s="242"/>
      <c r="F70" s="242"/>
      <c r="G70" s="791">
        <v>0</v>
      </c>
      <c r="H70" s="242"/>
      <c r="I70" s="242"/>
      <c r="J70" s="791">
        <v>0</v>
      </c>
      <c r="K70" s="237"/>
      <c r="L70" s="4"/>
      <c r="M70" s="4"/>
      <c r="N70" s="4"/>
      <c r="O70" s="4"/>
      <c r="P70" s="4"/>
      <c r="Q70" s="4"/>
      <c r="R70" s="9"/>
    </row>
    <row r="71" spans="1:18" ht="21" customHeight="1" x14ac:dyDescent="0.25">
      <c r="A71" s="49" t="s">
        <v>450</v>
      </c>
      <c r="B71" s="707" t="s">
        <v>384</v>
      </c>
      <c r="C71" s="56">
        <v>10320000</v>
      </c>
      <c r="D71" s="200">
        <f>C71/C70*100</f>
        <v>2.5249930269087919</v>
      </c>
      <c r="E71" s="134">
        <f t="shared" ref="E71:E72" si="29">G71/C71*100</f>
        <v>100</v>
      </c>
      <c r="F71" s="134">
        <f t="shared" si="26"/>
        <v>2.5249930269087919</v>
      </c>
      <c r="G71" s="135">
        <f>10320000</f>
        <v>10320000</v>
      </c>
      <c r="H71" s="134">
        <f t="shared" ref="H71:H72" si="30">G71/C71*100</f>
        <v>100</v>
      </c>
      <c r="I71" s="134">
        <f t="shared" ref="I71:I72" si="31">(D71*H71)/100</f>
        <v>2.5249930269087919</v>
      </c>
      <c r="J71" s="6">
        <f t="shared" ref="J71:J72" si="32">G71-C71</f>
        <v>0</v>
      </c>
      <c r="K71" s="163"/>
      <c r="L71" s="4"/>
      <c r="M71" s="4"/>
      <c r="N71" s="4"/>
      <c r="O71" s="4"/>
      <c r="P71" s="4"/>
      <c r="Q71" s="4"/>
      <c r="R71" s="9"/>
    </row>
    <row r="72" spans="1:18" ht="15.75" thickBot="1" x14ac:dyDescent="0.3">
      <c r="A72" s="217" t="s">
        <v>449</v>
      </c>
      <c r="B72" s="78" t="s">
        <v>23</v>
      </c>
      <c r="C72" s="219">
        <v>398394000</v>
      </c>
      <c r="D72" s="200">
        <f>C72/C70*100</f>
        <v>97.475006973091212</v>
      </c>
      <c r="E72" s="134">
        <f t="shared" si="29"/>
        <v>99.813014001214867</v>
      </c>
      <c r="F72" s="134">
        <f t="shared" si="26"/>
        <v>97.292742357736699</v>
      </c>
      <c r="G72" s="6">
        <f>340898148+56750911</f>
        <v>397649059</v>
      </c>
      <c r="H72" s="134">
        <f t="shared" si="30"/>
        <v>99.813014001214867</v>
      </c>
      <c r="I72" s="134">
        <f t="shared" si="31"/>
        <v>97.292742357736699</v>
      </c>
      <c r="J72" s="6">
        <f t="shared" si="32"/>
        <v>-744941</v>
      </c>
      <c r="K72" s="163"/>
      <c r="L72" s="4"/>
      <c r="M72" s="4"/>
      <c r="N72" s="4"/>
      <c r="O72" s="694"/>
      <c r="P72" s="4"/>
      <c r="Q72" s="4"/>
      <c r="R72" s="9"/>
    </row>
    <row r="73" spans="1:18" ht="15.75" thickBot="1" x14ac:dyDescent="0.3">
      <c r="A73" s="689" t="s">
        <v>248</v>
      </c>
      <c r="B73" s="708" t="s">
        <v>68</v>
      </c>
      <c r="C73" s="690"/>
      <c r="D73" s="216"/>
      <c r="E73" s="134"/>
      <c r="F73" s="134"/>
      <c r="G73" s="6">
        <v>0</v>
      </c>
      <c r="H73" s="134"/>
      <c r="I73" s="134"/>
      <c r="J73" s="6">
        <v>0</v>
      </c>
      <c r="K73" s="163"/>
      <c r="L73" s="4"/>
      <c r="M73" s="4"/>
      <c r="N73" s="4"/>
      <c r="O73" s="4"/>
      <c r="P73" s="4"/>
      <c r="Q73" s="4"/>
      <c r="R73" s="9"/>
    </row>
    <row r="74" spans="1:18" x14ac:dyDescent="0.25">
      <c r="A74" s="233" t="s">
        <v>249</v>
      </c>
      <c r="B74" s="696" t="s">
        <v>387</v>
      </c>
      <c r="C74" s="234">
        <f>SUM(C75:C77)</f>
        <v>237367500</v>
      </c>
      <c r="D74" s="241"/>
      <c r="E74" s="242"/>
      <c r="F74" s="242"/>
      <c r="G74" s="791">
        <v>0</v>
      </c>
      <c r="H74" s="242"/>
      <c r="I74" s="242"/>
      <c r="J74" s="791">
        <v>0</v>
      </c>
      <c r="K74" s="237"/>
      <c r="L74" s="4"/>
      <c r="M74" s="4"/>
      <c r="N74" s="4"/>
      <c r="O74" s="713"/>
      <c r="P74" s="4"/>
      <c r="Q74" s="4"/>
      <c r="R74" s="9"/>
    </row>
    <row r="75" spans="1:18" x14ac:dyDescent="0.25">
      <c r="A75" s="49" t="s">
        <v>471</v>
      </c>
      <c r="B75" s="78" t="s">
        <v>388</v>
      </c>
      <c r="C75" s="56">
        <v>44000000</v>
      </c>
      <c r="D75" s="200">
        <f>C75/C74*100</f>
        <v>18.536657293016106</v>
      </c>
      <c r="E75" s="134">
        <f t="shared" ref="E75:E77" si="33">G75/C75*100</f>
        <v>97.223347727272724</v>
      </c>
      <c r="F75" s="134">
        <f t="shared" ref="F75:F77" si="34">(D75*E75)/100</f>
        <v>18.021958777001906</v>
      </c>
      <c r="G75" s="6">
        <f>42778273</f>
        <v>42778273</v>
      </c>
      <c r="H75" s="134">
        <f t="shared" ref="H75:H79" si="35">G75/C75*100</f>
        <v>97.223347727272724</v>
      </c>
      <c r="I75" s="134">
        <f t="shared" ref="I75:I77" si="36">(D75*H75)/100</f>
        <v>18.021958777001906</v>
      </c>
      <c r="J75" s="6">
        <f t="shared" ref="J75:J77" si="37">G75-C75</f>
        <v>-1221727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472</v>
      </c>
      <c r="B76" s="78" t="s">
        <v>73</v>
      </c>
      <c r="C76" s="56">
        <v>32000000</v>
      </c>
      <c r="D76" s="200">
        <f>C76/C74*100</f>
        <v>13.481205304011713</v>
      </c>
      <c r="E76" s="134">
        <f t="shared" si="33"/>
        <v>95.709690624999993</v>
      </c>
      <c r="F76" s="134">
        <f t="shared" si="34"/>
        <v>12.902819888990701</v>
      </c>
      <c r="G76" s="6">
        <f>29753811+873290</f>
        <v>30627101</v>
      </c>
      <c r="H76" s="134">
        <f t="shared" si="35"/>
        <v>95.709690624999993</v>
      </c>
      <c r="I76" s="134">
        <f t="shared" si="36"/>
        <v>12.902819888990701</v>
      </c>
      <c r="J76" s="6">
        <f t="shared" si="37"/>
        <v>-1372899</v>
      </c>
      <c r="K76" s="163"/>
      <c r="L76" s="4"/>
      <c r="M76" s="730"/>
      <c r="N76" s="4"/>
      <c r="O76" s="4"/>
      <c r="P76" s="4"/>
      <c r="Q76" s="4"/>
      <c r="R76" s="9"/>
    </row>
    <row r="77" spans="1:18" x14ac:dyDescent="0.25">
      <c r="A77" s="49" t="s">
        <v>473</v>
      </c>
      <c r="B77" s="78" t="s">
        <v>75</v>
      </c>
      <c r="C77" s="56">
        <f>161367500</f>
        <v>161367500</v>
      </c>
      <c r="D77" s="200">
        <f>C77/C74*100</f>
        <v>67.982137402972185</v>
      </c>
      <c r="E77" s="134">
        <f t="shared" si="33"/>
        <v>99.537983175050741</v>
      </c>
      <c r="F77" s="134">
        <f t="shared" si="34"/>
        <v>67.668048490210325</v>
      </c>
      <c r="G77" s="6">
        <f>156852455+3769500</f>
        <v>160621955</v>
      </c>
      <c r="H77" s="134">
        <f t="shared" si="35"/>
        <v>99.537983175050741</v>
      </c>
      <c r="I77" s="134">
        <f t="shared" si="36"/>
        <v>67.668048490210325</v>
      </c>
      <c r="J77" s="6">
        <f t="shared" si="37"/>
        <v>-745545</v>
      </c>
      <c r="K77" s="163"/>
      <c r="L77" s="4"/>
      <c r="M77" s="4"/>
      <c r="N77" s="4"/>
      <c r="O77" s="4"/>
      <c r="P77" s="4"/>
      <c r="Q77" s="4"/>
      <c r="R77" s="9"/>
    </row>
    <row r="78" spans="1:18" x14ac:dyDescent="0.25">
      <c r="A78" s="238" t="s">
        <v>505</v>
      </c>
      <c r="B78" s="238" t="s">
        <v>76</v>
      </c>
      <c r="C78" s="239">
        <f>SUM(C79:C79)</f>
        <v>51000000</v>
      </c>
      <c r="D78" s="241"/>
      <c r="E78" s="242"/>
      <c r="F78" s="242"/>
      <c r="G78" s="791">
        <v>0</v>
      </c>
      <c r="H78" s="242"/>
      <c r="I78" s="242"/>
      <c r="J78" s="791">
        <v>0</v>
      </c>
      <c r="K78" s="237"/>
      <c r="L78" s="4"/>
      <c r="M78" s="4"/>
      <c r="N78" s="4"/>
      <c r="O78" s="4"/>
      <c r="P78" s="4"/>
      <c r="Q78" s="4"/>
      <c r="R78" s="9"/>
    </row>
    <row r="79" spans="1:18" ht="14.25" customHeight="1" thickBot="1" x14ac:dyDescent="0.3">
      <c r="A79" s="49" t="s">
        <v>450</v>
      </c>
      <c r="B79" s="707" t="s">
        <v>384</v>
      </c>
      <c r="C79" s="56">
        <v>51000000</v>
      </c>
      <c r="D79" s="200">
        <f>C79/C78*100</f>
        <v>100</v>
      </c>
      <c r="E79" s="134">
        <f t="shared" ref="E79" si="38">G79/C79*100</f>
        <v>100</v>
      </c>
      <c r="F79" s="134">
        <f t="shared" ref="F79" si="39">(D79*E79)/100</f>
        <v>100</v>
      </c>
      <c r="G79" s="6">
        <f>51000000</f>
        <v>51000000</v>
      </c>
      <c r="H79" s="134">
        <f t="shared" si="35"/>
        <v>100</v>
      </c>
      <c r="I79" s="134">
        <f t="shared" ref="I79" si="40">(D79*H79)/100</f>
        <v>100</v>
      </c>
      <c r="J79" s="6">
        <f>G79-C79</f>
        <v>0</v>
      </c>
      <c r="K79" s="163"/>
      <c r="L79" s="4"/>
      <c r="M79" s="4"/>
      <c r="N79" s="4"/>
      <c r="O79" s="4"/>
      <c r="P79" s="4"/>
      <c r="Q79" s="4"/>
      <c r="R79" s="9"/>
    </row>
    <row r="80" spans="1:18" ht="26.25" thickBot="1" x14ac:dyDescent="0.3">
      <c r="A80" s="689" t="s">
        <v>506</v>
      </c>
      <c r="B80" s="692" t="s">
        <v>377</v>
      </c>
      <c r="C80" s="690"/>
      <c r="D80" s="216"/>
      <c r="E80" s="134"/>
      <c r="F80" s="134"/>
      <c r="G80" s="6">
        <v>0</v>
      </c>
      <c r="H80" s="134"/>
      <c r="I80" s="134"/>
      <c r="J80" s="6">
        <v>0</v>
      </c>
      <c r="K80" s="163"/>
      <c r="L80" s="4"/>
      <c r="M80" s="4"/>
      <c r="N80" s="4"/>
      <c r="O80" s="694"/>
      <c r="P80" s="4"/>
      <c r="Q80" s="4"/>
      <c r="R80" s="9"/>
    </row>
    <row r="81" spans="1:18" ht="26.25" x14ac:dyDescent="0.25">
      <c r="A81" s="693" t="s">
        <v>507</v>
      </c>
      <c r="B81" s="691" t="s">
        <v>474</v>
      </c>
      <c r="C81" s="234">
        <f>SUM(C82:C86)</f>
        <v>244497500</v>
      </c>
      <c r="D81" s="241"/>
      <c r="E81" s="242"/>
      <c r="F81" s="242"/>
      <c r="G81" s="791">
        <v>0</v>
      </c>
      <c r="H81" s="242"/>
      <c r="I81" s="242"/>
      <c r="J81" s="791">
        <v>0</v>
      </c>
      <c r="K81" s="244"/>
      <c r="L81" s="4"/>
      <c r="M81" s="4"/>
      <c r="N81" s="4"/>
      <c r="O81" s="4"/>
      <c r="P81" s="4"/>
      <c r="Q81" s="4"/>
      <c r="R81" s="9"/>
    </row>
    <row r="82" spans="1:18" s="783" customFormat="1" ht="21" customHeight="1" x14ac:dyDescent="0.25">
      <c r="A82" s="801" t="s">
        <v>450</v>
      </c>
      <c r="B82" s="707" t="s">
        <v>384</v>
      </c>
      <c r="C82" s="788">
        <v>11940000</v>
      </c>
      <c r="D82" s="741"/>
      <c r="E82" s="742"/>
      <c r="F82" s="742"/>
      <c r="G82" s="135">
        <f>11940000</f>
        <v>11940000</v>
      </c>
      <c r="H82" s="742"/>
      <c r="I82" s="742"/>
      <c r="J82" s="6">
        <f t="shared" ref="J82:J86" si="41">G82-C82</f>
        <v>0</v>
      </c>
      <c r="K82" s="743"/>
      <c r="L82" s="737"/>
      <c r="M82" s="737"/>
      <c r="N82" s="737"/>
      <c r="O82" s="737"/>
      <c r="P82" s="737"/>
      <c r="Q82" s="737"/>
      <c r="R82" s="782"/>
    </row>
    <row r="83" spans="1:18" x14ac:dyDescent="0.25">
      <c r="A83" s="224" t="s">
        <v>475</v>
      </c>
      <c r="B83" s="78" t="s">
        <v>81</v>
      </c>
      <c r="C83" s="56">
        <v>162399536</v>
      </c>
      <c r="D83" s="200">
        <f>C83/C81*100</f>
        <v>66.421757277681778</v>
      </c>
      <c r="E83" s="134">
        <f t="shared" ref="E83:E86" si="42">G83/C83*100</f>
        <v>76.341345581184413</v>
      </c>
      <c r="F83" s="134">
        <f t="shared" ref="F83:F86" si="43">(D83*E83)/100</f>
        <v>50.70726326445056</v>
      </c>
      <c r="G83" s="6">
        <f>123977991</f>
        <v>123977991</v>
      </c>
      <c r="H83" s="134">
        <f t="shared" ref="H83:H86" si="44">G83/C83*100</f>
        <v>76.341345581184413</v>
      </c>
      <c r="I83" s="134">
        <f t="shared" ref="I83:I86" si="45">(D83*H83)/100</f>
        <v>50.70726326445056</v>
      </c>
      <c r="J83" s="6">
        <f t="shared" si="41"/>
        <v>-38421545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476</v>
      </c>
      <c r="B84" s="78" t="s">
        <v>83</v>
      </c>
      <c r="C84" s="56">
        <v>27600000</v>
      </c>
      <c r="D84" s="200">
        <f>C84/C81*100</f>
        <v>11.288458982198183</v>
      </c>
      <c r="E84" s="134">
        <f t="shared" si="42"/>
        <v>57.550724637681164</v>
      </c>
      <c r="F84" s="134">
        <f t="shared" si="43"/>
        <v>6.4965899446824622</v>
      </c>
      <c r="G84" s="6">
        <f>15884000</f>
        <v>15884000</v>
      </c>
      <c r="H84" s="134">
        <f t="shared" si="44"/>
        <v>57.550724637681164</v>
      </c>
      <c r="I84" s="134">
        <f t="shared" si="45"/>
        <v>6.4965899446824622</v>
      </c>
      <c r="J84" s="6">
        <f t="shared" si="41"/>
        <v>-11716000</v>
      </c>
      <c r="K84" s="56"/>
      <c r="L84" s="4"/>
      <c r="M84" s="4"/>
      <c r="N84" s="4"/>
      <c r="O84" s="4"/>
      <c r="P84" s="4"/>
      <c r="Q84" s="4"/>
      <c r="R84" s="9"/>
    </row>
    <row r="85" spans="1:18" x14ac:dyDescent="0.25">
      <c r="A85" s="49" t="s">
        <v>477</v>
      </c>
      <c r="B85" s="78" t="s">
        <v>85</v>
      </c>
      <c r="C85" s="56">
        <v>13307964</v>
      </c>
      <c r="D85" s="200">
        <f>C85/C81*100</f>
        <v>5.442985715600364</v>
      </c>
      <c r="E85" s="134">
        <f t="shared" si="42"/>
        <v>25.22433183618471</v>
      </c>
      <c r="F85" s="134">
        <f t="shared" si="43"/>
        <v>1.3729567786991688</v>
      </c>
      <c r="G85" s="6">
        <f>3356845</f>
        <v>3356845</v>
      </c>
      <c r="H85" s="134">
        <f t="shared" si="44"/>
        <v>25.22433183618471</v>
      </c>
      <c r="I85" s="134">
        <f t="shared" si="45"/>
        <v>1.3729567786991688</v>
      </c>
      <c r="J85" s="6">
        <f t="shared" si="41"/>
        <v>-9951119</v>
      </c>
      <c r="K85" s="56"/>
      <c r="L85" s="4"/>
      <c r="M85" s="4"/>
      <c r="N85" s="4"/>
      <c r="O85" s="713"/>
      <c r="P85" s="4"/>
      <c r="Q85" s="4"/>
      <c r="R85" s="9"/>
    </row>
    <row r="86" spans="1:18" ht="25.5" x14ac:dyDescent="0.25">
      <c r="A86" s="49" t="s">
        <v>478</v>
      </c>
      <c r="B86" s="77" t="s">
        <v>87</v>
      </c>
      <c r="C86" s="56">
        <v>29250000</v>
      </c>
      <c r="D86" s="200">
        <f>C86/C81*100</f>
        <v>11.963312508307856</v>
      </c>
      <c r="E86" s="134">
        <f t="shared" si="42"/>
        <v>99.174358974358981</v>
      </c>
      <c r="F86" s="134">
        <f t="shared" si="43"/>
        <v>11.864538492213624</v>
      </c>
      <c r="G86" s="135">
        <f>17270000+11738500</f>
        <v>29008500</v>
      </c>
      <c r="H86" s="134">
        <f t="shared" si="44"/>
        <v>99.174358974358981</v>
      </c>
      <c r="I86" s="134">
        <f t="shared" si="45"/>
        <v>11.864538492213624</v>
      </c>
      <c r="J86" s="135">
        <f t="shared" si="41"/>
        <v>-241500</v>
      </c>
      <c r="K86" s="56"/>
      <c r="L86" s="4"/>
      <c r="M86" s="4"/>
      <c r="N86" s="4"/>
      <c r="O86" s="4"/>
      <c r="P86" s="4"/>
      <c r="Q86" s="4"/>
      <c r="R86" s="9"/>
    </row>
    <row r="87" spans="1:18" s="796" customFormat="1" x14ac:dyDescent="0.25">
      <c r="A87" s="799" t="s">
        <v>483</v>
      </c>
      <c r="B87" s="691" t="s">
        <v>479</v>
      </c>
      <c r="C87" s="800">
        <f>SUM(C89:C91)</f>
        <v>61430000</v>
      </c>
      <c r="D87" s="789"/>
      <c r="E87" s="790"/>
      <c r="F87" s="790"/>
      <c r="G87" s="791">
        <v>0</v>
      </c>
      <c r="H87" s="790"/>
      <c r="I87" s="790"/>
      <c r="J87" s="791">
        <v>0</v>
      </c>
      <c r="K87" s="792"/>
      <c r="L87" s="794"/>
      <c r="M87" s="794"/>
      <c r="N87" s="794"/>
      <c r="O87" s="794"/>
      <c r="P87" s="794"/>
      <c r="Q87" s="794"/>
      <c r="R87" s="795"/>
    </row>
    <row r="88" spans="1:18" s="796" customFormat="1" x14ac:dyDescent="0.25">
      <c r="A88" s="124" t="s">
        <v>450</v>
      </c>
      <c r="B88" s="927" t="s">
        <v>608</v>
      </c>
      <c r="C88" s="743">
        <v>3060000</v>
      </c>
      <c r="D88" s="741"/>
      <c r="E88" s="742"/>
      <c r="F88" s="742"/>
      <c r="G88" s="82">
        <f>3060000</f>
        <v>3060000</v>
      </c>
      <c r="H88" s="742"/>
      <c r="I88" s="742"/>
      <c r="J88" s="6">
        <f>G88-C88</f>
        <v>0</v>
      </c>
      <c r="K88" s="792"/>
      <c r="L88" s="794"/>
      <c r="M88" s="794"/>
      <c r="N88" s="794"/>
      <c r="O88" s="794"/>
      <c r="P88" s="794"/>
      <c r="Q88" s="794"/>
      <c r="R88" s="795"/>
    </row>
    <row r="89" spans="1:18" ht="25.5" x14ac:dyDescent="0.25">
      <c r="A89" s="49" t="s">
        <v>484</v>
      </c>
      <c r="B89" s="77" t="s">
        <v>480</v>
      </c>
      <c r="C89" s="56">
        <f>21750000</f>
        <v>21750000</v>
      </c>
      <c r="D89" s="200"/>
      <c r="E89" s="134"/>
      <c r="F89" s="134"/>
      <c r="G89" s="132">
        <f>15195000</f>
        <v>15195000</v>
      </c>
      <c r="H89" s="134"/>
      <c r="I89" s="134"/>
      <c r="J89" s="135">
        <f t="shared" ref="J89:J91" si="46">G89-C89</f>
        <v>-6555000</v>
      </c>
      <c r="K89" s="56"/>
      <c r="L89" s="4"/>
      <c r="M89" s="4"/>
      <c r="N89" s="4"/>
      <c r="O89" s="4"/>
      <c r="P89" s="4"/>
      <c r="Q89" s="4"/>
      <c r="R89" s="9"/>
    </row>
    <row r="90" spans="1:18" ht="25.5" x14ac:dyDescent="0.25">
      <c r="A90" s="49" t="s">
        <v>485</v>
      </c>
      <c r="B90" s="77" t="s">
        <v>481</v>
      </c>
      <c r="C90" s="56">
        <v>19320000</v>
      </c>
      <c r="D90" s="200"/>
      <c r="E90" s="134"/>
      <c r="F90" s="134"/>
      <c r="G90" s="135">
        <f>14452000</f>
        <v>14452000</v>
      </c>
      <c r="H90" s="134"/>
      <c r="I90" s="134"/>
      <c r="J90" s="135">
        <f t="shared" si="46"/>
        <v>-4868000</v>
      </c>
      <c r="K90" s="56"/>
      <c r="L90" s="4"/>
      <c r="M90" s="4"/>
      <c r="N90" s="4"/>
      <c r="O90" s="4"/>
      <c r="P90" s="4"/>
      <c r="Q90" s="4"/>
      <c r="R90" s="9"/>
    </row>
    <row r="91" spans="1:18" ht="25.5" x14ac:dyDescent="0.25">
      <c r="A91" s="49" t="s">
        <v>486</v>
      </c>
      <c r="B91" s="77" t="s">
        <v>482</v>
      </c>
      <c r="C91" s="56">
        <v>20360000</v>
      </c>
      <c r="D91" s="200"/>
      <c r="E91" s="134"/>
      <c r="F91" s="134"/>
      <c r="G91" s="132">
        <f>15991000</f>
        <v>15991000</v>
      </c>
      <c r="H91" s="134"/>
      <c r="I91" s="134"/>
      <c r="J91" s="135">
        <f t="shared" si="46"/>
        <v>-4369000</v>
      </c>
      <c r="K91" s="56"/>
      <c r="L91" s="4"/>
      <c r="M91" s="4"/>
      <c r="N91" s="4"/>
      <c r="O91" s="4"/>
      <c r="P91" s="4"/>
      <c r="Q91" s="4"/>
      <c r="R91" s="9"/>
    </row>
    <row r="92" spans="1:18" s="796" customFormat="1" ht="25.5" x14ac:dyDescent="0.25">
      <c r="A92" s="799" t="s">
        <v>508</v>
      </c>
      <c r="B92" s="802" t="s">
        <v>90</v>
      </c>
      <c r="C92" s="800">
        <v>107280000</v>
      </c>
      <c r="D92" s="789"/>
      <c r="E92" s="790"/>
      <c r="F92" s="790"/>
      <c r="G92" s="791"/>
      <c r="H92" s="790"/>
      <c r="I92" s="790"/>
      <c r="J92" s="791"/>
      <c r="K92" s="792"/>
      <c r="L92" s="794"/>
      <c r="M92" s="794"/>
      <c r="N92" s="794"/>
      <c r="O92" s="794"/>
      <c r="P92" s="794"/>
      <c r="Q92" s="794"/>
      <c r="R92" s="795"/>
    </row>
    <row r="93" spans="1:18" ht="25.5" x14ac:dyDescent="0.25">
      <c r="A93" s="49" t="s">
        <v>487</v>
      </c>
      <c r="B93" s="77" t="s">
        <v>509</v>
      </c>
      <c r="C93" s="56">
        <v>107280000</v>
      </c>
      <c r="D93" s="200"/>
      <c r="E93" s="134"/>
      <c r="F93" s="134"/>
      <c r="G93" s="132">
        <f>105975226+1093000</f>
        <v>107068226</v>
      </c>
      <c r="H93" s="134"/>
      <c r="I93" s="134"/>
      <c r="J93" s="135">
        <f>G93-C93</f>
        <v>-211774</v>
      </c>
      <c r="K93" s="56"/>
      <c r="L93" s="4"/>
      <c r="M93" s="4"/>
      <c r="N93" s="4"/>
      <c r="O93" s="4"/>
      <c r="P93" s="4"/>
      <c r="Q93" s="4"/>
      <c r="R93" s="9"/>
    </row>
    <row r="94" spans="1:18" ht="25.5" x14ac:dyDescent="0.25">
      <c r="A94" s="238" t="s">
        <v>510</v>
      </c>
      <c r="B94" s="240" t="s">
        <v>90</v>
      </c>
      <c r="C94" s="239">
        <v>47010000</v>
      </c>
      <c r="D94" s="241"/>
      <c r="E94" s="242"/>
      <c r="F94" s="242"/>
      <c r="G94" s="791">
        <v>0</v>
      </c>
      <c r="H94" s="242"/>
      <c r="I94" s="242"/>
      <c r="J94" s="791">
        <v>0</v>
      </c>
      <c r="K94" s="244"/>
      <c r="L94" s="4"/>
      <c r="M94" s="4"/>
      <c r="N94" s="4"/>
      <c r="O94" s="4"/>
      <c r="P94" s="4"/>
      <c r="Q94" s="4"/>
      <c r="R94" s="9"/>
    </row>
    <row r="95" spans="1:18" s="783" customFormat="1" x14ac:dyDescent="0.25">
      <c r="A95" s="124" t="s">
        <v>448</v>
      </c>
      <c r="B95" s="707" t="s">
        <v>445</v>
      </c>
      <c r="C95" s="743">
        <v>170000</v>
      </c>
      <c r="D95" s="741"/>
      <c r="E95" s="742"/>
      <c r="F95" s="742"/>
      <c r="G95" s="6">
        <f>170000</f>
        <v>170000</v>
      </c>
      <c r="H95" s="742"/>
      <c r="I95" s="742"/>
      <c r="J95" s="6">
        <f t="shared" ref="J95:J97" si="47">G95-C95</f>
        <v>0</v>
      </c>
      <c r="K95" s="743"/>
      <c r="L95" s="737"/>
      <c r="M95" s="737"/>
      <c r="N95" s="737"/>
      <c r="O95" s="737"/>
      <c r="P95" s="737"/>
      <c r="Q95" s="737"/>
      <c r="R95" s="782"/>
    </row>
    <row r="96" spans="1:18" x14ac:dyDescent="0.25">
      <c r="A96" s="49" t="s">
        <v>490</v>
      </c>
      <c r="B96" s="316" t="s">
        <v>488</v>
      </c>
      <c r="C96" s="56">
        <v>8500000</v>
      </c>
      <c r="D96" s="200">
        <f>C96/C94*100</f>
        <v>18.081259306530526</v>
      </c>
      <c r="E96" s="134">
        <f t="shared" ref="E96:E97" si="48">G96/C96*100</f>
        <v>0</v>
      </c>
      <c r="F96" s="134">
        <f t="shared" ref="F96:F97" si="49">(D96*E96)/100</f>
        <v>0</v>
      </c>
      <c r="G96" s="6">
        <v>0</v>
      </c>
      <c r="H96" s="134">
        <f t="shared" ref="H96:H97" si="50">G96/C96*100</f>
        <v>0</v>
      </c>
      <c r="I96" s="134">
        <f t="shared" ref="I96:I97" si="51">(D96*H96)/100</f>
        <v>0</v>
      </c>
      <c r="J96" s="6">
        <f t="shared" si="47"/>
        <v>-8500000</v>
      </c>
      <c r="K96" s="56"/>
      <c r="L96" s="4"/>
      <c r="M96" s="4"/>
      <c r="N96" s="4"/>
      <c r="O96" s="4"/>
      <c r="P96" s="4"/>
      <c r="Q96" s="4"/>
      <c r="R96" s="9"/>
    </row>
    <row r="97" spans="1:18" ht="25.5" x14ac:dyDescent="0.25">
      <c r="A97" s="49" t="s">
        <v>491</v>
      </c>
      <c r="B97" s="77" t="s">
        <v>489</v>
      </c>
      <c r="C97" s="56">
        <v>38340000</v>
      </c>
      <c r="D97" s="200">
        <f>C97/C94*100</f>
        <v>81.557115507338864</v>
      </c>
      <c r="E97" s="134">
        <f t="shared" si="48"/>
        <v>95.685511215440783</v>
      </c>
      <c r="F97" s="134">
        <f t="shared" si="49"/>
        <v>78.038342905764722</v>
      </c>
      <c r="G97" s="138">
        <f>21010825+15675000</f>
        <v>36685825</v>
      </c>
      <c r="H97" s="134">
        <f t="shared" si="50"/>
        <v>95.685511215440783</v>
      </c>
      <c r="I97" s="134">
        <f t="shared" si="51"/>
        <v>78.038342905764722</v>
      </c>
      <c r="J97" s="135">
        <f t="shared" si="47"/>
        <v>-1654175</v>
      </c>
      <c r="K97" s="56"/>
      <c r="L97" s="4"/>
      <c r="M97" s="695"/>
      <c r="N97" s="4"/>
      <c r="O97" s="4"/>
      <c r="P97" s="4"/>
      <c r="Q97" s="4"/>
      <c r="R97" s="9"/>
    </row>
    <row r="98" spans="1:18" x14ac:dyDescent="0.25">
      <c r="A98" s="1045" t="s">
        <v>95</v>
      </c>
      <c r="B98" s="1046"/>
      <c r="C98" s="1047"/>
      <c r="D98" s="81"/>
      <c r="E98" s="134"/>
      <c r="F98" s="134"/>
      <c r="G98" s="768">
        <f>SUM(G12:G97)</f>
        <v>14690283075</v>
      </c>
      <c r="H98" s="134"/>
      <c r="I98" s="134"/>
      <c r="J98" s="781">
        <v>0</v>
      </c>
      <c r="K98" s="130"/>
      <c r="L98" s="1"/>
      <c r="M98" s="1"/>
      <c r="N98" s="1"/>
      <c r="O98" s="1"/>
      <c r="P98" s="1"/>
      <c r="Q98" s="1"/>
      <c r="R98" s="1"/>
    </row>
    <row r="99" spans="1:18" x14ac:dyDescent="0.25">
      <c r="A99" s="50"/>
      <c r="B99" s="5"/>
      <c r="C99" s="50"/>
      <c r="D99" s="9"/>
      <c r="E99" s="23"/>
      <c r="F99" s="23"/>
      <c r="G99" s="11"/>
      <c r="H99" s="23"/>
      <c r="I99" s="23"/>
      <c r="J99" s="4"/>
      <c r="K99" s="9"/>
      <c r="L99" s="1"/>
      <c r="M99" s="1"/>
      <c r="N99" s="1"/>
      <c r="O99" s="1"/>
      <c r="P99" s="1"/>
      <c r="Q99" s="1"/>
      <c r="R99" s="1"/>
    </row>
    <row r="100" spans="1:18" x14ac:dyDescent="0.25">
      <c r="A100" s="1036" t="s">
        <v>0</v>
      </c>
      <c r="B100" s="1036"/>
      <c r="C100" s="1036"/>
      <c r="D100" s="1036"/>
      <c r="E100" s="1037"/>
      <c r="F100" s="1037"/>
      <c r="G100" s="1038"/>
      <c r="H100" s="1037"/>
      <c r="I100" s="1037"/>
      <c r="J100" s="1036"/>
      <c r="K100" s="1036"/>
      <c r="L100" s="1"/>
      <c r="M100" s="1"/>
      <c r="N100" s="1"/>
      <c r="O100" s="1"/>
      <c r="P100" s="1"/>
      <c r="Q100" s="1"/>
      <c r="R100" s="1"/>
    </row>
    <row r="101" spans="1:18" x14ac:dyDescent="0.25">
      <c r="A101" s="1036" t="s">
        <v>511</v>
      </c>
      <c r="B101" s="1036"/>
      <c r="C101" s="1036"/>
      <c r="D101" s="1036"/>
      <c r="E101" s="1037"/>
      <c r="F101" s="1037"/>
      <c r="G101" s="1038"/>
      <c r="H101" s="1037"/>
      <c r="I101" s="1037"/>
      <c r="J101" s="1036"/>
      <c r="K101" s="1036"/>
      <c r="L101" s="9"/>
      <c r="M101" s="9"/>
      <c r="N101" s="9"/>
      <c r="O101" s="9"/>
      <c r="P101" s="9"/>
      <c r="Q101" s="9"/>
      <c r="R101" s="9"/>
    </row>
    <row r="102" spans="1:18" x14ac:dyDescent="0.25">
      <c r="A102" s="1161" t="s">
        <v>444</v>
      </c>
      <c r="B102" s="1161"/>
      <c r="C102" s="1161"/>
      <c r="D102" s="1161"/>
      <c r="E102" s="1161"/>
      <c r="F102" s="1161"/>
      <c r="G102" s="1161"/>
      <c r="H102" s="1161"/>
      <c r="I102" s="1161"/>
      <c r="J102" s="1161"/>
      <c r="K102" s="1161"/>
      <c r="L102" s="9"/>
      <c r="M102" s="9"/>
      <c r="N102" s="9"/>
      <c r="O102" s="9"/>
      <c r="P102" s="9"/>
      <c r="Q102" s="9"/>
      <c r="R102" s="9"/>
    </row>
    <row r="103" spans="1:18" x14ac:dyDescent="0.25">
      <c r="A103" s="1048" t="s">
        <v>2</v>
      </c>
      <c r="B103" s="1051" t="s">
        <v>3</v>
      </c>
      <c r="C103" s="1048" t="s">
        <v>4</v>
      </c>
      <c r="D103" s="1054" t="s">
        <v>5</v>
      </c>
      <c r="E103" s="1055"/>
      <c r="F103" s="1055"/>
      <c r="G103" s="1044" t="s">
        <v>6</v>
      </c>
      <c r="H103" s="1055"/>
      <c r="I103" s="1055"/>
      <c r="J103" s="1048" t="s">
        <v>7</v>
      </c>
      <c r="K103" s="213" t="s">
        <v>8</v>
      </c>
      <c r="L103" s="9"/>
      <c r="M103" s="9"/>
      <c r="N103" s="9"/>
      <c r="O103" s="9"/>
      <c r="P103" s="9"/>
      <c r="Q103" s="9"/>
      <c r="R103" s="9"/>
    </row>
    <row r="104" spans="1:18" x14ac:dyDescent="0.25">
      <c r="A104" s="1049"/>
      <c r="B104" s="1052"/>
      <c r="C104" s="1049"/>
      <c r="D104" s="209" t="s">
        <v>9</v>
      </c>
      <c r="E104" s="214" t="s">
        <v>10</v>
      </c>
      <c r="F104" s="214" t="s">
        <v>11</v>
      </c>
      <c r="G104" s="209" t="s">
        <v>12</v>
      </c>
      <c r="H104" s="214" t="s">
        <v>13</v>
      </c>
      <c r="I104" s="214" t="s">
        <v>11</v>
      </c>
      <c r="J104" s="1049"/>
      <c r="K104" s="209"/>
      <c r="L104" s="1"/>
      <c r="M104" s="1"/>
      <c r="N104" s="1"/>
      <c r="O104" s="1"/>
      <c r="P104" s="1"/>
      <c r="Q104" s="1"/>
      <c r="R104" s="1"/>
    </row>
    <row r="105" spans="1:18" x14ac:dyDescent="0.25">
      <c r="A105" s="1050"/>
      <c r="B105" s="1053"/>
      <c r="C105" s="1050"/>
      <c r="D105" s="212" t="s">
        <v>14</v>
      </c>
      <c r="E105" s="215" t="s">
        <v>14</v>
      </c>
      <c r="F105" s="215" t="s">
        <v>14</v>
      </c>
      <c r="G105" s="212" t="s">
        <v>15</v>
      </c>
      <c r="H105" s="215" t="s">
        <v>14</v>
      </c>
      <c r="I105" s="215" t="s">
        <v>14</v>
      </c>
      <c r="J105" s="212" t="s">
        <v>15</v>
      </c>
      <c r="K105" s="212"/>
      <c r="L105" s="1"/>
      <c r="M105" s="1"/>
      <c r="N105" s="1"/>
      <c r="O105" s="1"/>
      <c r="P105" s="1"/>
      <c r="Q105" s="1"/>
      <c r="R105" s="1"/>
    </row>
    <row r="106" spans="1:18" ht="26.25" thickBot="1" x14ac:dyDescent="0.3">
      <c r="A106" s="227" t="s">
        <v>220</v>
      </c>
      <c r="B106" s="704" t="s">
        <v>212</v>
      </c>
      <c r="C106" s="922"/>
      <c r="D106" s="6"/>
      <c r="E106" s="203"/>
      <c r="F106" s="204"/>
      <c r="G106" s="6"/>
      <c r="H106" s="204"/>
      <c r="I106" s="204"/>
      <c r="J106" s="6"/>
      <c r="K106" s="6"/>
      <c r="L106" s="1"/>
      <c r="M106" s="1"/>
      <c r="N106" s="1"/>
      <c r="O106" s="714"/>
      <c r="P106" s="1"/>
      <c r="Q106" s="1"/>
      <c r="R106" s="1"/>
    </row>
    <row r="107" spans="1:18" ht="26.25" thickBot="1" x14ac:dyDescent="0.3">
      <c r="A107" s="703" t="s">
        <v>180</v>
      </c>
      <c r="B107" s="705" t="s">
        <v>379</v>
      </c>
      <c r="C107" s="246">
        <f>SUM(C109:C143)</f>
        <v>1481315000</v>
      </c>
      <c r="D107" s="226"/>
      <c r="E107" s="204"/>
      <c r="F107" s="204"/>
      <c r="G107" s="6"/>
      <c r="H107" s="204"/>
      <c r="I107" s="204"/>
      <c r="J107" s="6"/>
      <c r="K107" s="6"/>
      <c r="L107" s="1"/>
      <c r="M107" s="1"/>
      <c r="N107" s="1"/>
      <c r="O107" s="1"/>
      <c r="P107" s="1"/>
      <c r="Q107" s="1"/>
      <c r="R107" s="1"/>
    </row>
    <row r="108" spans="1:18" ht="25.5" x14ac:dyDescent="0.25">
      <c r="A108" s="698" t="s">
        <v>181</v>
      </c>
      <c r="B108" s="706" t="s">
        <v>380</v>
      </c>
      <c r="C108" s="246">
        <f>SUM(C109:C143)</f>
        <v>1481315000</v>
      </c>
      <c r="D108" s="236"/>
      <c r="E108" s="278"/>
      <c r="F108" s="278"/>
      <c r="G108" s="236"/>
      <c r="H108" s="278"/>
      <c r="I108" s="278"/>
      <c r="J108" s="236"/>
      <c r="K108" s="236"/>
      <c r="L108" s="1"/>
      <c r="M108" s="1"/>
      <c r="N108" s="1"/>
      <c r="O108" s="715"/>
      <c r="P108" s="1"/>
      <c r="Q108" s="1"/>
      <c r="R108" s="1"/>
    </row>
    <row r="109" spans="1:18" ht="15" customHeight="1" x14ac:dyDescent="0.25">
      <c r="A109" s="315" t="s">
        <v>450</v>
      </c>
      <c r="B109" s="707" t="s">
        <v>384</v>
      </c>
      <c r="C109" s="722">
        <v>73080000</v>
      </c>
      <c r="D109" s="722">
        <f>C109/C107*100</f>
        <v>4.9334543969378561</v>
      </c>
      <c r="E109" s="134">
        <f t="shared" ref="E109:E137" si="52">G109/C109*100</f>
        <v>100</v>
      </c>
      <c r="F109" s="134">
        <f t="shared" ref="F109:F137" si="53">(D109*E109)/100</f>
        <v>4.9334543969378561</v>
      </c>
      <c r="G109" s="6">
        <f>73080000</f>
        <v>73080000</v>
      </c>
      <c r="H109" s="134">
        <f t="shared" ref="H109:H137" si="54">G109/C109*100</f>
        <v>100</v>
      </c>
      <c r="I109" s="134">
        <f t="shared" ref="I109:I137" si="55">(D109*H109)/100</f>
        <v>4.9334543969378561</v>
      </c>
      <c r="J109" s="6">
        <f t="shared" ref="J109:J138" si="56">G109-C109</f>
        <v>0</v>
      </c>
      <c r="K109" s="6"/>
      <c r="L109" s="1"/>
      <c r="M109" s="1"/>
      <c r="N109" s="1"/>
      <c r="O109" s="1"/>
      <c r="P109" s="1"/>
      <c r="Q109" s="1"/>
      <c r="R109" s="1"/>
    </row>
    <row r="110" spans="1:18" ht="15" customHeight="1" x14ac:dyDescent="0.25">
      <c r="A110" s="124" t="s">
        <v>448</v>
      </c>
      <c r="B110" s="707" t="s">
        <v>445</v>
      </c>
      <c r="C110" s="722">
        <v>1870000</v>
      </c>
      <c r="D110" s="722"/>
      <c r="E110" s="134"/>
      <c r="F110" s="134"/>
      <c r="G110" s="6">
        <f>1870000</f>
        <v>1870000</v>
      </c>
      <c r="H110" s="134"/>
      <c r="I110" s="134"/>
      <c r="J110" s="6">
        <f>G110-C110</f>
        <v>0</v>
      </c>
      <c r="K110" s="6"/>
      <c r="L110" s="1"/>
      <c r="M110" s="1"/>
      <c r="N110" s="1"/>
      <c r="O110" s="1"/>
      <c r="P110" s="1"/>
      <c r="Q110" s="1"/>
      <c r="R110" s="1"/>
    </row>
    <row r="111" spans="1:18" ht="15" customHeight="1" x14ac:dyDescent="0.25">
      <c r="A111" s="315" t="s">
        <v>518</v>
      </c>
      <c r="B111" s="707" t="s">
        <v>512</v>
      </c>
      <c r="C111" s="722">
        <v>1500000</v>
      </c>
      <c r="D111" s="722"/>
      <c r="E111" s="134"/>
      <c r="F111" s="134"/>
      <c r="G111" s="6">
        <f>1500000</f>
        <v>1500000</v>
      </c>
      <c r="H111" s="134"/>
      <c r="I111" s="134"/>
      <c r="J111" s="6">
        <f t="shared" si="56"/>
        <v>0</v>
      </c>
      <c r="K111" s="6"/>
      <c r="L111" s="1"/>
      <c r="M111" s="1"/>
      <c r="N111" s="1"/>
      <c r="O111" s="1"/>
      <c r="P111" s="1"/>
      <c r="Q111" s="1"/>
      <c r="R111" s="1"/>
    </row>
    <row r="112" spans="1:18" x14ac:dyDescent="0.25">
      <c r="A112" s="315" t="s">
        <v>59</v>
      </c>
      <c r="B112" s="707" t="s">
        <v>197</v>
      </c>
      <c r="C112" s="247">
        <v>32666800</v>
      </c>
      <c r="D112" s="279">
        <f>C112/C107*100</f>
        <v>2.2052568157346681</v>
      </c>
      <c r="E112" s="134">
        <f t="shared" si="52"/>
        <v>99.970000122448482</v>
      </c>
      <c r="F112" s="134">
        <f t="shared" si="53"/>
        <v>2.2045952413902512</v>
      </c>
      <c r="G112" s="6">
        <f>27140500+5516500</f>
        <v>32657000</v>
      </c>
      <c r="H112" s="134">
        <f t="shared" si="54"/>
        <v>99.970000122448482</v>
      </c>
      <c r="I112" s="134">
        <f t="shared" si="55"/>
        <v>2.2045952413902512</v>
      </c>
      <c r="J112" s="6">
        <f t="shared" si="56"/>
        <v>-9800</v>
      </c>
      <c r="K112" s="6"/>
      <c r="L112" s="1"/>
      <c r="M112" s="25"/>
    </row>
    <row r="113" spans="1:15" x14ac:dyDescent="0.25">
      <c r="A113" s="228" t="s">
        <v>62</v>
      </c>
      <c r="B113" s="707" t="s">
        <v>334</v>
      </c>
      <c r="C113" s="247">
        <v>32712000</v>
      </c>
      <c r="D113" s="279">
        <f>C113/C107*100</f>
        <v>2.2083081586293263</v>
      </c>
      <c r="E113" s="134">
        <f t="shared" si="52"/>
        <v>99.960564930300805</v>
      </c>
      <c r="F113" s="134">
        <f t="shared" si="53"/>
        <v>2.2074373107677978</v>
      </c>
      <c r="G113" s="6">
        <f>29824100+2875000</f>
        <v>32699100</v>
      </c>
      <c r="H113" s="134">
        <f t="shared" si="54"/>
        <v>99.960564930300805</v>
      </c>
      <c r="I113" s="134">
        <f t="shared" si="55"/>
        <v>2.2074373107677978</v>
      </c>
      <c r="J113" s="6">
        <f t="shared" si="56"/>
        <v>-12900</v>
      </c>
      <c r="K113" s="6"/>
      <c r="L113" s="1"/>
      <c r="M113" s="1"/>
      <c r="O113" s="716"/>
    </row>
    <row r="114" spans="1:15" x14ac:dyDescent="0.25">
      <c r="A114" s="315" t="s">
        <v>54</v>
      </c>
      <c r="B114" s="707" t="s">
        <v>386</v>
      </c>
      <c r="C114" s="248">
        <v>6000000</v>
      </c>
      <c r="D114" s="279">
        <f>C114/C107*100</f>
        <v>0.40504551698997171</v>
      </c>
      <c r="E114" s="134">
        <f t="shared" si="52"/>
        <v>99.566666666666663</v>
      </c>
      <c r="F114" s="134">
        <f t="shared" si="53"/>
        <v>0.40329031974968182</v>
      </c>
      <c r="G114" s="6">
        <f>5974000</f>
        <v>5974000</v>
      </c>
      <c r="H114" s="134">
        <f t="shared" si="54"/>
        <v>99.566666666666663</v>
      </c>
      <c r="I114" s="134">
        <f t="shared" si="55"/>
        <v>0.40329031974968182</v>
      </c>
      <c r="J114" s="6">
        <f t="shared" si="56"/>
        <v>-26000</v>
      </c>
      <c r="K114" s="6"/>
      <c r="L114" s="1"/>
      <c r="M114" s="1"/>
    </row>
    <row r="115" spans="1:15" ht="25.5" x14ac:dyDescent="0.25">
      <c r="A115" s="315" t="s">
        <v>86</v>
      </c>
      <c r="B115" s="707" t="s">
        <v>545</v>
      </c>
      <c r="C115" s="732">
        <v>6000000</v>
      </c>
      <c r="D115" s="279"/>
      <c r="E115" s="134"/>
      <c r="F115" s="134"/>
      <c r="G115" s="135">
        <v>6000000</v>
      </c>
      <c r="H115" s="134"/>
      <c r="I115" s="134"/>
      <c r="J115" s="6">
        <f t="shared" si="56"/>
        <v>0</v>
      </c>
      <c r="K115" s="6"/>
      <c r="L115" s="1"/>
      <c r="M115" s="1"/>
    </row>
    <row r="116" spans="1:15" ht="25.5" x14ac:dyDescent="0.25">
      <c r="A116" s="315" t="s">
        <v>193</v>
      </c>
      <c r="B116" s="316" t="s">
        <v>372</v>
      </c>
      <c r="C116" s="732">
        <v>20000000</v>
      </c>
      <c r="D116" s="279">
        <f>C116/C107*100</f>
        <v>1.3501517232999058</v>
      </c>
      <c r="E116" s="134">
        <f t="shared" si="52"/>
        <v>100</v>
      </c>
      <c r="F116" s="134">
        <f t="shared" si="53"/>
        <v>1.3501517232999058</v>
      </c>
      <c r="G116" s="135">
        <f>18260000+1740000</f>
        <v>20000000</v>
      </c>
      <c r="H116" s="134">
        <f t="shared" si="54"/>
        <v>100</v>
      </c>
      <c r="I116" s="134">
        <f t="shared" si="55"/>
        <v>1.3501517232999058</v>
      </c>
      <c r="J116" s="6">
        <f t="shared" si="56"/>
        <v>0</v>
      </c>
      <c r="K116" s="6"/>
      <c r="L116" s="1"/>
      <c r="M116" s="716"/>
    </row>
    <row r="117" spans="1:15" x14ac:dyDescent="0.25">
      <c r="A117" s="315" t="s">
        <v>519</v>
      </c>
      <c r="B117" s="315" t="s">
        <v>513</v>
      </c>
      <c r="C117" s="248">
        <v>2292000</v>
      </c>
      <c r="D117" s="279">
        <f>C117/C107*100</f>
        <v>0.1547273874901692</v>
      </c>
      <c r="E117" s="134">
        <v>0</v>
      </c>
      <c r="F117" s="134">
        <f t="shared" si="53"/>
        <v>0</v>
      </c>
      <c r="G117" s="6">
        <f>2292000</f>
        <v>2292000</v>
      </c>
      <c r="H117" s="134">
        <v>0</v>
      </c>
      <c r="I117" s="134">
        <f t="shared" si="55"/>
        <v>0</v>
      </c>
      <c r="J117" s="6">
        <f t="shared" si="56"/>
        <v>0</v>
      </c>
      <c r="K117" s="6"/>
      <c r="L117" s="1"/>
      <c r="M117" s="1"/>
    </row>
    <row r="118" spans="1:15" x14ac:dyDescent="0.25">
      <c r="A118" s="315" t="s">
        <v>579</v>
      </c>
      <c r="B118" s="315" t="s">
        <v>566</v>
      </c>
      <c r="C118" s="248">
        <v>9777000</v>
      </c>
      <c r="D118" s="279"/>
      <c r="E118" s="134"/>
      <c r="F118" s="134"/>
      <c r="G118" s="6">
        <f>8091600+1659500</f>
        <v>9751100</v>
      </c>
      <c r="H118" s="134"/>
      <c r="I118" s="134"/>
      <c r="J118" s="6">
        <f>G118-C118</f>
        <v>-25900</v>
      </c>
      <c r="K118" s="6"/>
      <c r="L118" s="1"/>
      <c r="M118" s="1"/>
    </row>
    <row r="119" spans="1:15" x14ac:dyDescent="0.25">
      <c r="A119" s="315" t="s">
        <v>465</v>
      </c>
      <c r="B119" s="315" t="s">
        <v>567</v>
      </c>
      <c r="C119" s="248">
        <v>8400000</v>
      </c>
      <c r="D119" s="279"/>
      <c r="E119" s="134"/>
      <c r="F119" s="134"/>
      <c r="G119" s="6">
        <f>8364000</f>
        <v>8364000</v>
      </c>
      <c r="H119" s="134"/>
      <c r="I119" s="134"/>
      <c r="J119" s="6">
        <f>G119-C119</f>
        <v>-36000</v>
      </c>
      <c r="K119" s="6"/>
      <c r="L119" s="1"/>
      <c r="M119" s="1"/>
    </row>
    <row r="120" spans="1:15" x14ac:dyDescent="0.25">
      <c r="A120" s="228" t="s">
        <v>77</v>
      </c>
      <c r="B120" s="315" t="s">
        <v>103</v>
      </c>
      <c r="C120" s="247">
        <v>397980000</v>
      </c>
      <c r="D120" s="279">
        <f>C120/C107*100</f>
        <v>26.866669141944826</v>
      </c>
      <c r="E120" s="134">
        <f t="shared" si="52"/>
        <v>94.532514196693299</v>
      </c>
      <c r="F120" s="134">
        <f t="shared" si="53"/>
        <v>25.397737820787611</v>
      </c>
      <c r="G120" s="6">
        <f>363895500+12325000</f>
        <v>376220500</v>
      </c>
      <c r="H120" s="134">
        <f t="shared" si="54"/>
        <v>94.532514196693299</v>
      </c>
      <c r="I120" s="134">
        <f t="shared" si="55"/>
        <v>25.397737820787611</v>
      </c>
      <c r="J120" s="6">
        <f t="shared" si="56"/>
        <v>-21759500</v>
      </c>
      <c r="K120" s="6"/>
      <c r="L120" s="1"/>
      <c r="M120" s="1"/>
    </row>
    <row r="121" spans="1:15" x14ac:dyDescent="0.25">
      <c r="A121" s="228" t="s">
        <v>592</v>
      </c>
      <c r="B121" s="315" t="s">
        <v>568</v>
      </c>
      <c r="C121" s="247">
        <f>32650200</f>
        <v>32650200</v>
      </c>
      <c r="D121" s="279"/>
      <c r="E121" s="134"/>
      <c r="F121" s="134"/>
      <c r="G121" s="6">
        <f>31622500</f>
        <v>31622500</v>
      </c>
      <c r="H121" s="134"/>
      <c r="I121" s="134"/>
      <c r="J121" s="6">
        <f>G121-C121</f>
        <v>-1027700</v>
      </c>
      <c r="K121" s="6"/>
      <c r="L121" s="1"/>
      <c r="M121" s="1"/>
    </row>
    <row r="122" spans="1:15" x14ac:dyDescent="0.25">
      <c r="A122" s="228" t="s">
        <v>225</v>
      </c>
      <c r="B122" s="315" t="s">
        <v>217</v>
      </c>
      <c r="C122" s="247">
        <v>600000</v>
      </c>
      <c r="D122" s="279">
        <f>C122/C107*100</f>
        <v>4.0504551698997172E-2</v>
      </c>
      <c r="E122" s="134">
        <f t="shared" si="52"/>
        <v>100</v>
      </c>
      <c r="F122" s="134">
        <f t="shared" si="53"/>
        <v>4.0504551698997165E-2</v>
      </c>
      <c r="G122" s="6">
        <f>600000</f>
        <v>600000</v>
      </c>
      <c r="H122" s="134">
        <f t="shared" si="54"/>
        <v>100</v>
      </c>
      <c r="I122" s="134">
        <f t="shared" si="55"/>
        <v>4.0504551698997165E-2</v>
      </c>
      <c r="J122" s="6">
        <f t="shared" si="56"/>
        <v>0</v>
      </c>
      <c r="K122" s="6"/>
      <c r="L122" s="1"/>
      <c r="M122" s="1"/>
    </row>
    <row r="123" spans="1:15" x14ac:dyDescent="0.25">
      <c r="A123" s="228" t="s">
        <v>611</v>
      </c>
      <c r="B123" s="315" t="s">
        <v>172</v>
      </c>
      <c r="C123" s="247">
        <v>3300000</v>
      </c>
      <c r="D123" s="279"/>
      <c r="E123" s="134"/>
      <c r="F123" s="134"/>
      <c r="G123" s="6"/>
      <c r="H123" s="134"/>
      <c r="I123" s="134"/>
      <c r="J123" s="6">
        <f>G123-C123</f>
        <v>-3300000</v>
      </c>
      <c r="K123" s="6"/>
      <c r="L123" s="1"/>
      <c r="M123" s="1"/>
    </row>
    <row r="124" spans="1:15" x14ac:dyDescent="0.25">
      <c r="A124" s="228" t="s">
        <v>283</v>
      </c>
      <c r="B124" s="315" t="s">
        <v>514</v>
      </c>
      <c r="C124" s="247">
        <v>5000000</v>
      </c>
      <c r="D124" s="279">
        <f>C124/C107*100</f>
        <v>0.33753793082497646</v>
      </c>
      <c r="E124" s="134">
        <f t="shared" si="52"/>
        <v>100</v>
      </c>
      <c r="F124" s="134">
        <f t="shared" si="53"/>
        <v>0.33753793082497646</v>
      </c>
      <c r="G124" s="6">
        <f>5000000</f>
        <v>5000000</v>
      </c>
      <c r="H124" s="134">
        <f t="shared" si="54"/>
        <v>100</v>
      </c>
      <c r="I124" s="134">
        <f t="shared" si="55"/>
        <v>0.33753793082497646</v>
      </c>
      <c r="J124" s="6">
        <f t="shared" si="56"/>
        <v>0</v>
      </c>
      <c r="K124" s="6"/>
      <c r="L124" s="1"/>
      <c r="M124" s="1"/>
    </row>
    <row r="125" spans="1:15" x14ac:dyDescent="0.25">
      <c r="A125" s="228" t="s">
        <v>104</v>
      </c>
      <c r="B125" s="315" t="s">
        <v>105</v>
      </c>
      <c r="C125" s="249">
        <v>76700000</v>
      </c>
      <c r="D125" s="279">
        <f>C125/C107*100</f>
        <v>5.1778318588551393</v>
      </c>
      <c r="E125" s="134">
        <f t="shared" si="52"/>
        <v>100</v>
      </c>
      <c r="F125" s="134">
        <f t="shared" si="53"/>
        <v>5.1778318588551393</v>
      </c>
      <c r="G125" s="6">
        <f>76700000</f>
        <v>76700000</v>
      </c>
      <c r="H125" s="134">
        <f t="shared" si="54"/>
        <v>100</v>
      </c>
      <c r="I125" s="134">
        <f t="shared" si="55"/>
        <v>5.1778318588551393</v>
      </c>
      <c r="J125" s="6">
        <f t="shared" si="56"/>
        <v>0</v>
      </c>
      <c r="K125" s="6"/>
      <c r="L125" s="1"/>
      <c r="M125" s="1"/>
    </row>
    <row r="126" spans="1:15" x14ac:dyDescent="0.25">
      <c r="A126" s="228" t="s">
        <v>130</v>
      </c>
      <c r="B126" s="315" t="s">
        <v>392</v>
      </c>
      <c r="C126" s="249">
        <v>28200000</v>
      </c>
      <c r="D126" s="279"/>
      <c r="E126" s="134"/>
      <c r="F126" s="134"/>
      <c r="G126" s="6">
        <f>28200000</f>
        <v>28200000</v>
      </c>
      <c r="H126" s="134"/>
      <c r="I126" s="134"/>
      <c r="J126" s="6">
        <f t="shared" si="56"/>
        <v>0</v>
      </c>
      <c r="K126" s="6"/>
      <c r="L126" s="1"/>
      <c r="M126" s="1"/>
    </row>
    <row r="127" spans="1:15" ht="25.5" x14ac:dyDescent="0.25">
      <c r="A127" s="228" t="s">
        <v>106</v>
      </c>
      <c r="B127" s="316" t="s">
        <v>107</v>
      </c>
      <c r="C127" s="251">
        <v>237000000</v>
      </c>
      <c r="D127" s="279">
        <f>C127/C107*100</f>
        <v>15.999297921103883</v>
      </c>
      <c r="E127" s="134">
        <f t="shared" si="52"/>
        <v>99.936708860759495</v>
      </c>
      <c r="F127" s="134">
        <f t="shared" si="53"/>
        <v>15.989171783179133</v>
      </c>
      <c r="G127" s="135">
        <f>236850000</f>
        <v>236850000</v>
      </c>
      <c r="H127" s="134">
        <f t="shared" si="54"/>
        <v>99.936708860759495</v>
      </c>
      <c r="I127" s="134">
        <f t="shared" si="55"/>
        <v>15.989171783179133</v>
      </c>
      <c r="J127" s="6">
        <f t="shared" si="56"/>
        <v>-150000</v>
      </c>
      <c r="K127" s="6"/>
      <c r="L127" s="1"/>
      <c r="M127" s="1"/>
    </row>
    <row r="128" spans="1:15" x14ac:dyDescent="0.25">
      <c r="A128" s="228" t="s">
        <v>227</v>
      </c>
      <c r="B128" s="315" t="s">
        <v>218</v>
      </c>
      <c r="C128" s="250">
        <v>246000000</v>
      </c>
      <c r="D128" s="279">
        <f>C128/C107*100</f>
        <v>16.60686619658884</v>
      </c>
      <c r="E128" s="134">
        <f t="shared" si="52"/>
        <v>100</v>
      </c>
      <c r="F128" s="134">
        <f t="shared" si="53"/>
        <v>16.60686619658884</v>
      </c>
      <c r="G128" s="6">
        <f>246000000</f>
        <v>246000000</v>
      </c>
      <c r="H128" s="134">
        <f t="shared" si="54"/>
        <v>100</v>
      </c>
      <c r="I128" s="134">
        <f t="shared" si="55"/>
        <v>16.60686619658884</v>
      </c>
      <c r="J128" s="6">
        <f t="shared" si="56"/>
        <v>0</v>
      </c>
      <c r="K128" s="6"/>
      <c r="L128" s="1"/>
      <c r="M128" s="1"/>
    </row>
    <row r="129" spans="1:13" x14ac:dyDescent="0.25">
      <c r="A129" s="228" t="s">
        <v>607</v>
      </c>
      <c r="B129" s="315" t="s">
        <v>606</v>
      </c>
      <c r="C129" s="250">
        <v>51600000</v>
      </c>
      <c r="D129" s="279"/>
      <c r="E129" s="134"/>
      <c r="F129" s="134"/>
      <c r="G129" s="6">
        <f>51600000</f>
        <v>51600000</v>
      </c>
      <c r="H129" s="134"/>
      <c r="I129" s="134"/>
      <c r="J129" s="6">
        <f>G129-C129</f>
        <v>0</v>
      </c>
      <c r="K129" s="6"/>
      <c r="L129" s="1"/>
      <c r="M129" s="1"/>
    </row>
    <row r="130" spans="1:13" x14ac:dyDescent="0.25">
      <c r="A130" s="315" t="s">
        <v>108</v>
      </c>
      <c r="B130" s="315" t="s">
        <v>109</v>
      </c>
      <c r="C130" s="250">
        <v>1200000</v>
      </c>
      <c r="D130" s="279">
        <f>C130/C107*100</f>
        <v>8.1009103397994345E-2</v>
      </c>
      <c r="E130" s="134">
        <f t="shared" si="52"/>
        <v>0</v>
      </c>
      <c r="F130" s="134">
        <f t="shared" si="53"/>
        <v>0</v>
      </c>
      <c r="G130" s="6">
        <v>0</v>
      </c>
      <c r="H130" s="134">
        <f t="shared" si="54"/>
        <v>0</v>
      </c>
      <c r="I130" s="134">
        <f t="shared" si="55"/>
        <v>0</v>
      </c>
      <c r="J130" s="6">
        <f t="shared" si="56"/>
        <v>-1200000</v>
      </c>
      <c r="K130" s="6"/>
      <c r="L130" s="1"/>
      <c r="M130" s="1"/>
    </row>
    <row r="131" spans="1:13" x14ac:dyDescent="0.25">
      <c r="A131" s="315" t="s">
        <v>462</v>
      </c>
      <c r="B131" s="315" t="s">
        <v>573</v>
      </c>
      <c r="C131" s="250">
        <v>3532200</v>
      </c>
      <c r="D131" s="279"/>
      <c r="E131" s="134"/>
      <c r="F131" s="134"/>
      <c r="G131" s="6">
        <f>103871</f>
        <v>103871</v>
      </c>
      <c r="H131" s="134"/>
      <c r="I131" s="134"/>
      <c r="J131" s="6">
        <f>G131-C131</f>
        <v>-3428329</v>
      </c>
      <c r="K131" s="6"/>
      <c r="L131" s="1"/>
      <c r="M131" s="1"/>
    </row>
    <row r="132" spans="1:13" x14ac:dyDescent="0.25">
      <c r="A132" s="315" t="s">
        <v>463</v>
      </c>
      <c r="B132" s="315" t="s">
        <v>574</v>
      </c>
      <c r="C132" s="250">
        <v>4415250</v>
      </c>
      <c r="D132" s="279"/>
      <c r="E132" s="134"/>
      <c r="F132" s="134"/>
      <c r="G132" s="6">
        <f>129838</f>
        <v>129838</v>
      </c>
      <c r="H132" s="134"/>
      <c r="I132" s="134"/>
      <c r="J132" s="6">
        <f>G132-C132</f>
        <v>-4285412</v>
      </c>
      <c r="K132" s="6"/>
      <c r="L132" s="1"/>
      <c r="M132" s="1"/>
    </row>
    <row r="133" spans="1:13" x14ac:dyDescent="0.25">
      <c r="A133" s="83" t="s">
        <v>162</v>
      </c>
      <c r="B133" s="315" t="s">
        <v>515</v>
      </c>
      <c r="C133" s="250">
        <v>3000000</v>
      </c>
      <c r="D133" s="279">
        <f>C133/C107*100</f>
        <v>0.20252275849498586</v>
      </c>
      <c r="E133" s="134">
        <f t="shared" si="52"/>
        <v>93.333333333333329</v>
      </c>
      <c r="F133" s="134">
        <f t="shared" si="53"/>
        <v>0.1890212412619868</v>
      </c>
      <c r="G133" s="6">
        <f>2800000</f>
        <v>2800000</v>
      </c>
      <c r="H133" s="134">
        <f t="shared" si="54"/>
        <v>93.333333333333329</v>
      </c>
      <c r="I133" s="134">
        <f t="shared" si="55"/>
        <v>0.1890212412619868</v>
      </c>
      <c r="J133" s="6">
        <f t="shared" si="56"/>
        <v>-200000</v>
      </c>
      <c r="K133" s="6"/>
      <c r="L133" s="1"/>
      <c r="M133" s="1"/>
    </row>
    <row r="134" spans="1:13" ht="25.5" x14ac:dyDescent="0.25">
      <c r="A134" s="315" t="s">
        <v>116</v>
      </c>
      <c r="B134" s="316" t="s">
        <v>516</v>
      </c>
      <c r="C134" s="250">
        <v>20177550</v>
      </c>
      <c r="D134" s="279">
        <f>C134/C107*100</f>
        <v>1.3621376952235007</v>
      </c>
      <c r="E134" s="134">
        <f t="shared" si="52"/>
        <v>67.238341622248484</v>
      </c>
      <c r="F134" s="134">
        <f t="shared" si="53"/>
        <v>0.91587879687979923</v>
      </c>
      <c r="G134" s="135">
        <f>12574550+992500</f>
        <v>13567050</v>
      </c>
      <c r="H134" s="134">
        <f t="shared" si="54"/>
        <v>67.238341622248484</v>
      </c>
      <c r="I134" s="134">
        <f t="shared" si="55"/>
        <v>0.91587879687979923</v>
      </c>
      <c r="J134" s="135">
        <f t="shared" si="56"/>
        <v>-6610500</v>
      </c>
      <c r="K134" s="6"/>
      <c r="L134" s="1"/>
      <c r="M134" s="1"/>
    </row>
    <row r="135" spans="1:13" x14ac:dyDescent="0.25">
      <c r="A135" s="228" t="s">
        <v>65</v>
      </c>
      <c r="B135" s="315" t="s">
        <v>393</v>
      </c>
      <c r="C135" s="251">
        <v>49702000</v>
      </c>
      <c r="D135" s="279">
        <f>C135/C108*100</f>
        <v>3.3552620475725958</v>
      </c>
      <c r="E135" s="134">
        <f t="shared" si="52"/>
        <v>98.700977827854004</v>
      </c>
      <c r="F135" s="134">
        <f t="shared" si="53"/>
        <v>3.3116764496410283</v>
      </c>
      <c r="G135" s="6">
        <f>41026360+8030000</f>
        <v>49056360</v>
      </c>
      <c r="H135" s="134">
        <f t="shared" si="54"/>
        <v>98.700977827854004</v>
      </c>
      <c r="I135" s="134">
        <f t="shared" si="55"/>
        <v>3.3116764496410283</v>
      </c>
      <c r="J135" s="6">
        <f t="shared" si="56"/>
        <v>-645640</v>
      </c>
      <c r="K135" s="6"/>
    </row>
    <row r="136" spans="1:13" x14ac:dyDescent="0.25">
      <c r="A136" s="228" t="s">
        <v>66</v>
      </c>
      <c r="B136" s="315" t="s">
        <v>120</v>
      </c>
      <c r="C136" s="251">
        <v>41885000</v>
      </c>
      <c r="D136" s="279">
        <f>C136/C109*100</f>
        <v>57.313902572523268</v>
      </c>
      <c r="E136" s="134">
        <f t="shared" si="52"/>
        <v>97.397636385340817</v>
      </c>
      <c r="F136" s="134">
        <f t="shared" si="53"/>
        <v>55.822386425834708</v>
      </c>
      <c r="G136" s="6">
        <f>40495000+300000</f>
        <v>40795000</v>
      </c>
      <c r="H136" s="134">
        <v>0</v>
      </c>
      <c r="I136" s="134">
        <v>0</v>
      </c>
      <c r="J136" s="6">
        <f t="shared" si="56"/>
        <v>-1090000</v>
      </c>
      <c r="K136" s="6"/>
    </row>
    <row r="137" spans="1:13" x14ac:dyDescent="0.25">
      <c r="A137" s="315" t="s">
        <v>287</v>
      </c>
      <c r="B137" s="315" t="s">
        <v>191</v>
      </c>
      <c r="C137" s="250">
        <v>15000000</v>
      </c>
      <c r="D137" s="279">
        <f>C137/C107*100</f>
        <v>1.0126137924749292</v>
      </c>
      <c r="E137" s="134">
        <f t="shared" si="52"/>
        <v>100</v>
      </c>
      <c r="F137" s="134">
        <f t="shared" si="53"/>
        <v>1.0126137924749292</v>
      </c>
      <c r="G137" s="6">
        <f>15000000</f>
        <v>15000000</v>
      </c>
      <c r="H137" s="134">
        <f t="shared" si="54"/>
        <v>100</v>
      </c>
      <c r="I137" s="134">
        <f t="shared" si="55"/>
        <v>1.0126137924749292</v>
      </c>
      <c r="J137" s="6">
        <f t="shared" si="56"/>
        <v>0</v>
      </c>
      <c r="K137" s="6"/>
    </row>
    <row r="138" spans="1:13" x14ac:dyDescent="0.25">
      <c r="A138" s="803" t="s">
        <v>520</v>
      </c>
      <c r="B138" s="315" t="s">
        <v>517</v>
      </c>
      <c r="C138" s="250">
        <v>29750000</v>
      </c>
      <c r="D138" s="279"/>
      <c r="E138" s="134"/>
      <c r="F138" s="134"/>
      <c r="G138" s="6">
        <f>29750000</f>
        <v>29750000</v>
      </c>
      <c r="H138" s="134"/>
      <c r="I138" s="134"/>
      <c r="J138" s="6">
        <f t="shared" si="56"/>
        <v>0</v>
      </c>
      <c r="K138" s="6"/>
    </row>
    <row r="139" spans="1:13" x14ac:dyDescent="0.25">
      <c r="A139" s="803" t="s">
        <v>582</v>
      </c>
      <c r="B139" s="315" t="s">
        <v>575</v>
      </c>
      <c r="C139" s="921">
        <v>2000000</v>
      </c>
      <c r="D139" s="279"/>
      <c r="E139" s="134"/>
      <c r="F139" s="134"/>
      <c r="G139" s="6"/>
      <c r="H139" s="134"/>
      <c r="I139" s="134"/>
      <c r="J139" s="6">
        <f>G139-C139</f>
        <v>-2000000</v>
      </c>
      <c r="K139" s="6"/>
    </row>
    <row r="140" spans="1:13" x14ac:dyDescent="0.25">
      <c r="A140" s="803" t="s">
        <v>594</v>
      </c>
      <c r="B140" s="315" t="s">
        <v>576</v>
      </c>
      <c r="C140" s="921">
        <v>9000000</v>
      </c>
      <c r="D140" s="279"/>
      <c r="E140" s="134"/>
      <c r="F140" s="134"/>
      <c r="G140" s="6">
        <f>8885000</f>
        <v>8885000</v>
      </c>
      <c r="H140" s="134"/>
      <c r="I140" s="134"/>
      <c r="J140" s="6">
        <f>G140-C140</f>
        <v>-115000</v>
      </c>
      <c r="K140" s="6"/>
    </row>
    <row r="141" spans="1:13" x14ac:dyDescent="0.25">
      <c r="A141" s="803" t="s">
        <v>584</v>
      </c>
      <c r="B141" s="315" t="s">
        <v>577</v>
      </c>
      <c r="C141" s="921">
        <v>17500000</v>
      </c>
      <c r="D141" s="279"/>
      <c r="E141" s="134"/>
      <c r="F141" s="134"/>
      <c r="G141" s="6">
        <f>17475000</f>
        <v>17475000</v>
      </c>
      <c r="H141" s="134"/>
      <c r="I141" s="134"/>
      <c r="J141" s="6">
        <f>G141-C141</f>
        <v>-25000</v>
      </c>
      <c r="K141" s="6"/>
    </row>
    <row r="142" spans="1:13" x14ac:dyDescent="0.25">
      <c r="A142" s="803" t="s">
        <v>610</v>
      </c>
      <c r="B142" s="315" t="s">
        <v>410</v>
      </c>
      <c r="C142" s="921">
        <v>825000</v>
      </c>
      <c r="D142" s="279"/>
      <c r="E142" s="134"/>
      <c r="F142" s="134"/>
      <c r="G142" s="6">
        <f>800000</f>
        <v>800000</v>
      </c>
      <c r="H142" s="134"/>
      <c r="I142" s="134"/>
      <c r="J142" s="6">
        <f>G142-C142</f>
        <v>-25000</v>
      </c>
      <c r="K142" s="6"/>
    </row>
    <row r="143" spans="1:13" x14ac:dyDescent="0.25">
      <c r="A143" s="803" t="s">
        <v>596</v>
      </c>
      <c r="B143" s="315" t="s">
        <v>412</v>
      </c>
      <c r="C143" s="921">
        <v>10000000</v>
      </c>
      <c r="D143" s="279"/>
      <c r="E143" s="134"/>
      <c r="F143" s="134"/>
      <c r="G143" s="6">
        <f>9700000</f>
        <v>9700000</v>
      </c>
      <c r="H143" s="134"/>
      <c r="I143" s="134"/>
      <c r="J143" s="6">
        <f>G143-C143</f>
        <v>-300000</v>
      </c>
      <c r="K143" s="6"/>
    </row>
    <row r="144" spans="1:13" x14ac:dyDescent="0.25">
      <c r="A144" s="1066" t="s">
        <v>95</v>
      </c>
      <c r="B144" s="1067"/>
      <c r="C144" s="1068"/>
      <c r="D144" s="277"/>
      <c r="E144" s="134"/>
      <c r="F144" s="134"/>
      <c r="G144" s="26">
        <f>SUM(G109:G143)</f>
        <v>1435042319</v>
      </c>
      <c r="H144" s="134"/>
      <c r="I144" s="134"/>
      <c r="J144" s="734"/>
      <c r="K144" s="26"/>
    </row>
    <row r="145" spans="1:15" x14ac:dyDescent="0.25">
      <c r="A145" s="52"/>
      <c r="B145" s="8"/>
      <c r="C145" s="52"/>
      <c r="D145" s="27"/>
      <c r="E145" s="28"/>
      <c r="F145" s="23"/>
      <c r="G145" s="11"/>
      <c r="H145" s="23"/>
      <c r="I145" s="23"/>
      <c r="J145" s="9"/>
      <c r="K145" s="9"/>
    </row>
    <row r="146" spans="1:15" x14ac:dyDescent="0.25">
      <c r="A146" s="50"/>
      <c r="B146" s="5"/>
      <c r="C146" s="50"/>
      <c r="D146" s="9"/>
      <c r="E146" s="23"/>
      <c r="F146" s="23"/>
      <c r="G146" s="11"/>
      <c r="H146" s="23"/>
      <c r="I146" s="23"/>
      <c r="J146" s="9"/>
      <c r="K146" s="9"/>
    </row>
    <row r="147" spans="1:15" x14ac:dyDescent="0.25">
      <c r="A147" s="1069" t="s">
        <v>2</v>
      </c>
      <c r="B147" s="1069" t="s">
        <v>123</v>
      </c>
      <c r="C147" s="943"/>
      <c r="D147" s="1063" t="s">
        <v>5</v>
      </c>
      <c r="E147" s="1064"/>
      <c r="F147" s="1064"/>
      <c r="G147" s="1065" t="s">
        <v>6</v>
      </c>
      <c r="H147" s="1064"/>
      <c r="I147" s="1064"/>
      <c r="J147" s="1056" t="s">
        <v>7</v>
      </c>
      <c r="K147" s="1056" t="s">
        <v>8</v>
      </c>
    </row>
    <row r="148" spans="1:15" x14ac:dyDescent="0.25">
      <c r="A148" s="1070"/>
      <c r="B148" s="1070"/>
      <c r="C148" s="944" t="s">
        <v>124</v>
      </c>
      <c r="D148" s="89" t="s">
        <v>9</v>
      </c>
      <c r="E148" s="90" t="s">
        <v>10</v>
      </c>
      <c r="F148" s="90" t="s">
        <v>11</v>
      </c>
      <c r="G148" s="91" t="s">
        <v>12</v>
      </c>
      <c r="H148" s="90" t="s">
        <v>13</v>
      </c>
      <c r="I148" s="90" t="s">
        <v>11</v>
      </c>
      <c r="J148" s="1057"/>
      <c r="K148" s="1057"/>
      <c r="O148" s="713"/>
    </row>
    <row r="149" spans="1:15" x14ac:dyDescent="0.25">
      <c r="A149" s="1071"/>
      <c r="B149" s="1071"/>
      <c r="C149" s="944"/>
      <c r="D149" s="92" t="s">
        <v>14</v>
      </c>
      <c r="E149" s="93" t="s">
        <v>14</v>
      </c>
      <c r="F149" s="93" t="s">
        <v>14</v>
      </c>
      <c r="G149" s="94" t="s">
        <v>15</v>
      </c>
      <c r="H149" s="93" t="s">
        <v>14</v>
      </c>
      <c r="I149" s="93" t="s">
        <v>14</v>
      </c>
      <c r="J149" s="92" t="s">
        <v>15</v>
      </c>
      <c r="K149" s="1058"/>
    </row>
    <row r="150" spans="1:15" ht="25.5" x14ac:dyDescent="0.25">
      <c r="A150" s="139" t="s">
        <v>180</v>
      </c>
      <c r="B150" s="696" t="s">
        <v>379</v>
      </c>
      <c r="C150" s="58"/>
      <c r="D150" s="38"/>
      <c r="E150" s="134"/>
      <c r="F150" s="134"/>
      <c r="G150" s="135"/>
      <c r="H150" s="134"/>
      <c r="I150" s="134"/>
      <c r="J150" s="38"/>
      <c r="K150" s="10"/>
    </row>
    <row r="151" spans="1:15" ht="25.5" x14ac:dyDescent="0.25">
      <c r="A151" s="176" t="s">
        <v>181</v>
      </c>
      <c r="B151" s="697" t="s">
        <v>380</v>
      </c>
      <c r="C151" s="86">
        <f>SUM(C152:C166)</f>
        <v>200500000</v>
      </c>
      <c r="D151" s="179"/>
      <c r="E151" s="180"/>
      <c r="F151" s="180"/>
      <c r="G151" s="181"/>
      <c r="H151" s="180"/>
      <c r="I151" s="180"/>
      <c r="J151" s="179"/>
      <c r="K151" s="167"/>
    </row>
    <row r="152" spans="1:15" ht="25.5" x14ac:dyDescent="0.25">
      <c r="A152" s="170" t="s">
        <v>44</v>
      </c>
      <c r="B152" s="707" t="s">
        <v>384</v>
      </c>
      <c r="C152" s="58">
        <v>8580000</v>
      </c>
      <c r="D152" s="180">
        <f>C152/C151*100</f>
        <v>4.2793017456359097</v>
      </c>
      <c r="E152" s="134">
        <f t="shared" ref="E152:E161" si="57">G152/C152*100</f>
        <v>100</v>
      </c>
      <c r="F152" s="134">
        <f t="shared" ref="F152:F161" si="58">(D152*E152)/100</f>
        <v>4.2793017456359097</v>
      </c>
      <c r="G152" s="181">
        <f>8580000</f>
        <v>8580000</v>
      </c>
      <c r="H152" s="134">
        <f t="shared" ref="H152:H161" si="59">G152/C152*100</f>
        <v>100</v>
      </c>
      <c r="I152" s="134">
        <f t="shared" ref="I152:I161" si="60">(D152*H152)/100</f>
        <v>4.2793017456359097</v>
      </c>
      <c r="J152" s="6">
        <f t="shared" ref="J152:J166" si="61">G152-C152</f>
        <v>0</v>
      </c>
      <c r="K152" s="167"/>
    </row>
    <row r="153" spans="1:15" x14ac:dyDescent="0.25">
      <c r="A153" s="170" t="s">
        <v>448</v>
      </c>
      <c r="B153" s="707" t="s">
        <v>578</v>
      </c>
      <c r="C153" s="58">
        <v>510000</v>
      </c>
      <c r="D153" s="180"/>
      <c r="E153" s="134"/>
      <c r="F153" s="134"/>
      <c r="G153" s="181">
        <f>510000</f>
        <v>510000</v>
      </c>
      <c r="H153" s="134"/>
      <c r="I153" s="134"/>
      <c r="J153" s="6"/>
      <c r="K153" s="167"/>
    </row>
    <row r="154" spans="1:15" x14ac:dyDescent="0.25">
      <c r="A154" s="170" t="s">
        <v>59</v>
      </c>
      <c r="B154" s="707" t="s">
        <v>197</v>
      </c>
      <c r="C154" s="58">
        <v>13390000</v>
      </c>
      <c r="D154" s="180">
        <f>C154/C151*100</f>
        <v>6.6783042394014958</v>
      </c>
      <c r="E154" s="134">
        <f t="shared" si="57"/>
        <v>100</v>
      </c>
      <c r="F154" s="134">
        <f t="shared" si="58"/>
        <v>6.6783042394014958</v>
      </c>
      <c r="G154" s="181">
        <f>13390000</f>
        <v>13390000</v>
      </c>
      <c r="H154" s="134">
        <f t="shared" si="59"/>
        <v>100</v>
      </c>
      <c r="I154" s="134">
        <f t="shared" si="60"/>
        <v>6.6783042394014958</v>
      </c>
      <c r="J154" s="6">
        <f t="shared" si="61"/>
        <v>0</v>
      </c>
      <c r="K154" s="167"/>
    </row>
    <row r="155" spans="1:15" x14ac:dyDescent="0.25">
      <c r="A155" s="170" t="s">
        <v>62</v>
      </c>
      <c r="B155" s="707" t="s">
        <v>334</v>
      </c>
      <c r="C155" s="58">
        <v>8840000</v>
      </c>
      <c r="D155" s="180">
        <v>2.34</v>
      </c>
      <c r="E155" s="134">
        <f t="shared" si="57"/>
        <v>100</v>
      </c>
      <c r="F155" s="134">
        <f t="shared" si="58"/>
        <v>2.34</v>
      </c>
      <c r="G155" s="181">
        <f>8840000</f>
        <v>8840000</v>
      </c>
      <c r="H155" s="134">
        <f t="shared" si="59"/>
        <v>100</v>
      </c>
      <c r="I155" s="134">
        <f t="shared" si="60"/>
        <v>2.34</v>
      </c>
      <c r="J155" s="6">
        <f t="shared" si="61"/>
        <v>0</v>
      </c>
      <c r="K155" s="167"/>
    </row>
    <row r="156" spans="1:15" ht="25.5" x14ac:dyDescent="0.25">
      <c r="A156" s="170" t="s">
        <v>193</v>
      </c>
      <c r="B156" s="316" t="s">
        <v>372</v>
      </c>
      <c r="C156" s="58">
        <v>6300000</v>
      </c>
      <c r="D156" s="180"/>
      <c r="E156" s="134"/>
      <c r="F156" s="134"/>
      <c r="G156" s="181">
        <f>6300000</f>
        <v>6300000</v>
      </c>
      <c r="H156" s="134"/>
      <c r="I156" s="134"/>
      <c r="J156" s="6">
        <f t="shared" si="61"/>
        <v>0</v>
      </c>
      <c r="K156" s="167"/>
    </row>
    <row r="157" spans="1:15" x14ac:dyDescent="0.25">
      <c r="A157" s="170" t="s">
        <v>148</v>
      </c>
      <c r="B157" s="133" t="s">
        <v>531</v>
      </c>
      <c r="C157" s="58">
        <v>10000000</v>
      </c>
      <c r="D157" s="180"/>
      <c r="E157" s="134"/>
      <c r="F157" s="134"/>
      <c r="G157" s="181">
        <f>10000000</f>
        <v>10000000</v>
      </c>
      <c r="H157" s="134"/>
      <c r="I157" s="134"/>
      <c r="J157" s="6">
        <f t="shared" si="61"/>
        <v>0</v>
      </c>
      <c r="K157" s="167"/>
    </row>
    <row r="158" spans="1:15" x14ac:dyDescent="0.25">
      <c r="A158" s="170" t="s">
        <v>579</v>
      </c>
      <c r="B158" s="133" t="s">
        <v>580</v>
      </c>
      <c r="C158" s="58">
        <v>9990000</v>
      </c>
      <c r="D158" s="180"/>
      <c r="E158" s="134"/>
      <c r="F158" s="134"/>
      <c r="G158" s="181">
        <f>9990000</f>
        <v>9990000</v>
      </c>
      <c r="H158" s="134"/>
      <c r="I158" s="134"/>
      <c r="J158" s="6">
        <f>G158-C158</f>
        <v>0</v>
      </c>
      <c r="K158" s="167"/>
    </row>
    <row r="159" spans="1:15" x14ac:dyDescent="0.25">
      <c r="A159" s="170" t="s">
        <v>77</v>
      </c>
      <c r="B159" s="170" t="s">
        <v>127</v>
      </c>
      <c r="C159" s="58">
        <v>67741000</v>
      </c>
      <c r="D159" s="180">
        <f>C159/C151*100</f>
        <v>33.786034912718208</v>
      </c>
      <c r="E159" s="134">
        <f t="shared" si="57"/>
        <v>100</v>
      </c>
      <c r="F159" s="134">
        <f t="shared" si="58"/>
        <v>33.786034912718208</v>
      </c>
      <c r="G159" s="181">
        <f>67741000</f>
        <v>67741000</v>
      </c>
      <c r="H159" s="134">
        <f t="shared" si="59"/>
        <v>100</v>
      </c>
      <c r="I159" s="134">
        <f t="shared" si="60"/>
        <v>33.786034912718208</v>
      </c>
      <c r="J159" s="6">
        <f t="shared" si="61"/>
        <v>0</v>
      </c>
      <c r="K159" s="167"/>
    </row>
    <row r="160" spans="1:15" x14ac:dyDescent="0.25">
      <c r="A160" s="170" t="s">
        <v>183</v>
      </c>
      <c r="B160" s="170" t="s">
        <v>178</v>
      </c>
      <c r="C160" s="58">
        <v>17000000</v>
      </c>
      <c r="D160" s="180">
        <f>C160/C151*100</f>
        <v>8.4788029925187036</v>
      </c>
      <c r="E160" s="134">
        <f t="shared" si="57"/>
        <v>100</v>
      </c>
      <c r="F160" s="134">
        <f t="shared" si="58"/>
        <v>8.4788029925187036</v>
      </c>
      <c r="G160" s="181">
        <f>17000000</f>
        <v>17000000</v>
      </c>
      <c r="H160" s="134">
        <f t="shared" si="59"/>
        <v>100</v>
      </c>
      <c r="I160" s="134">
        <f t="shared" si="60"/>
        <v>8.4788029925187036</v>
      </c>
      <c r="J160" s="6">
        <f t="shared" si="61"/>
        <v>0</v>
      </c>
      <c r="K160" s="167"/>
    </row>
    <row r="161" spans="1:14" x14ac:dyDescent="0.25">
      <c r="A161" s="170" t="s">
        <v>104</v>
      </c>
      <c r="B161" s="170" t="s">
        <v>182</v>
      </c>
      <c r="C161" s="58">
        <v>23200000</v>
      </c>
      <c r="D161" s="180">
        <f>C161/C151*100</f>
        <v>11.571072319201996</v>
      </c>
      <c r="E161" s="134">
        <f t="shared" si="57"/>
        <v>100</v>
      </c>
      <c r="F161" s="134">
        <f t="shared" si="58"/>
        <v>11.571072319201996</v>
      </c>
      <c r="G161" s="181">
        <f>23200000</f>
        <v>23200000</v>
      </c>
      <c r="H161" s="134">
        <f t="shared" si="59"/>
        <v>100</v>
      </c>
      <c r="I161" s="134">
        <f t="shared" si="60"/>
        <v>11.571072319201996</v>
      </c>
      <c r="J161" s="6">
        <f t="shared" si="61"/>
        <v>0</v>
      </c>
      <c r="K161" s="167"/>
    </row>
    <row r="162" spans="1:14" ht="25.5" x14ac:dyDescent="0.25">
      <c r="A162" s="170" t="s">
        <v>106</v>
      </c>
      <c r="B162" s="316" t="s">
        <v>107</v>
      </c>
      <c r="C162" s="58">
        <v>22200000</v>
      </c>
      <c r="D162" s="180"/>
      <c r="E162" s="134"/>
      <c r="F162" s="134"/>
      <c r="G162" s="181">
        <f>22200000</f>
        <v>22200000</v>
      </c>
      <c r="H162" s="134"/>
      <c r="I162" s="134"/>
      <c r="J162" s="6">
        <f t="shared" si="61"/>
        <v>0</v>
      </c>
      <c r="K162" s="167"/>
    </row>
    <row r="163" spans="1:14" x14ac:dyDescent="0.25">
      <c r="A163" s="170" t="s">
        <v>162</v>
      </c>
      <c r="B163" s="315" t="s">
        <v>515</v>
      </c>
      <c r="C163" s="58">
        <v>2000000</v>
      </c>
      <c r="D163" s="180"/>
      <c r="E163" s="134"/>
      <c r="F163" s="134"/>
      <c r="G163" s="181">
        <f>2000000</f>
        <v>2000000</v>
      </c>
      <c r="H163" s="134"/>
      <c r="I163" s="134"/>
      <c r="J163" s="6">
        <f t="shared" si="61"/>
        <v>0</v>
      </c>
      <c r="K163" s="167"/>
    </row>
    <row r="164" spans="1:14" x14ac:dyDescent="0.25">
      <c r="A164" s="170" t="s">
        <v>521</v>
      </c>
      <c r="B164" s="316" t="s">
        <v>526</v>
      </c>
      <c r="C164" s="58">
        <v>1000000</v>
      </c>
      <c r="D164" s="180"/>
      <c r="E164" s="134"/>
      <c r="F164" s="134"/>
      <c r="G164" s="181">
        <f>1000000</f>
        <v>1000000</v>
      </c>
      <c r="H164" s="134"/>
      <c r="I164" s="134"/>
      <c r="J164" s="6">
        <f t="shared" si="61"/>
        <v>0</v>
      </c>
      <c r="K164" s="167"/>
    </row>
    <row r="165" spans="1:14" ht="25.5" x14ac:dyDescent="0.25">
      <c r="A165" s="747" t="s">
        <v>116</v>
      </c>
      <c r="B165" s="316" t="s">
        <v>420</v>
      </c>
      <c r="C165" s="58">
        <v>2749000</v>
      </c>
      <c r="D165" s="180"/>
      <c r="E165" s="134"/>
      <c r="F165" s="134"/>
      <c r="G165" s="181">
        <f>2749000</f>
        <v>2749000</v>
      </c>
      <c r="H165" s="134"/>
      <c r="I165" s="134"/>
      <c r="J165" s="6">
        <f t="shared" si="61"/>
        <v>0</v>
      </c>
      <c r="K165" s="167"/>
    </row>
    <row r="166" spans="1:14" x14ac:dyDescent="0.25">
      <c r="A166" s="747" t="s">
        <v>65</v>
      </c>
      <c r="B166" s="315" t="s">
        <v>393</v>
      </c>
      <c r="C166" s="58">
        <v>7000000</v>
      </c>
      <c r="D166" s="180"/>
      <c r="E166" s="134"/>
      <c r="F166" s="134"/>
      <c r="G166" s="181">
        <f>6932360</f>
        <v>6932360</v>
      </c>
      <c r="H166" s="134"/>
      <c r="I166" s="134"/>
      <c r="J166" s="6">
        <f t="shared" si="61"/>
        <v>-67640</v>
      </c>
      <c r="K166" s="167"/>
    </row>
    <row r="167" spans="1:14" x14ac:dyDescent="0.25">
      <c r="A167" s="747" t="s">
        <v>589</v>
      </c>
      <c r="B167" s="315" t="s">
        <v>207</v>
      </c>
      <c r="C167" s="58">
        <v>12000000</v>
      </c>
      <c r="D167" s="180"/>
      <c r="E167" s="134"/>
      <c r="F167" s="134"/>
      <c r="G167" s="181">
        <f>12000000</f>
        <v>12000000</v>
      </c>
      <c r="H167" s="134"/>
      <c r="I167" s="134"/>
      <c r="J167" s="6"/>
      <c r="K167" s="167"/>
    </row>
    <row r="168" spans="1:14" x14ac:dyDescent="0.25">
      <c r="A168" s="747" t="s">
        <v>584</v>
      </c>
      <c r="B168" s="315" t="s">
        <v>583</v>
      </c>
      <c r="C168" s="58">
        <v>17500000</v>
      </c>
      <c r="D168" s="180"/>
      <c r="E168" s="134"/>
      <c r="F168" s="134"/>
      <c r="G168" s="181">
        <f>17500000</f>
        <v>17500000</v>
      </c>
      <c r="H168" s="134"/>
      <c r="I168" s="134"/>
      <c r="J168" s="6"/>
      <c r="K168" s="167"/>
    </row>
    <row r="169" spans="1:14" x14ac:dyDescent="0.25">
      <c r="A169" s="747" t="s">
        <v>596</v>
      </c>
      <c r="B169" s="315" t="s">
        <v>595</v>
      </c>
      <c r="C169" s="58">
        <v>5000000</v>
      </c>
      <c r="D169" s="180"/>
      <c r="E169" s="134"/>
      <c r="F169" s="134"/>
      <c r="G169" s="181">
        <f>5000000</f>
        <v>5000000</v>
      </c>
      <c r="H169" s="134"/>
      <c r="I169" s="134"/>
      <c r="J169" s="6"/>
      <c r="K169" s="167"/>
    </row>
    <row r="170" spans="1:14" x14ac:dyDescent="0.25">
      <c r="A170" s="1059" t="s">
        <v>128</v>
      </c>
      <c r="B170" s="1060"/>
      <c r="C170" s="60">
        <f>SUM(C152:C169)</f>
        <v>235000000</v>
      </c>
      <c r="D170" s="276"/>
      <c r="E170" s="134"/>
      <c r="F170" s="134"/>
      <c r="G170" s="837">
        <f>SUM(G152:G169)</f>
        <v>234932360</v>
      </c>
      <c r="H170" s="134"/>
      <c r="I170" s="134"/>
      <c r="J170" s="56">
        <v>67640</v>
      </c>
      <c r="K170" s="3"/>
    </row>
    <row r="171" spans="1:14" x14ac:dyDescent="0.25">
      <c r="A171" s="54"/>
      <c r="B171" s="54"/>
      <c r="C171" s="59"/>
      <c r="D171" s="182"/>
      <c r="E171" s="183"/>
      <c r="F171" s="183"/>
      <c r="G171" s="184"/>
      <c r="H171" s="183"/>
      <c r="I171" s="183"/>
      <c r="J171" s="185"/>
      <c r="K171" s="37"/>
    </row>
    <row r="172" spans="1:14" ht="31.5" x14ac:dyDescent="0.25">
      <c r="A172" s="55"/>
      <c r="B172" s="46" t="s">
        <v>145</v>
      </c>
      <c r="C172" s="155"/>
      <c r="D172" s="44"/>
      <c r="E172" s="45"/>
      <c r="F172" s="45"/>
      <c r="G172" s="48"/>
      <c r="H172" s="45"/>
      <c r="I172" s="45"/>
      <c r="J172" s="44"/>
      <c r="K172" s="44"/>
      <c r="L172" s="1"/>
      <c r="M172" s="1"/>
      <c r="N172" s="1"/>
    </row>
    <row r="173" spans="1:14" x14ac:dyDescent="0.25">
      <c r="A173" s="1061" t="s">
        <v>2</v>
      </c>
      <c r="B173" s="1062" t="s">
        <v>176</v>
      </c>
      <c r="C173" s="1061" t="s">
        <v>4</v>
      </c>
      <c r="D173" s="1063" t="s">
        <v>5</v>
      </c>
      <c r="E173" s="1064"/>
      <c r="F173" s="1064"/>
      <c r="G173" s="1065" t="s">
        <v>6</v>
      </c>
      <c r="H173" s="1064"/>
      <c r="I173" s="1064"/>
      <c r="J173" s="1061" t="s">
        <v>7</v>
      </c>
      <c r="K173" s="281" t="s">
        <v>8</v>
      </c>
      <c r="L173" s="1"/>
      <c r="M173" s="1"/>
      <c r="N173" s="1"/>
    </row>
    <row r="174" spans="1:14" x14ac:dyDescent="0.25">
      <c r="A174" s="1061"/>
      <c r="B174" s="1062"/>
      <c r="C174" s="1061"/>
      <c r="D174" s="281" t="s">
        <v>9</v>
      </c>
      <c r="E174" s="292" t="s">
        <v>10</v>
      </c>
      <c r="F174" s="292" t="s">
        <v>11</v>
      </c>
      <c r="G174" s="293" t="s">
        <v>12</v>
      </c>
      <c r="H174" s="292" t="s">
        <v>13</v>
      </c>
      <c r="I174" s="292" t="s">
        <v>11</v>
      </c>
      <c r="J174" s="1056"/>
      <c r="K174" s="89"/>
    </row>
    <row r="175" spans="1:14" x14ac:dyDescent="0.25">
      <c r="A175" s="1061"/>
      <c r="B175" s="1062"/>
      <c r="C175" s="1061"/>
      <c r="D175" s="92" t="s">
        <v>14</v>
      </c>
      <c r="E175" s="93" t="s">
        <v>14</v>
      </c>
      <c r="F175" s="93" t="s">
        <v>14</v>
      </c>
      <c r="G175" s="94" t="s">
        <v>15</v>
      </c>
      <c r="H175" s="93" t="s">
        <v>14</v>
      </c>
      <c r="I175" s="93" t="s">
        <v>14</v>
      </c>
      <c r="J175" s="92" t="s">
        <v>15</v>
      </c>
      <c r="K175" s="92"/>
    </row>
    <row r="176" spans="1:14" x14ac:dyDescent="0.25">
      <c r="A176" s="79" t="s">
        <v>185</v>
      </c>
      <c r="B176" s="199" t="s">
        <v>146</v>
      </c>
      <c r="C176" s="24"/>
      <c r="D176" s="10"/>
      <c r="E176" s="34"/>
      <c r="F176" s="34"/>
      <c r="G176" s="6"/>
      <c r="H176" s="34"/>
      <c r="I176" s="34"/>
      <c r="J176" s="10"/>
      <c r="K176" s="10"/>
    </row>
    <row r="177" spans="1:11" x14ac:dyDescent="0.25">
      <c r="A177" s="125" t="s">
        <v>184</v>
      </c>
      <c r="B177" s="280" t="s">
        <v>147</v>
      </c>
      <c r="C177" s="252">
        <f>SUM(C178:C179)</f>
        <v>2975640000</v>
      </c>
      <c r="D177" s="10"/>
      <c r="E177" s="34"/>
      <c r="F177" s="34"/>
      <c r="G177" s="6"/>
      <c r="H177" s="34"/>
      <c r="I177" s="34"/>
      <c r="J177" s="10"/>
      <c r="K177" s="10"/>
    </row>
    <row r="178" spans="1:11" ht="25.5" x14ac:dyDescent="0.25">
      <c r="A178" s="154" t="s">
        <v>44</v>
      </c>
      <c r="B178" s="707" t="s">
        <v>384</v>
      </c>
      <c r="C178" s="253">
        <v>35640000</v>
      </c>
      <c r="D178" s="134">
        <f>C178/C177*100</f>
        <v>1.1977255313142718</v>
      </c>
      <c r="E178" s="134">
        <f t="shared" ref="E178:E179" si="62">G178/C178*100</f>
        <v>100</v>
      </c>
      <c r="F178" s="134">
        <f t="shared" ref="F178:F179" si="63">(D178*E178)/100</f>
        <v>1.1977255313142718</v>
      </c>
      <c r="G178" s="181">
        <f>35640000</f>
        <v>35640000</v>
      </c>
      <c r="H178" s="134">
        <f t="shared" ref="H178:H179" si="64">G178/C178*100</f>
        <v>100</v>
      </c>
      <c r="I178" s="134">
        <f t="shared" ref="I178:I179" si="65">(D178*H178)/100</f>
        <v>1.1977255313142718</v>
      </c>
      <c r="J178" s="6">
        <f t="shared" ref="J178:J179" si="66">G178-C178</f>
        <v>0</v>
      </c>
      <c r="K178" s="10"/>
    </row>
    <row r="179" spans="1:11" x14ac:dyDescent="0.25">
      <c r="A179" s="124" t="s">
        <v>148</v>
      </c>
      <c r="B179" s="133" t="s">
        <v>531</v>
      </c>
      <c r="C179" s="253">
        <v>2940000000</v>
      </c>
      <c r="D179" s="134">
        <f>C179/C177*100</f>
        <v>98.802274468685724</v>
      </c>
      <c r="E179" s="134">
        <f t="shared" si="62"/>
        <v>100</v>
      </c>
      <c r="F179" s="134">
        <f t="shared" si="63"/>
        <v>98.802274468685724</v>
      </c>
      <c r="G179" s="181">
        <f>939055000+2000945000</f>
        <v>2940000000</v>
      </c>
      <c r="H179" s="134">
        <f t="shared" si="64"/>
        <v>100</v>
      </c>
      <c r="I179" s="134">
        <f t="shared" si="65"/>
        <v>98.802274468685724</v>
      </c>
      <c r="J179" s="6">
        <f t="shared" si="66"/>
        <v>0</v>
      </c>
      <c r="K179" s="10"/>
    </row>
    <row r="180" spans="1:11" x14ac:dyDescent="0.25">
      <c r="A180" s="70"/>
      <c r="B180" s="129" t="s">
        <v>95</v>
      </c>
      <c r="C180" s="807">
        <f>SUM(C178:C179)</f>
        <v>2975640000</v>
      </c>
      <c r="D180" s="271">
        <f>SUM(D178:D179)</f>
        <v>100</v>
      </c>
      <c r="E180" s="134"/>
      <c r="F180" s="134"/>
      <c r="G180" s="181">
        <f>SUM(G178:G179)</f>
        <v>2975640000</v>
      </c>
      <c r="H180" s="134"/>
      <c r="I180" s="134"/>
      <c r="J180" s="734"/>
      <c r="K180" s="130"/>
    </row>
    <row r="181" spans="1:11" x14ac:dyDescent="0.25">
      <c r="A181" s="54"/>
      <c r="B181" s="2"/>
      <c r="C181" s="59"/>
      <c r="D181" s="29"/>
      <c r="E181" s="31"/>
      <c r="F181" s="31"/>
      <c r="G181" s="36"/>
      <c r="H181" s="31"/>
      <c r="I181" s="31"/>
      <c r="J181" s="15"/>
      <c r="K181" s="37"/>
    </row>
    <row r="182" spans="1:11" x14ac:dyDescent="0.25">
      <c r="A182" s="50"/>
      <c r="B182" s="5"/>
      <c r="C182" s="50"/>
      <c r="D182" s="29"/>
      <c r="E182" s="30"/>
      <c r="F182" s="31"/>
      <c r="G182" s="36"/>
      <c r="H182" s="32"/>
      <c r="I182" s="31"/>
      <c r="J182" s="36"/>
      <c r="K182" s="37"/>
    </row>
    <row r="183" spans="1:11" x14ac:dyDescent="0.25">
      <c r="A183" s="1061" t="s">
        <v>2</v>
      </c>
      <c r="B183" s="1062" t="s">
        <v>176</v>
      </c>
      <c r="C183" s="1061" t="s">
        <v>4</v>
      </c>
      <c r="D183" s="1063" t="s">
        <v>5</v>
      </c>
      <c r="E183" s="1064"/>
      <c r="F183" s="1064"/>
      <c r="G183" s="1065" t="s">
        <v>6</v>
      </c>
      <c r="H183" s="1064"/>
      <c r="I183" s="1064"/>
      <c r="J183" s="1061" t="s">
        <v>7</v>
      </c>
      <c r="K183" s="281" t="s">
        <v>8</v>
      </c>
    </row>
    <row r="184" spans="1:11" x14ac:dyDescent="0.25">
      <c r="A184" s="1061"/>
      <c r="B184" s="1062"/>
      <c r="C184" s="1061"/>
      <c r="D184" s="281" t="s">
        <v>9</v>
      </c>
      <c r="E184" s="292" t="s">
        <v>10</v>
      </c>
      <c r="F184" s="292" t="s">
        <v>11</v>
      </c>
      <c r="G184" s="293" t="s">
        <v>12</v>
      </c>
      <c r="H184" s="292" t="s">
        <v>13</v>
      </c>
      <c r="I184" s="292" t="s">
        <v>11</v>
      </c>
      <c r="J184" s="1056"/>
      <c r="K184" s="89"/>
    </row>
    <row r="185" spans="1:11" x14ac:dyDescent="0.25">
      <c r="A185" s="1061"/>
      <c r="B185" s="1062"/>
      <c r="C185" s="1061"/>
      <c r="D185" s="92" t="s">
        <v>14</v>
      </c>
      <c r="E185" s="93" t="s">
        <v>14</v>
      </c>
      <c r="F185" s="93" t="s">
        <v>14</v>
      </c>
      <c r="G185" s="94" t="s">
        <v>15</v>
      </c>
      <c r="H185" s="93" t="s">
        <v>14</v>
      </c>
      <c r="I185" s="93" t="s">
        <v>14</v>
      </c>
      <c r="J185" s="92" t="s">
        <v>15</v>
      </c>
      <c r="K185" s="92"/>
    </row>
    <row r="186" spans="1:11" x14ac:dyDescent="0.25">
      <c r="A186" s="79" t="s">
        <v>185</v>
      </c>
      <c r="B186" s="199" t="s">
        <v>146</v>
      </c>
      <c r="C186" s="153"/>
      <c r="D186" s="150"/>
      <c r="E186" s="151"/>
      <c r="F186" s="151"/>
      <c r="G186" s="152"/>
      <c r="H186" s="151"/>
      <c r="I186" s="151"/>
      <c r="J186" s="150"/>
      <c r="K186" s="150"/>
    </row>
    <row r="187" spans="1:11" x14ac:dyDescent="0.25">
      <c r="A187" s="125" t="s">
        <v>184</v>
      </c>
      <c r="B187" s="280" t="s">
        <v>150</v>
      </c>
      <c r="C187" s="254">
        <f>SUM(C188:C191)</f>
        <v>1803960912</v>
      </c>
      <c r="D187" s="10"/>
      <c r="E187" s="34"/>
      <c r="F187" s="34"/>
      <c r="G187" s="6"/>
      <c r="H187" s="34"/>
      <c r="I187" s="34"/>
      <c r="J187" s="10"/>
      <c r="K187" s="10"/>
    </row>
    <row r="188" spans="1:11" ht="25.5" x14ac:dyDescent="0.25">
      <c r="A188" s="38" t="s">
        <v>44</v>
      </c>
      <c r="B188" s="707" t="s">
        <v>384</v>
      </c>
      <c r="C188" s="255">
        <v>30310000</v>
      </c>
      <c r="D188" s="134">
        <f>C188/C187*100</f>
        <v>1.6801916160365231</v>
      </c>
      <c r="E188" s="134">
        <f t="shared" ref="E188:E190" si="67">G188/C188*100</f>
        <v>100</v>
      </c>
      <c r="F188" s="134">
        <f t="shared" ref="F188:F190" si="68">(D188*E188)/100</f>
        <v>1.6801916160365231</v>
      </c>
      <c r="G188" s="181">
        <f>30310000</f>
        <v>30310000</v>
      </c>
      <c r="H188" s="134">
        <f t="shared" ref="H188:H190" si="69">G188/C188*100</f>
        <v>100</v>
      </c>
      <c r="I188" s="134">
        <f t="shared" ref="I188:I190" si="70">(D188*H188)/100</f>
        <v>1.6801916160365231</v>
      </c>
      <c r="J188" s="6">
        <f t="shared" ref="J188:J191" si="71">G188-C188</f>
        <v>0</v>
      </c>
      <c r="K188" s="10"/>
    </row>
    <row r="189" spans="1:11" x14ac:dyDescent="0.25">
      <c r="A189" s="49" t="s">
        <v>148</v>
      </c>
      <c r="B189" s="133" t="s">
        <v>531</v>
      </c>
      <c r="C189" s="256">
        <v>1260590000</v>
      </c>
      <c r="D189" s="134">
        <f>C189/C187*100</f>
        <v>69.87900855359554</v>
      </c>
      <c r="E189" s="134">
        <f t="shared" si="67"/>
        <v>99.822249898856882</v>
      </c>
      <c r="F189" s="134">
        <f t="shared" si="68"/>
        <v>69.754798545213717</v>
      </c>
      <c r="G189" s="181">
        <f>891823300+366526000</f>
        <v>1258349300</v>
      </c>
      <c r="H189" s="134">
        <f t="shared" si="69"/>
        <v>99.822249898856882</v>
      </c>
      <c r="I189" s="134">
        <f t="shared" si="70"/>
        <v>69.754798545213717</v>
      </c>
      <c r="J189" s="6">
        <f t="shared" si="71"/>
        <v>-2240700</v>
      </c>
      <c r="K189" s="10"/>
    </row>
    <row r="190" spans="1:11" s="84" customFormat="1" ht="25.5" x14ac:dyDescent="0.2">
      <c r="A190" s="49" t="s">
        <v>152</v>
      </c>
      <c r="B190" s="133" t="s">
        <v>153</v>
      </c>
      <c r="C190" s="256">
        <v>504000000</v>
      </c>
      <c r="D190" s="134">
        <f>C190/C187*100</f>
        <v>27.9385210980669</v>
      </c>
      <c r="E190" s="134">
        <f t="shared" si="67"/>
        <v>100</v>
      </c>
      <c r="F190" s="134">
        <f t="shared" si="68"/>
        <v>27.9385210980669</v>
      </c>
      <c r="G190" s="181">
        <f>504000000</f>
        <v>504000000</v>
      </c>
      <c r="H190" s="134">
        <f t="shared" si="69"/>
        <v>100</v>
      </c>
      <c r="I190" s="134">
        <f t="shared" si="70"/>
        <v>27.9385210980669</v>
      </c>
      <c r="J190" s="6">
        <f t="shared" si="71"/>
        <v>0</v>
      </c>
      <c r="K190" s="38"/>
    </row>
    <row r="191" spans="1:11" s="84" customFormat="1" x14ac:dyDescent="0.2">
      <c r="A191" s="749" t="s">
        <v>234</v>
      </c>
      <c r="B191" s="133" t="s">
        <v>522</v>
      </c>
      <c r="C191" s="256">
        <v>9060912</v>
      </c>
      <c r="D191" s="804"/>
      <c r="E191" s="134"/>
      <c r="F191" s="134"/>
      <c r="G191" s="181">
        <f>9060912</f>
        <v>9060912</v>
      </c>
      <c r="H191" s="134"/>
      <c r="I191" s="134"/>
      <c r="J191" s="6">
        <f t="shared" si="71"/>
        <v>0</v>
      </c>
      <c r="K191" s="805"/>
    </row>
    <row r="192" spans="1:11" x14ac:dyDescent="0.25">
      <c r="A192" s="945"/>
      <c r="B192" s="129" t="s">
        <v>154</v>
      </c>
      <c r="C192" s="826">
        <f>SUM(C188:C191)</f>
        <v>1803960912</v>
      </c>
      <c r="D192" s="272">
        <f>SUM(D188:D190)</f>
        <v>99.497721267698964</v>
      </c>
      <c r="E192" s="134"/>
      <c r="F192" s="134"/>
      <c r="G192" s="181">
        <f>SUM(G188:G191)</f>
        <v>1801720212</v>
      </c>
      <c r="H192" s="134"/>
      <c r="I192" s="134"/>
      <c r="J192" s="734">
        <v>2240700</v>
      </c>
      <c r="K192" s="40"/>
    </row>
    <row r="193" spans="1:15" x14ac:dyDescent="0.25">
      <c r="A193" s="54"/>
      <c r="B193" s="54"/>
      <c r="C193" s="59"/>
      <c r="D193" s="182"/>
      <c r="E193" s="183"/>
      <c r="F193" s="183"/>
      <c r="G193" s="184"/>
      <c r="H193" s="183"/>
      <c r="I193" s="183"/>
      <c r="J193" s="185"/>
      <c r="K193" s="37"/>
    </row>
    <row r="194" spans="1:15" x14ac:dyDescent="0.25">
      <c r="A194" s="50"/>
      <c r="B194" s="5"/>
      <c r="C194" s="50"/>
      <c r="D194" s="9"/>
      <c r="E194" s="23"/>
      <c r="F194" s="23"/>
      <c r="G194" s="11"/>
      <c r="H194" s="23"/>
      <c r="I194" s="23"/>
      <c r="J194" s="9"/>
      <c r="K194" s="9"/>
    </row>
    <row r="195" spans="1:15" x14ac:dyDescent="0.25">
      <c r="A195" s="1072" t="s">
        <v>2</v>
      </c>
      <c r="B195" s="1072" t="s">
        <v>129</v>
      </c>
      <c r="C195" s="1072" t="s">
        <v>124</v>
      </c>
      <c r="D195" s="1075" t="s">
        <v>5</v>
      </c>
      <c r="E195" s="1076"/>
      <c r="F195" s="1076"/>
      <c r="G195" s="1077" t="s">
        <v>6</v>
      </c>
      <c r="H195" s="1076"/>
      <c r="I195" s="1076"/>
      <c r="J195" s="1078" t="s">
        <v>7</v>
      </c>
      <c r="K195" s="95" t="s">
        <v>8</v>
      </c>
    </row>
    <row r="196" spans="1:15" x14ac:dyDescent="0.25">
      <c r="A196" s="1073"/>
      <c r="B196" s="1073"/>
      <c r="C196" s="1073"/>
      <c r="D196" s="95" t="s">
        <v>9</v>
      </c>
      <c r="E196" s="294" t="s">
        <v>10</v>
      </c>
      <c r="F196" s="294" t="s">
        <v>11</v>
      </c>
      <c r="G196" s="96" t="s">
        <v>12</v>
      </c>
      <c r="H196" s="97" t="s">
        <v>13</v>
      </c>
      <c r="I196" s="97" t="s">
        <v>11</v>
      </c>
      <c r="J196" s="1079"/>
      <c r="K196" s="98"/>
    </row>
    <row r="197" spans="1:15" x14ac:dyDescent="0.25">
      <c r="A197" s="1074"/>
      <c r="B197" s="1074"/>
      <c r="C197" s="1074"/>
      <c r="D197" s="101" t="s">
        <v>14</v>
      </c>
      <c r="E197" s="100" t="s">
        <v>14</v>
      </c>
      <c r="F197" s="100" t="s">
        <v>14</v>
      </c>
      <c r="G197" s="99" t="s">
        <v>15</v>
      </c>
      <c r="H197" s="100" t="s">
        <v>14</v>
      </c>
      <c r="I197" s="100" t="s">
        <v>14</v>
      </c>
      <c r="J197" s="101" t="s">
        <v>15</v>
      </c>
      <c r="K197" s="101"/>
    </row>
    <row r="198" spans="1:15" ht="25.5" x14ac:dyDescent="0.25">
      <c r="A198" s="175" t="s">
        <v>180</v>
      </c>
      <c r="B198" s="696" t="s">
        <v>379</v>
      </c>
      <c r="C198" s="126"/>
      <c r="D198" s="121"/>
      <c r="E198" s="122"/>
      <c r="F198" s="122"/>
      <c r="G198" s="123"/>
      <c r="H198" s="122"/>
      <c r="I198" s="122"/>
      <c r="J198" s="121"/>
      <c r="K198" s="121"/>
    </row>
    <row r="199" spans="1:15" ht="25.5" x14ac:dyDescent="0.25">
      <c r="A199" s="176" t="s">
        <v>181</v>
      </c>
      <c r="B199" s="697" t="s">
        <v>380</v>
      </c>
      <c r="C199" s="86">
        <f>SUM(C200:C219)</f>
        <v>385000000</v>
      </c>
      <c r="D199" s="121"/>
      <c r="E199" s="122"/>
      <c r="F199" s="122"/>
      <c r="G199" s="123"/>
      <c r="H199" s="122"/>
      <c r="I199" s="122"/>
      <c r="J199" s="121"/>
      <c r="K199" s="121"/>
    </row>
    <row r="200" spans="1:15" ht="25.5" x14ac:dyDescent="0.25">
      <c r="A200" s="170" t="s">
        <v>44</v>
      </c>
      <c r="B200" s="707" t="s">
        <v>384</v>
      </c>
      <c r="C200" s="58">
        <v>16310000</v>
      </c>
      <c r="D200" s="134">
        <f>C200/C199*100</f>
        <v>4.2363636363636363</v>
      </c>
      <c r="E200" s="134">
        <f t="shared" ref="E200:E214" si="72">G200/C200*100</f>
        <v>100</v>
      </c>
      <c r="F200" s="134">
        <f t="shared" ref="F200:F214" si="73">(D200*E200)/100</f>
        <v>4.2363636363636363</v>
      </c>
      <c r="G200" s="181">
        <f>16310000</f>
        <v>16310000</v>
      </c>
      <c r="H200" s="134">
        <f t="shared" ref="H200:H214" si="74">G200/C200*100</f>
        <v>100</v>
      </c>
      <c r="I200" s="134">
        <f t="shared" ref="I200:I214" si="75">(D200*H200)/100</f>
        <v>4.2363636363636363</v>
      </c>
      <c r="J200" s="6">
        <f t="shared" ref="J200:J218" si="76">G200-C200</f>
        <v>0</v>
      </c>
      <c r="K200" s="121"/>
    </row>
    <row r="201" spans="1:15" x14ac:dyDescent="0.25">
      <c r="A201" s="170" t="s">
        <v>448</v>
      </c>
      <c r="B201" s="707" t="s">
        <v>578</v>
      </c>
      <c r="C201" s="58">
        <v>2210000</v>
      </c>
      <c r="D201" s="134"/>
      <c r="E201" s="134"/>
      <c r="F201" s="134"/>
      <c r="G201" s="181">
        <f>510000</f>
        <v>510000</v>
      </c>
      <c r="H201" s="134"/>
      <c r="I201" s="134"/>
      <c r="J201" s="6">
        <f>G201-C201</f>
        <v>-1700000</v>
      </c>
      <c r="K201" s="121"/>
    </row>
    <row r="202" spans="1:15" x14ac:dyDescent="0.25">
      <c r="A202" s="170" t="s">
        <v>59</v>
      </c>
      <c r="B202" s="707" t="s">
        <v>197</v>
      </c>
      <c r="C202" s="58">
        <v>15297500</v>
      </c>
      <c r="D202" s="180">
        <f>C202/C199*100</f>
        <v>3.9733766233766232</v>
      </c>
      <c r="E202" s="134">
        <f t="shared" si="72"/>
        <v>99.726425886582774</v>
      </c>
      <c r="F202" s="134">
        <f t="shared" si="73"/>
        <v>3.9625064935064933</v>
      </c>
      <c r="G202" s="181">
        <f>15255650</f>
        <v>15255650</v>
      </c>
      <c r="H202" s="134">
        <f t="shared" si="74"/>
        <v>99.726425886582774</v>
      </c>
      <c r="I202" s="134">
        <f t="shared" si="75"/>
        <v>3.9625064935064933</v>
      </c>
      <c r="J202" s="6">
        <f t="shared" si="76"/>
        <v>-41850</v>
      </c>
      <c r="K202" s="167"/>
    </row>
    <row r="203" spans="1:15" x14ac:dyDescent="0.25">
      <c r="A203" s="170" t="s">
        <v>413</v>
      </c>
      <c r="B203" s="707" t="s">
        <v>597</v>
      </c>
      <c r="C203" s="58">
        <v>10871000</v>
      </c>
      <c r="D203" s="180"/>
      <c r="E203" s="134"/>
      <c r="F203" s="134"/>
      <c r="G203" s="181">
        <f>10871000</f>
        <v>10871000</v>
      </c>
      <c r="H203" s="134"/>
      <c r="I203" s="134"/>
      <c r="J203" s="6"/>
      <c r="K203" s="167"/>
    </row>
    <row r="204" spans="1:15" x14ac:dyDescent="0.25">
      <c r="A204" s="170" t="s">
        <v>148</v>
      </c>
      <c r="B204" s="133" t="s">
        <v>531</v>
      </c>
      <c r="C204" s="58">
        <v>10000000</v>
      </c>
      <c r="D204" s="726"/>
      <c r="E204" s="134"/>
      <c r="F204" s="134"/>
      <c r="G204" s="181">
        <f>10000000</f>
        <v>10000000</v>
      </c>
      <c r="H204" s="134"/>
      <c r="I204" s="134"/>
      <c r="J204" s="6">
        <f t="shared" si="76"/>
        <v>0</v>
      </c>
      <c r="K204" s="167"/>
    </row>
    <row r="205" spans="1:15" x14ac:dyDescent="0.25">
      <c r="A205" s="170" t="s">
        <v>579</v>
      </c>
      <c r="B205" s="133" t="s">
        <v>580</v>
      </c>
      <c r="C205" s="58">
        <v>23625000</v>
      </c>
      <c r="D205" s="726"/>
      <c r="E205" s="134"/>
      <c r="F205" s="134"/>
      <c r="G205" s="181">
        <f>10305000</f>
        <v>10305000</v>
      </c>
      <c r="H205" s="134"/>
      <c r="I205" s="134"/>
      <c r="J205" s="6">
        <f>G205-C205</f>
        <v>-13320000</v>
      </c>
      <c r="K205" s="167"/>
    </row>
    <row r="206" spans="1:15" x14ac:dyDescent="0.25">
      <c r="A206" s="170" t="s">
        <v>77</v>
      </c>
      <c r="B206" s="170" t="s">
        <v>127</v>
      </c>
      <c r="C206" s="58">
        <v>61010000</v>
      </c>
      <c r="D206" s="726">
        <f>C206/C199*100</f>
        <v>15.846753246753249</v>
      </c>
      <c r="E206" s="134">
        <f t="shared" si="72"/>
        <v>100</v>
      </c>
      <c r="F206" s="134">
        <f t="shared" si="73"/>
        <v>15.846753246753249</v>
      </c>
      <c r="G206" s="181">
        <f>61010000</f>
        <v>61010000</v>
      </c>
      <c r="H206" s="134">
        <f t="shared" si="74"/>
        <v>100</v>
      </c>
      <c r="I206" s="134">
        <f t="shared" si="75"/>
        <v>15.846753246753249</v>
      </c>
      <c r="J206" s="6">
        <f t="shared" si="76"/>
        <v>0</v>
      </c>
      <c r="K206" s="167"/>
      <c r="O206" s="190"/>
    </row>
    <row r="207" spans="1:15" x14ac:dyDescent="0.25">
      <c r="A207" s="170" t="s">
        <v>183</v>
      </c>
      <c r="B207" s="170" t="s">
        <v>178</v>
      </c>
      <c r="C207" s="58">
        <v>47625000</v>
      </c>
      <c r="D207" s="726">
        <f>C207/C199*100</f>
        <v>12.370129870129871</v>
      </c>
      <c r="E207" s="134">
        <f t="shared" si="72"/>
        <v>100</v>
      </c>
      <c r="F207" s="134">
        <f t="shared" si="73"/>
        <v>12.370129870129869</v>
      </c>
      <c r="G207" s="181">
        <f>47625000</f>
        <v>47625000</v>
      </c>
      <c r="H207" s="134">
        <f t="shared" si="74"/>
        <v>100</v>
      </c>
      <c r="I207" s="134">
        <f t="shared" si="75"/>
        <v>12.370129870129869</v>
      </c>
      <c r="J207" s="6">
        <f t="shared" si="76"/>
        <v>0</v>
      </c>
      <c r="K207" s="167"/>
    </row>
    <row r="208" spans="1:15" x14ac:dyDescent="0.25">
      <c r="A208" s="170" t="s">
        <v>186</v>
      </c>
      <c r="B208" s="170" t="s">
        <v>179</v>
      </c>
      <c r="C208" s="58">
        <v>44100000</v>
      </c>
      <c r="D208" s="726">
        <f>C208/C199*100</f>
        <v>11.454545454545455</v>
      </c>
      <c r="E208" s="134">
        <f t="shared" si="72"/>
        <v>100</v>
      </c>
      <c r="F208" s="134">
        <f t="shared" si="73"/>
        <v>11.454545454545455</v>
      </c>
      <c r="G208" s="181">
        <f>44100000</f>
        <v>44100000</v>
      </c>
      <c r="H208" s="134">
        <f t="shared" si="74"/>
        <v>100</v>
      </c>
      <c r="I208" s="134">
        <f t="shared" si="75"/>
        <v>11.454545454545455</v>
      </c>
      <c r="J208" s="6">
        <f t="shared" si="76"/>
        <v>0</v>
      </c>
      <c r="K208" s="167"/>
    </row>
    <row r="209" spans="1:14" ht="25.5" x14ac:dyDescent="0.25">
      <c r="A209" s="170" t="s">
        <v>106</v>
      </c>
      <c r="B209" s="316" t="s">
        <v>375</v>
      </c>
      <c r="C209" s="58">
        <v>44000000</v>
      </c>
      <c r="D209" s="726">
        <f>C209/C199*100</f>
        <v>11.428571428571429</v>
      </c>
      <c r="E209" s="134">
        <f t="shared" si="72"/>
        <v>100</v>
      </c>
      <c r="F209" s="134">
        <f t="shared" si="73"/>
        <v>11.428571428571429</v>
      </c>
      <c r="G209" s="181">
        <f>44000000</f>
        <v>44000000</v>
      </c>
      <c r="H209" s="134">
        <f t="shared" si="74"/>
        <v>100</v>
      </c>
      <c r="I209" s="134">
        <f t="shared" si="75"/>
        <v>11.428571428571429</v>
      </c>
      <c r="J209" s="6">
        <f t="shared" si="76"/>
        <v>0</v>
      </c>
      <c r="K209" s="167"/>
    </row>
    <row r="210" spans="1:14" x14ac:dyDescent="0.25">
      <c r="A210" s="170" t="s">
        <v>162</v>
      </c>
      <c r="B210" s="315" t="s">
        <v>515</v>
      </c>
      <c r="C210" s="58">
        <v>36000000</v>
      </c>
      <c r="D210" s="726"/>
      <c r="E210" s="134"/>
      <c r="F210" s="134"/>
      <c r="G210" s="181">
        <f>36000000</f>
        <v>36000000</v>
      </c>
      <c r="H210" s="134"/>
      <c r="I210" s="134"/>
      <c r="J210" s="6">
        <f t="shared" si="76"/>
        <v>0</v>
      </c>
      <c r="K210" s="167"/>
    </row>
    <row r="211" spans="1:14" x14ac:dyDescent="0.25">
      <c r="A211" s="170" t="s">
        <v>527</v>
      </c>
      <c r="B211" s="316" t="s">
        <v>523</v>
      </c>
      <c r="C211" s="58">
        <v>5625000</v>
      </c>
      <c r="D211" s="726"/>
      <c r="E211" s="134"/>
      <c r="F211" s="134"/>
      <c r="G211" s="181">
        <f>5625000</f>
        <v>5625000</v>
      </c>
      <c r="H211" s="134"/>
      <c r="I211" s="134"/>
      <c r="J211" s="6">
        <f t="shared" si="76"/>
        <v>0</v>
      </c>
      <c r="K211" s="167"/>
    </row>
    <row r="212" spans="1:14" x14ac:dyDescent="0.25">
      <c r="A212" s="170" t="s">
        <v>528</v>
      </c>
      <c r="B212" s="316" t="s">
        <v>524</v>
      </c>
      <c r="C212" s="58">
        <v>16000000</v>
      </c>
      <c r="D212" s="726"/>
      <c r="E212" s="134"/>
      <c r="F212" s="134"/>
      <c r="G212" s="181">
        <f>16000000</f>
        <v>16000000</v>
      </c>
      <c r="H212" s="134"/>
      <c r="I212" s="134"/>
      <c r="J212" s="6">
        <f t="shared" si="76"/>
        <v>0</v>
      </c>
      <c r="K212" s="167"/>
    </row>
    <row r="213" spans="1:14" x14ac:dyDescent="0.25">
      <c r="A213" s="170" t="s">
        <v>529</v>
      </c>
      <c r="B213" s="316" t="s">
        <v>525</v>
      </c>
      <c r="C213" s="58">
        <v>4000000</v>
      </c>
      <c r="D213" s="726"/>
      <c r="E213" s="134"/>
      <c r="F213" s="134"/>
      <c r="G213" s="181">
        <f>4000000</f>
        <v>4000000</v>
      </c>
      <c r="H213" s="134"/>
      <c r="I213" s="134"/>
      <c r="J213" s="6">
        <f t="shared" si="76"/>
        <v>0</v>
      </c>
      <c r="K213" s="167"/>
    </row>
    <row r="214" spans="1:14" ht="25.5" x14ac:dyDescent="0.25">
      <c r="A214" s="170" t="s">
        <v>116</v>
      </c>
      <c r="B214" s="133" t="s">
        <v>371</v>
      </c>
      <c r="C214" s="178">
        <v>3848500</v>
      </c>
      <c r="D214" s="726">
        <f>C214/C199*100</f>
        <v>0.99961038961038973</v>
      </c>
      <c r="E214" s="134">
        <f t="shared" si="72"/>
        <v>100</v>
      </c>
      <c r="F214" s="134">
        <f t="shared" si="73"/>
        <v>0.99961038961038962</v>
      </c>
      <c r="G214" s="181">
        <f>3848500</f>
        <v>3848500</v>
      </c>
      <c r="H214" s="134">
        <f t="shared" si="74"/>
        <v>100</v>
      </c>
      <c r="I214" s="134">
        <f t="shared" si="75"/>
        <v>0.99961038961038962</v>
      </c>
      <c r="J214" s="6">
        <f t="shared" si="76"/>
        <v>0</v>
      </c>
      <c r="K214" s="167"/>
      <c r="M214" s="190"/>
    </row>
    <row r="215" spans="1:14" x14ac:dyDescent="0.25">
      <c r="A215" s="748" t="s">
        <v>65</v>
      </c>
      <c r="B215" s="315" t="s">
        <v>393</v>
      </c>
      <c r="C215" s="178">
        <v>7000000</v>
      </c>
      <c r="D215" s="726"/>
      <c r="E215" s="134"/>
      <c r="F215" s="134"/>
      <c r="G215" s="181">
        <f>6932360</f>
        <v>6932360</v>
      </c>
      <c r="H215" s="134"/>
      <c r="I215" s="134"/>
      <c r="J215" s="6">
        <f t="shared" si="76"/>
        <v>-67640</v>
      </c>
      <c r="K215" s="167"/>
      <c r="M215" s="190"/>
    </row>
    <row r="216" spans="1:14" x14ac:dyDescent="0.25">
      <c r="A216" s="748" t="s">
        <v>287</v>
      </c>
      <c r="B216" s="315" t="s">
        <v>191</v>
      </c>
      <c r="C216" s="178">
        <v>15000000</v>
      </c>
      <c r="D216" s="726"/>
      <c r="E216" s="134"/>
      <c r="F216" s="134"/>
      <c r="G216" s="181">
        <f>15000000</f>
        <v>15000000</v>
      </c>
      <c r="H216" s="134"/>
      <c r="I216" s="134"/>
      <c r="J216" s="6">
        <f t="shared" si="76"/>
        <v>0</v>
      </c>
      <c r="K216" s="167"/>
      <c r="M216" s="190"/>
    </row>
    <row r="217" spans="1:14" x14ac:dyDescent="0.25">
      <c r="A217" s="748" t="s">
        <v>590</v>
      </c>
      <c r="B217" s="315" t="s">
        <v>598</v>
      </c>
      <c r="C217" s="178">
        <v>15300000</v>
      </c>
      <c r="D217" s="726"/>
      <c r="E217" s="134"/>
      <c r="F217" s="134"/>
      <c r="G217" s="181">
        <f>15300000</f>
        <v>15300000</v>
      </c>
      <c r="H217" s="134"/>
      <c r="I217" s="134"/>
      <c r="J217" s="6"/>
      <c r="K217" s="167"/>
      <c r="M217" s="190"/>
    </row>
    <row r="218" spans="1:14" x14ac:dyDescent="0.25">
      <c r="A218" s="748" t="s">
        <v>275</v>
      </c>
      <c r="B218" s="133" t="s">
        <v>421</v>
      </c>
      <c r="C218" s="178">
        <v>6500000</v>
      </c>
      <c r="D218" s="726"/>
      <c r="E218" s="134"/>
      <c r="F218" s="134"/>
      <c r="G218" s="181">
        <f>6500000</f>
        <v>6500000</v>
      </c>
      <c r="H218" s="134"/>
      <c r="I218" s="134"/>
      <c r="J218" s="6">
        <f t="shared" si="76"/>
        <v>0</v>
      </c>
      <c r="K218" s="167"/>
      <c r="M218" s="190"/>
    </row>
    <row r="219" spans="1:14" x14ac:dyDescent="0.25">
      <c r="A219" s="748" t="s">
        <v>600</v>
      </c>
      <c r="B219" s="133" t="s">
        <v>599</v>
      </c>
      <c r="C219" s="178">
        <v>678000</v>
      </c>
      <c r="D219" s="726"/>
      <c r="E219" s="134"/>
      <c r="F219" s="134"/>
      <c r="G219" s="181">
        <f>678000</f>
        <v>678000</v>
      </c>
      <c r="H219" s="134"/>
      <c r="I219" s="134"/>
      <c r="J219" s="6"/>
      <c r="K219" s="167"/>
      <c r="M219" s="190"/>
    </row>
    <row r="220" spans="1:14" x14ac:dyDescent="0.25">
      <c r="A220" s="69"/>
      <c r="B220" s="67" t="s">
        <v>128</v>
      </c>
      <c r="C220" s="60">
        <f>SUM(C200:C219)</f>
        <v>385000000</v>
      </c>
      <c r="D220" s="275">
        <f>SUM(D200:D214)</f>
        <v>60.309350649350655</v>
      </c>
      <c r="E220" s="134"/>
      <c r="F220" s="134"/>
      <c r="G220" s="42">
        <f>SUM(G200:G219)</f>
        <v>369870510</v>
      </c>
      <c r="H220" s="134"/>
      <c r="I220" s="134"/>
      <c r="J220" s="734">
        <v>15129490</v>
      </c>
      <c r="K220" s="38"/>
    </row>
    <row r="221" spans="1:14" x14ac:dyDescent="0.25">
      <c r="A221" s="186"/>
      <c r="B221" s="2"/>
      <c r="C221" s="187"/>
      <c r="D221" s="188"/>
      <c r="E221" s="183"/>
      <c r="F221" s="183"/>
      <c r="G221" s="184"/>
      <c r="H221" s="183"/>
      <c r="I221" s="183"/>
      <c r="J221" s="189"/>
      <c r="K221" s="53"/>
    </row>
    <row r="222" spans="1:14" ht="31.5" x14ac:dyDescent="0.25">
      <c r="A222" s="55"/>
      <c r="B222" s="46" t="s">
        <v>145</v>
      </c>
      <c r="C222" s="155"/>
      <c r="D222" s="44"/>
      <c r="E222" s="45"/>
      <c r="F222" s="45"/>
      <c r="G222" s="48"/>
      <c r="H222" s="45"/>
      <c r="I222" s="45"/>
      <c r="J222" s="44"/>
      <c r="K222" s="44"/>
      <c r="L222" s="1"/>
      <c r="M222" s="1"/>
      <c r="N222" s="1"/>
    </row>
    <row r="223" spans="1:14" x14ac:dyDescent="0.25">
      <c r="A223" s="1082" t="s">
        <v>2</v>
      </c>
      <c r="B223" s="1081" t="s">
        <v>168</v>
      </c>
      <c r="C223" s="1082" t="s">
        <v>4</v>
      </c>
      <c r="D223" s="1083" t="s">
        <v>5</v>
      </c>
      <c r="E223" s="1084"/>
      <c r="F223" s="1084"/>
      <c r="G223" s="1085" t="s">
        <v>6</v>
      </c>
      <c r="H223" s="1084"/>
      <c r="I223" s="1084"/>
      <c r="J223" s="1082" t="s">
        <v>7</v>
      </c>
      <c r="K223" s="283" t="s">
        <v>8</v>
      </c>
    </row>
    <row r="224" spans="1:14" x14ac:dyDescent="0.25">
      <c r="A224" s="1082"/>
      <c r="B224" s="1081"/>
      <c r="C224" s="1082"/>
      <c r="D224" s="283" t="s">
        <v>9</v>
      </c>
      <c r="E224" s="297" t="s">
        <v>10</v>
      </c>
      <c r="F224" s="297" t="s">
        <v>11</v>
      </c>
      <c r="G224" s="298" t="s">
        <v>12</v>
      </c>
      <c r="H224" s="297" t="s">
        <v>13</v>
      </c>
      <c r="I224" s="297" t="s">
        <v>11</v>
      </c>
      <c r="J224" s="1086"/>
      <c r="K224" s="284"/>
    </row>
    <row r="225" spans="1:11" x14ac:dyDescent="0.25">
      <c r="A225" s="1082"/>
      <c r="B225" s="1081"/>
      <c r="C225" s="1082"/>
      <c r="D225" s="282" t="s">
        <v>14</v>
      </c>
      <c r="E225" s="295" t="s">
        <v>14</v>
      </c>
      <c r="F225" s="295" t="s">
        <v>14</v>
      </c>
      <c r="G225" s="296" t="s">
        <v>15</v>
      </c>
      <c r="H225" s="295" t="s">
        <v>14</v>
      </c>
      <c r="I225" s="295" t="s">
        <v>14</v>
      </c>
      <c r="J225" s="282" t="s">
        <v>15</v>
      </c>
      <c r="K225" s="282"/>
    </row>
    <row r="226" spans="1:11" x14ac:dyDescent="0.25">
      <c r="A226" s="79" t="s">
        <v>185</v>
      </c>
      <c r="B226" s="199" t="s">
        <v>146</v>
      </c>
      <c r="C226" s="145"/>
      <c r="D226" s="146"/>
      <c r="E226" s="147"/>
      <c r="F226" s="147"/>
      <c r="G226" s="148"/>
      <c r="H226" s="147"/>
      <c r="I226" s="147"/>
      <c r="J226" s="146"/>
      <c r="K226" s="146"/>
    </row>
    <row r="227" spans="1:11" x14ac:dyDescent="0.25">
      <c r="A227" s="125" t="s">
        <v>184</v>
      </c>
      <c r="B227" s="280" t="s">
        <v>147</v>
      </c>
      <c r="C227" s="257">
        <f>SUM(C228:C230)</f>
        <v>2695640000</v>
      </c>
      <c r="D227" s="146"/>
      <c r="E227" s="147"/>
      <c r="F227" s="147"/>
      <c r="G227" s="148"/>
      <c r="H227" s="147"/>
      <c r="I227" s="147"/>
      <c r="J227" s="146"/>
      <c r="K227" s="146"/>
    </row>
    <row r="228" spans="1:11" ht="25.5" x14ac:dyDescent="0.25">
      <c r="A228" s="319" t="s">
        <v>59</v>
      </c>
      <c r="B228" s="707" t="s">
        <v>384</v>
      </c>
      <c r="C228" s="258">
        <f>33350000</f>
        <v>33350000</v>
      </c>
      <c r="D228" s="267"/>
      <c r="E228" s="134"/>
      <c r="F228" s="134"/>
      <c r="G228" s="181">
        <f>33350000</f>
        <v>33350000</v>
      </c>
      <c r="H228" s="134"/>
      <c r="I228" s="134"/>
      <c r="J228" s="6">
        <f t="shared" ref="J228:J229" si="77">G228-C228</f>
        <v>0</v>
      </c>
      <c r="K228" s="146"/>
    </row>
    <row r="229" spans="1:11" x14ac:dyDescent="0.25">
      <c r="A229" s="49" t="s">
        <v>148</v>
      </c>
      <c r="B229" s="707" t="s">
        <v>197</v>
      </c>
      <c r="C229" s="259">
        <f>2290000</f>
        <v>2290000</v>
      </c>
      <c r="D229" s="267">
        <f>C229/C227*100</f>
        <v>8.4951996557403806E-2</v>
      </c>
      <c r="E229" s="134">
        <f t="shared" ref="E229" si="78">G229/C229*100</f>
        <v>100</v>
      </c>
      <c r="F229" s="134">
        <f t="shared" ref="F229" si="79">(D229*E229)/100</f>
        <v>8.4951996557403806E-2</v>
      </c>
      <c r="G229" s="181">
        <f>2290000</f>
        <v>2290000</v>
      </c>
      <c r="H229" s="134">
        <f t="shared" ref="H229" si="80">G229/C229*100</f>
        <v>100</v>
      </c>
      <c r="I229" s="134">
        <f t="shared" ref="I229" si="81">(D229*H229)/100</f>
        <v>8.4951996557403806E-2</v>
      </c>
      <c r="J229" s="6">
        <f t="shared" si="77"/>
        <v>0</v>
      </c>
      <c r="K229" s="146"/>
    </row>
    <row r="230" spans="1:11" x14ac:dyDescent="0.25">
      <c r="A230" s="749"/>
      <c r="B230" s="133" t="s">
        <v>531</v>
      </c>
      <c r="C230" s="259">
        <v>2660000000</v>
      </c>
      <c r="D230" s="848"/>
      <c r="E230" s="134"/>
      <c r="F230" s="134"/>
      <c r="G230" s="181">
        <f>716100000+1943900000</f>
        <v>2660000000</v>
      </c>
      <c r="H230" s="134"/>
      <c r="I230" s="134"/>
      <c r="J230" s="6"/>
      <c r="K230" s="849"/>
    </row>
    <row r="231" spans="1:11" x14ac:dyDescent="0.25">
      <c r="A231" s="71"/>
      <c r="B231" s="76" t="s">
        <v>95</v>
      </c>
      <c r="C231" s="806">
        <f>SUM(C228:C230)</f>
        <v>2695640000</v>
      </c>
      <c r="D231" s="141">
        <f>SUM(D228:D229)</f>
        <v>8.4951996557403806E-2</v>
      </c>
      <c r="E231" s="134"/>
      <c r="F231" s="134"/>
      <c r="G231" s="181">
        <f>SUM(G228:G230)</f>
        <v>2695640000</v>
      </c>
      <c r="H231" s="134"/>
      <c r="I231" s="134"/>
      <c r="J231" s="56">
        <v>0</v>
      </c>
      <c r="K231" s="143"/>
    </row>
    <row r="232" spans="1:11" x14ac:dyDescent="0.25">
      <c r="A232" s="186"/>
      <c r="B232" s="2"/>
      <c r="C232" s="187"/>
      <c r="D232" s="188"/>
      <c r="E232" s="183"/>
      <c r="F232" s="183"/>
      <c r="G232" s="184"/>
      <c r="H232" s="183"/>
      <c r="I232" s="183"/>
      <c r="J232" s="189"/>
      <c r="K232" s="53"/>
    </row>
    <row r="233" spans="1:11" x14ac:dyDescent="0.25">
      <c r="A233" s="1080" t="s">
        <v>2</v>
      </c>
      <c r="B233" s="1081" t="s">
        <v>168</v>
      </c>
      <c r="C233" s="1080" t="s">
        <v>4</v>
      </c>
      <c r="D233" s="1075" t="s">
        <v>5</v>
      </c>
      <c r="E233" s="1076"/>
      <c r="F233" s="1076"/>
      <c r="G233" s="1077" t="s">
        <v>6</v>
      </c>
      <c r="H233" s="1076"/>
      <c r="I233" s="1076"/>
      <c r="J233" s="1080" t="s">
        <v>7</v>
      </c>
      <c r="K233" s="95" t="s">
        <v>8</v>
      </c>
    </row>
    <row r="234" spans="1:11" x14ac:dyDescent="0.25">
      <c r="A234" s="1080"/>
      <c r="B234" s="1081"/>
      <c r="C234" s="1080"/>
      <c r="D234" s="95" t="s">
        <v>9</v>
      </c>
      <c r="E234" s="294" t="s">
        <v>10</v>
      </c>
      <c r="F234" s="294" t="s">
        <v>11</v>
      </c>
      <c r="G234" s="299" t="s">
        <v>12</v>
      </c>
      <c r="H234" s="294" t="s">
        <v>13</v>
      </c>
      <c r="I234" s="294" t="s">
        <v>11</v>
      </c>
      <c r="J234" s="1078"/>
      <c r="K234" s="98"/>
    </row>
    <row r="235" spans="1:11" x14ac:dyDescent="0.25">
      <c r="A235" s="1080"/>
      <c r="B235" s="1081"/>
      <c r="C235" s="1080"/>
      <c r="D235" s="101" t="s">
        <v>14</v>
      </c>
      <c r="E235" s="100" t="s">
        <v>14</v>
      </c>
      <c r="F235" s="100" t="s">
        <v>14</v>
      </c>
      <c r="G235" s="99" t="s">
        <v>15</v>
      </c>
      <c r="H235" s="100" t="s">
        <v>14</v>
      </c>
      <c r="I235" s="100" t="s">
        <v>14</v>
      </c>
      <c r="J235" s="101" t="s">
        <v>15</v>
      </c>
      <c r="K235" s="101"/>
    </row>
    <row r="236" spans="1:11" x14ac:dyDescent="0.25">
      <c r="A236" s="79" t="s">
        <v>185</v>
      </c>
      <c r="B236" s="199" t="s">
        <v>146</v>
      </c>
      <c r="C236" s="24"/>
      <c r="D236" s="10"/>
      <c r="E236" s="34"/>
      <c r="F236" s="34"/>
      <c r="G236" s="6"/>
      <c r="H236" s="34"/>
      <c r="I236" s="34"/>
      <c r="J236" s="10"/>
      <c r="K236" s="10"/>
    </row>
    <row r="237" spans="1:11" x14ac:dyDescent="0.25">
      <c r="A237" s="125" t="s">
        <v>187</v>
      </c>
      <c r="B237" s="280" t="s">
        <v>150</v>
      </c>
      <c r="C237" s="252">
        <f>SUM(C238:C242)</f>
        <v>1635097968</v>
      </c>
      <c r="D237" s="10"/>
      <c r="E237" s="34"/>
      <c r="F237" s="34"/>
      <c r="G237" s="6"/>
      <c r="H237" s="34"/>
      <c r="I237" s="34"/>
      <c r="J237" s="10"/>
      <c r="K237" s="10"/>
    </row>
    <row r="238" spans="1:11" ht="25.5" x14ac:dyDescent="0.25">
      <c r="A238" s="313" t="s">
        <v>44</v>
      </c>
      <c r="B238" s="707" t="s">
        <v>384</v>
      </c>
      <c r="C238" s="253">
        <v>29600000</v>
      </c>
      <c r="D238" s="134">
        <f>C238/C237*100</f>
        <v>1.8102890823236593</v>
      </c>
      <c r="E238" s="134">
        <f t="shared" ref="E238:E241" si="82">G238/C238*100</f>
        <v>100</v>
      </c>
      <c r="F238" s="134">
        <f t="shared" ref="F238:F241" si="83">(D238*E238)/100</f>
        <v>1.8102890823236593</v>
      </c>
      <c r="G238" s="181">
        <f>29600000</f>
        <v>29600000</v>
      </c>
      <c r="H238" s="134">
        <f t="shared" ref="H238:H241" si="84">G238/C238*100</f>
        <v>100</v>
      </c>
      <c r="I238" s="134">
        <f t="shared" ref="I238:I241" si="85">(D238*H238)/100</f>
        <v>1.8102890823236593</v>
      </c>
      <c r="J238" s="6">
        <f t="shared" ref="J238:J242" si="86">G238-C238</f>
        <v>0</v>
      </c>
      <c r="K238" s="10"/>
    </row>
    <row r="239" spans="1:11" x14ac:dyDescent="0.25">
      <c r="A239" s="319" t="s">
        <v>59</v>
      </c>
      <c r="B239" s="707" t="s">
        <v>197</v>
      </c>
      <c r="C239" s="253">
        <v>1300000</v>
      </c>
      <c r="D239" s="134"/>
      <c r="E239" s="134"/>
      <c r="F239" s="134"/>
      <c r="G239" s="181">
        <f>1300000</f>
        <v>1300000</v>
      </c>
      <c r="H239" s="134"/>
      <c r="I239" s="134"/>
      <c r="J239" s="6">
        <f t="shared" si="86"/>
        <v>0</v>
      </c>
      <c r="K239" s="10"/>
    </row>
    <row r="240" spans="1:11" x14ac:dyDescent="0.25">
      <c r="A240" s="49" t="s">
        <v>148</v>
      </c>
      <c r="B240" s="133" t="s">
        <v>531</v>
      </c>
      <c r="C240" s="256">
        <f>1140000000</f>
        <v>1140000000</v>
      </c>
      <c r="D240" s="134">
        <f>C240/C237*100</f>
        <v>69.720593035438228</v>
      </c>
      <c r="E240" s="134">
        <f t="shared" si="82"/>
        <v>100</v>
      </c>
      <c r="F240" s="134">
        <f t="shared" si="83"/>
        <v>69.720593035438228</v>
      </c>
      <c r="G240" s="181">
        <f>931673600+208326400</f>
        <v>1140000000</v>
      </c>
      <c r="H240" s="134">
        <f t="shared" si="84"/>
        <v>100</v>
      </c>
      <c r="I240" s="134">
        <f t="shared" si="85"/>
        <v>69.720593035438228</v>
      </c>
      <c r="J240" s="6">
        <f t="shared" si="86"/>
        <v>0</v>
      </c>
      <c r="K240" s="10"/>
    </row>
    <row r="241" spans="1:11" s="84" customFormat="1" ht="25.5" x14ac:dyDescent="0.2">
      <c r="A241" s="49" t="s">
        <v>152</v>
      </c>
      <c r="B241" s="133" t="s">
        <v>153</v>
      </c>
      <c r="C241" s="256">
        <v>456000000</v>
      </c>
      <c r="D241" s="134">
        <f>C241/C237*100</f>
        <v>27.888237214175295</v>
      </c>
      <c r="E241" s="134">
        <f t="shared" si="82"/>
        <v>100</v>
      </c>
      <c r="F241" s="134">
        <f t="shared" si="83"/>
        <v>27.888237214175298</v>
      </c>
      <c r="G241" s="181">
        <f>456000000</f>
        <v>456000000</v>
      </c>
      <c r="H241" s="134">
        <f t="shared" si="84"/>
        <v>100</v>
      </c>
      <c r="I241" s="134">
        <f t="shared" si="85"/>
        <v>27.888237214175298</v>
      </c>
      <c r="J241" s="6">
        <f t="shared" si="86"/>
        <v>0</v>
      </c>
      <c r="K241" s="38"/>
    </row>
    <row r="242" spans="1:11" s="84" customFormat="1" x14ac:dyDescent="0.2">
      <c r="A242" s="749" t="s">
        <v>234</v>
      </c>
      <c r="B242" s="133" t="s">
        <v>522</v>
      </c>
      <c r="C242" s="256">
        <v>8197968</v>
      </c>
      <c r="D242" s="804"/>
      <c r="E242" s="134"/>
      <c r="F242" s="134"/>
      <c r="G242" s="181">
        <f>8197968</f>
        <v>8197968</v>
      </c>
      <c r="H242" s="134"/>
      <c r="I242" s="134"/>
      <c r="J242" s="6">
        <f t="shared" si="86"/>
        <v>0</v>
      </c>
      <c r="K242" s="805"/>
    </row>
    <row r="243" spans="1:11" x14ac:dyDescent="0.25">
      <c r="A243" s="70"/>
      <c r="B243" s="129" t="s">
        <v>95</v>
      </c>
      <c r="C243" s="807">
        <f>SUM(C238:C242)</f>
        <v>1635097968</v>
      </c>
      <c r="D243" s="271">
        <f>SUM(D238:D241)</f>
        <v>99.419119331937182</v>
      </c>
      <c r="E243" s="134"/>
      <c r="F243" s="134"/>
      <c r="G243" s="181">
        <f>SUM(G238:G242)</f>
        <v>1635097968</v>
      </c>
      <c r="H243" s="134"/>
      <c r="I243" s="134"/>
      <c r="J243" s="56">
        <v>0</v>
      </c>
      <c r="K243" s="130"/>
    </row>
    <row r="244" spans="1:11" x14ac:dyDescent="0.25">
      <c r="A244" s="186"/>
      <c r="B244" s="2"/>
      <c r="C244" s="187"/>
      <c r="D244" s="188"/>
      <c r="E244" s="183"/>
      <c r="F244" s="183"/>
      <c r="G244" s="184"/>
      <c r="H244" s="183"/>
      <c r="I244" s="183"/>
      <c r="J244" s="189"/>
      <c r="K244" s="53"/>
    </row>
    <row r="245" spans="1:11" x14ac:dyDescent="0.25">
      <c r="A245" s="50"/>
      <c r="B245" s="5"/>
      <c r="C245" s="50"/>
      <c r="D245" s="9"/>
      <c r="E245" s="23"/>
      <c r="F245" s="23"/>
      <c r="G245" s="11"/>
      <c r="H245" s="23"/>
      <c r="I245" s="23"/>
      <c r="J245" s="9"/>
      <c r="K245" s="9"/>
    </row>
    <row r="246" spans="1:11" x14ac:dyDescent="0.25">
      <c r="A246" s="1088" t="s">
        <v>2</v>
      </c>
      <c r="B246" s="1094" t="s">
        <v>133</v>
      </c>
      <c r="C246" s="940"/>
      <c r="D246" s="1097" t="s">
        <v>5</v>
      </c>
      <c r="E246" s="1098"/>
      <c r="F246" s="1099"/>
      <c r="G246" s="1100" t="s">
        <v>6</v>
      </c>
      <c r="H246" s="1101"/>
      <c r="I246" s="1102"/>
      <c r="J246" s="1088" t="s">
        <v>7</v>
      </c>
      <c r="K246" s="108" t="s">
        <v>8</v>
      </c>
    </row>
    <row r="247" spans="1:11" x14ac:dyDescent="0.25">
      <c r="A247" s="1092"/>
      <c r="B247" s="1095"/>
      <c r="C247" s="941" t="s">
        <v>4</v>
      </c>
      <c r="D247" s="109" t="s">
        <v>9</v>
      </c>
      <c r="E247" s="110" t="s">
        <v>10</v>
      </c>
      <c r="F247" s="110" t="s">
        <v>11</v>
      </c>
      <c r="G247" s="111" t="s">
        <v>12</v>
      </c>
      <c r="H247" s="110" t="s">
        <v>13</v>
      </c>
      <c r="I247" s="110" t="s">
        <v>11</v>
      </c>
      <c r="J247" s="1092"/>
      <c r="K247" s="109"/>
    </row>
    <row r="248" spans="1:11" x14ac:dyDescent="0.25">
      <c r="A248" s="1093"/>
      <c r="B248" s="1096"/>
      <c r="C248" s="942"/>
      <c r="D248" s="112" t="s">
        <v>14</v>
      </c>
      <c r="E248" s="113" t="s">
        <v>14</v>
      </c>
      <c r="F248" s="113" t="s">
        <v>14</v>
      </c>
      <c r="G248" s="114" t="s">
        <v>15</v>
      </c>
      <c r="H248" s="113" t="s">
        <v>14</v>
      </c>
      <c r="I248" s="113" t="s">
        <v>14</v>
      </c>
      <c r="J248" s="112" t="s">
        <v>15</v>
      </c>
      <c r="K248" s="112"/>
    </row>
    <row r="249" spans="1:11" ht="25.5" x14ac:dyDescent="0.25">
      <c r="A249" s="79" t="s">
        <v>180</v>
      </c>
      <c r="B249" s="696" t="s">
        <v>379</v>
      </c>
      <c r="C249" s="291"/>
      <c r="D249" s="10"/>
      <c r="E249" s="34"/>
      <c r="F249" s="34"/>
      <c r="G249" s="6"/>
      <c r="H249" s="34"/>
      <c r="I249" s="34"/>
      <c r="J249" s="10"/>
      <c r="K249" s="10"/>
    </row>
    <row r="250" spans="1:11" ht="25.5" x14ac:dyDescent="0.25">
      <c r="A250" s="125" t="s">
        <v>181</v>
      </c>
      <c r="B250" s="697" t="s">
        <v>380</v>
      </c>
      <c r="C250" s="87">
        <f>SUM(C251:C266)</f>
        <v>235000000</v>
      </c>
      <c r="D250" s="10"/>
      <c r="E250" s="34"/>
      <c r="F250" s="34"/>
      <c r="G250" s="6"/>
      <c r="H250" s="34"/>
      <c r="I250" s="34"/>
      <c r="J250" s="10"/>
      <c r="K250" s="10"/>
    </row>
    <row r="251" spans="1:11" ht="25.5" x14ac:dyDescent="0.25">
      <c r="A251" s="49" t="s">
        <v>44</v>
      </c>
      <c r="B251" s="707" t="s">
        <v>384</v>
      </c>
      <c r="C251" s="172">
        <v>8580000</v>
      </c>
      <c r="D251" s="134">
        <f>C251/C250*100</f>
        <v>3.6510638297872342</v>
      </c>
      <c r="E251" s="134">
        <f t="shared" ref="E251:E262" si="87">G251/C251*100</f>
        <v>100</v>
      </c>
      <c r="F251" s="134">
        <f t="shared" ref="F251:F262" si="88">(D251*E251)/100</f>
        <v>3.6510638297872346</v>
      </c>
      <c r="G251" s="181">
        <f>8580000</f>
        <v>8580000</v>
      </c>
      <c r="H251" s="134">
        <f t="shared" ref="H251:H262" si="89">G251/C251*100</f>
        <v>100</v>
      </c>
      <c r="I251" s="134">
        <f t="shared" ref="I251:I262" si="90">(D251*H251)/100</f>
        <v>3.6510638297872346</v>
      </c>
      <c r="J251" s="6">
        <f t="shared" ref="J251:J265" si="91">G251-C251</f>
        <v>0</v>
      </c>
      <c r="K251" s="10"/>
    </row>
    <row r="252" spans="1:11" x14ac:dyDescent="0.25">
      <c r="A252" s="49" t="s">
        <v>448</v>
      </c>
      <c r="B252" s="707" t="s">
        <v>578</v>
      </c>
      <c r="C252" s="172">
        <v>510000</v>
      </c>
      <c r="D252" s="134"/>
      <c r="E252" s="134"/>
      <c r="F252" s="134"/>
      <c r="G252" s="181">
        <f>510000</f>
        <v>510000</v>
      </c>
      <c r="H252" s="134"/>
      <c r="I252" s="134"/>
      <c r="J252" s="6"/>
      <c r="K252" s="10"/>
    </row>
    <row r="253" spans="1:11" x14ac:dyDescent="0.25">
      <c r="A253" s="49" t="s">
        <v>59</v>
      </c>
      <c r="B253" s="707" t="s">
        <v>197</v>
      </c>
      <c r="C253" s="256">
        <v>9805700</v>
      </c>
      <c r="D253" s="134">
        <f>C253/C250*100</f>
        <v>4.1726382978723411</v>
      </c>
      <c r="E253" s="134">
        <f t="shared" si="87"/>
        <v>100</v>
      </c>
      <c r="F253" s="134">
        <f t="shared" si="88"/>
        <v>4.1726382978723411</v>
      </c>
      <c r="G253" s="181">
        <f>9805700</f>
        <v>9805700</v>
      </c>
      <c r="H253" s="134">
        <f t="shared" si="89"/>
        <v>100</v>
      </c>
      <c r="I253" s="134">
        <f t="shared" si="90"/>
        <v>4.1726382978723411</v>
      </c>
      <c r="J253" s="6">
        <f t="shared" si="91"/>
        <v>0</v>
      </c>
      <c r="K253" s="10"/>
    </row>
    <row r="254" spans="1:11" x14ac:dyDescent="0.25">
      <c r="A254" s="49" t="s">
        <v>62</v>
      </c>
      <c r="B254" s="707" t="s">
        <v>334</v>
      </c>
      <c r="C254" s="256">
        <v>4450000</v>
      </c>
      <c r="D254" s="134">
        <f>C254/C250*100</f>
        <v>1.8936170212765957</v>
      </c>
      <c r="E254" s="134">
        <f t="shared" si="87"/>
        <v>100</v>
      </c>
      <c r="F254" s="134">
        <f t="shared" si="88"/>
        <v>1.8936170212765959</v>
      </c>
      <c r="G254" s="181">
        <f>4450000</f>
        <v>4450000</v>
      </c>
      <c r="H254" s="134">
        <f t="shared" si="89"/>
        <v>100</v>
      </c>
      <c r="I254" s="134">
        <f t="shared" si="90"/>
        <v>1.8936170212765959</v>
      </c>
      <c r="J254" s="6">
        <f t="shared" si="91"/>
        <v>0</v>
      </c>
      <c r="K254" s="10"/>
    </row>
    <row r="255" spans="1:11" ht="25.5" x14ac:dyDescent="0.25">
      <c r="A255" s="49" t="s">
        <v>587</v>
      </c>
      <c r="B255" s="707" t="s">
        <v>532</v>
      </c>
      <c r="C255" s="256">
        <v>3500000</v>
      </c>
      <c r="D255" s="134"/>
      <c r="E255" s="134"/>
      <c r="F255" s="134"/>
      <c r="G255" s="181">
        <f>3500000</f>
        <v>3500000</v>
      </c>
      <c r="H255" s="134"/>
      <c r="I255" s="134"/>
      <c r="J255" s="6">
        <f t="shared" si="91"/>
        <v>0</v>
      </c>
      <c r="K255" s="10"/>
    </row>
    <row r="256" spans="1:11" x14ac:dyDescent="0.25">
      <c r="A256" s="49" t="s">
        <v>579</v>
      </c>
      <c r="B256" s="707" t="s">
        <v>580</v>
      </c>
      <c r="C256" s="256">
        <v>7250000</v>
      </c>
      <c r="D256" s="134"/>
      <c r="E256" s="134"/>
      <c r="F256" s="134"/>
      <c r="G256" s="181">
        <f>7250000</f>
        <v>7250000</v>
      </c>
      <c r="H256" s="134"/>
      <c r="I256" s="134"/>
      <c r="J256" s="6">
        <f>G256-C256</f>
        <v>0</v>
      </c>
      <c r="K256" s="10"/>
    </row>
    <row r="257" spans="1:14" x14ac:dyDescent="0.25">
      <c r="A257" s="49" t="s">
        <v>77</v>
      </c>
      <c r="B257" s="49" t="s">
        <v>135</v>
      </c>
      <c r="C257" s="174">
        <v>76080000</v>
      </c>
      <c r="D257" s="134">
        <f>C257/C250*100</f>
        <v>32.374468085106386</v>
      </c>
      <c r="E257" s="134">
        <f t="shared" si="87"/>
        <v>99.998685594111464</v>
      </c>
      <c r="F257" s="134">
        <f t="shared" si="88"/>
        <v>32.374042553191494</v>
      </c>
      <c r="G257" s="181">
        <f>76079000</f>
        <v>76079000</v>
      </c>
      <c r="H257" s="134">
        <f t="shared" si="89"/>
        <v>99.998685594111464</v>
      </c>
      <c r="I257" s="134">
        <f t="shared" si="90"/>
        <v>32.374042553191494</v>
      </c>
      <c r="J257" s="6">
        <f t="shared" si="91"/>
        <v>-1000</v>
      </c>
      <c r="K257" s="10"/>
    </row>
    <row r="258" spans="1:14" x14ac:dyDescent="0.25">
      <c r="A258" s="49"/>
      <c r="B258" s="170" t="s">
        <v>178</v>
      </c>
      <c r="C258" s="174">
        <v>5875000</v>
      </c>
      <c r="D258" s="134"/>
      <c r="E258" s="134"/>
      <c r="F258" s="134"/>
      <c r="G258" s="181">
        <f>5875000</f>
        <v>5875000</v>
      </c>
      <c r="H258" s="134"/>
      <c r="I258" s="134"/>
      <c r="J258" s="6">
        <f t="shared" si="91"/>
        <v>0</v>
      </c>
      <c r="K258" s="10"/>
    </row>
    <row r="259" spans="1:14" x14ac:dyDescent="0.25">
      <c r="A259" s="49" t="s">
        <v>104</v>
      </c>
      <c r="B259" s="170" t="s">
        <v>179</v>
      </c>
      <c r="C259" s="172">
        <v>33400000</v>
      </c>
      <c r="D259" s="134">
        <f>C259/C250*100</f>
        <v>14.212765957446807</v>
      </c>
      <c r="E259" s="134">
        <f t="shared" si="87"/>
        <v>100</v>
      </c>
      <c r="F259" s="134">
        <f t="shared" si="88"/>
        <v>14.212765957446807</v>
      </c>
      <c r="G259" s="181">
        <f>33400000</f>
        <v>33400000</v>
      </c>
      <c r="H259" s="134">
        <f t="shared" si="89"/>
        <v>100</v>
      </c>
      <c r="I259" s="134">
        <f t="shared" si="90"/>
        <v>14.212765957446807</v>
      </c>
      <c r="J259" s="6">
        <f t="shared" si="91"/>
        <v>0</v>
      </c>
      <c r="K259" s="10"/>
    </row>
    <row r="260" spans="1:14" ht="25.5" x14ac:dyDescent="0.25">
      <c r="A260" s="49" t="s">
        <v>106</v>
      </c>
      <c r="B260" s="316" t="s">
        <v>375</v>
      </c>
      <c r="C260" s="178">
        <v>16500000</v>
      </c>
      <c r="D260" s="134">
        <f>C260/C250*100</f>
        <v>7.0212765957446814</v>
      </c>
      <c r="E260" s="134">
        <f t="shared" si="87"/>
        <v>100</v>
      </c>
      <c r="F260" s="134">
        <f t="shared" si="88"/>
        <v>7.0212765957446814</v>
      </c>
      <c r="G260" s="181">
        <f>16500000</f>
        <v>16500000</v>
      </c>
      <c r="H260" s="134">
        <f t="shared" si="89"/>
        <v>100</v>
      </c>
      <c r="I260" s="134">
        <f t="shared" si="90"/>
        <v>7.0212765957446814</v>
      </c>
      <c r="J260" s="6">
        <f t="shared" si="91"/>
        <v>0</v>
      </c>
      <c r="K260" s="10"/>
    </row>
    <row r="261" spans="1:14" x14ac:dyDescent="0.25">
      <c r="A261" s="49" t="s">
        <v>588</v>
      </c>
      <c r="B261" s="316" t="s">
        <v>533</v>
      </c>
      <c r="C261" s="178">
        <v>2500000</v>
      </c>
      <c r="D261" s="134"/>
      <c r="E261" s="134"/>
      <c r="F261" s="134"/>
      <c r="G261" s="181">
        <f>2500000</f>
        <v>2500000</v>
      </c>
      <c r="H261" s="134"/>
      <c r="I261" s="134"/>
      <c r="J261" s="6">
        <f t="shared" si="91"/>
        <v>0</v>
      </c>
      <c r="K261" s="10"/>
    </row>
    <row r="262" spans="1:14" ht="25.5" x14ac:dyDescent="0.25">
      <c r="A262" s="49" t="s">
        <v>116</v>
      </c>
      <c r="B262" s="133" t="s">
        <v>371</v>
      </c>
      <c r="C262" s="178">
        <v>4824300</v>
      </c>
      <c r="D262" s="134">
        <f>C262/C250*100</f>
        <v>2.0528936170212764</v>
      </c>
      <c r="E262" s="134">
        <f t="shared" si="87"/>
        <v>100</v>
      </c>
      <c r="F262" s="134">
        <f t="shared" si="88"/>
        <v>2.0528936170212764</v>
      </c>
      <c r="G262" s="181">
        <f>2999800+1824500</f>
        <v>4824300</v>
      </c>
      <c r="H262" s="134">
        <f t="shared" si="89"/>
        <v>100</v>
      </c>
      <c r="I262" s="134">
        <f t="shared" si="90"/>
        <v>2.0528936170212764</v>
      </c>
      <c r="J262" s="6">
        <f t="shared" si="91"/>
        <v>0</v>
      </c>
      <c r="K262" s="10"/>
    </row>
    <row r="263" spans="1:14" x14ac:dyDescent="0.25">
      <c r="A263" s="749" t="s">
        <v>121</v>
      </c>
      <c r="B263" s="315" t="s">
        <v>191</v>
      </c>
      <c r="C263" s="178">
        <v>19400000</v>
      </c>
      <c r="D263" s="134"/>
      <c r="E263" s="134"/>
      <c r="F263" s="134"/>
      <c r="G263" s="181">
        <f>19400000</f>
        <v>19400000</v>
      </c>
      <c r="H263" s="134"/>
      <c r="I263" s="134"/>
      <c r="J263" s="6">
        <f t="shared" si="91"/>
        <v>0</v>
      </c>
      <c r="K263" s="10"/>
    </row>
    <row r="264" spans="1:14" x14ac:dyDescent="0.25">
      <c r="A264" s="749" t="s">
        <v>589</v>
      </c>
      <c r="B264" s="315" t="s">
        <v>207</v>
      </c>
      <c r="C264" s="178">
        <v>6000000</v>
      </c>
      <c r="D264" s="134"/>
      <c r="E264" s="134"/>
      <c r="F264" s="134"/>
      <c r="G264" s="181">
        <f>6000000</f>
        <v>6000000</v>
      </c>
      <c r="H264" s="134"/>
      <c r="I264" s="134"/>
      <c r="J264" s="6"/>
      <c r="K264" s="10"/>
    </row>
    <row r="265" spans="1:14" x14ac:dyDescent="0.25">
      <c r="A265" s="749" t="s">
        <v>590</v>
      </c>
      <c r="B265" s="133" t="s">
        <v>424</v>
      </c>
      <c r="C265" s="178">
        <v>4125000</v>
      </c>
      <c r="D265" s="134"/>
      <c r="E265" s="134"/>
      <c r="F265" s="134"/>
      <c r="G265" s="181">
        <v>4125000</v>
      </c>
      <c r="H265" s="134"/>
      <c r="I265" s="134"/>
      <c r="J265" s="6">
        <f t="shared" si="91"/>
        <v>0</v>
      </c>
      <c r="K265" s="10"/>
    </row>
    <row r="266" spans="1:14" x14ac:dyDescent="0.25">
      <c r="A266" s="49" t="s">
        <v>584</v>
      </c>
      <c r="B266" s="133" t="s">
        <v>583</v>
      </c>
      <c r="C266" s="178">
        <v>32200000</v>
      </c>
      <c r="D266" s="134"/>
      <c r="E266" s="134"/>
      <c r="F266" s="134"/>
      <c r="G266" s="181">
        <f>32200000</f>
        <v>32200000</v>
      </c>
      <c r="H266" s="134"/>
      <c r="I266" s="134"/>
      <c r="J266" s="6"/>
      <c r="K266" s="10"/>
    </row>
    <row r="267" spans="1:14" x14ac:dyDescent="0.25">
      <c r="A267" s="70"/>
      <c r="B267" s="938" t="s">
        <v>136</v>
      </c>
      <c r="C267" s="43">
        <f>SUM(C251:C266)</f>
        <v>235000000</v>
      </c>
      <c r="D267" s="12">
        <f>SUM(D251:D262)</f>
        <v>65.378723404255325</v>
      </c>
      <c r="E267" s="134"/>
      <c r="F267" s="134"/>
      <c r="G267" s="837">
        <f>SUM(G251:G266)</f>
        <v>234999000</v>
      </c>
      <c r="H267" s="134"/>
      <c r="I267" s="134"/>
      <c r="J267" s="734">
        <v>1000</v>
      </c>
      <c r="K267" s="3"/>
    </row>
    <row r="268" spans="1:14" x14ac:dyDescent="0.25">
      <c r="A268" s="53"/>
      <c r="B268" s="5"/>
      <c r="C268" s="189"/>
      <c r="D268" s="29"/>
      <c r="E268" s="30"/>
      <c r="F268" s="23"/>
      <c r="G268" s="11"/>
      <c r="H268" s="32"/>
      <c r="I268" s="23"/>
      <c r="J268" s="15"/>
      <c r="K268" s="37"/>
    </row>
    <row r="269" spans="1:14" ht="31.5" x14ac:dyDescent="0.25">
      <c r="A269" s="55"/>
      <c r="B269" s="46" t="s">
        <v>145</v>
      </c>
      <c r="C269" s="155"/>
      <c r="D269" s="44"/>
      <c r="E269" s="45"/>
      <c r="F269" s="45"/>
      <c r="G269" s="48"/>
      <c r="H269" s="45"/>
      <c r="I269" s="45"/>
      <c r="J269" s="44"/>
      <c r="K269" s="44"/>
      <c r="L269" s="1"/>
      <c r="M269" s="1"/>
      <c r="N269" s="1"/>
    </row>
    <row r="270" spans="1:14" x14ac:dyDescent="0.25">
      <c r="A270" s="1087" t="s">
        <v>2</v>
      </c>
      <c r="B270" s="1089" t="s">
        <v>169</v>
      </c>
      <c r="C270" s="1087" t="s">
        <v>4</v>
      </c>
      <c r="D270" s="1090" t="s">
        <v>5</v>
      </c>
      <c r="E270" s="1090"/>
      <c r="F270" s="1090"/>
      <c r="G270" s="1091" t="s">
        <v>6</v>
      </c>
      <c r="H270" s="1091"/>
      <c r="I270" s="1091"/>
      <c r="J270" s="1087" t="s">
        <v>7</v>
      </c>
      <c r="K270" s="108" t="s">
        <v>8</v>
      </c>
    </row>
    <row r="271" spans="1:14" x14ac:dyDescent="0.25">
      <c r="A271" s="1087"/>
      <c r="B271" s="1089"/>
      <c r="C271" s="1087"/>
      <c r="D271" s="108" t="s">
        <v>9</v>
      </c>
      <c r="E271" s="300" t="s">
        <v>10</v>
      </c>
      <c r="F271" s="300" t="s">
        <v>11</v>
      </c>
      <c r="G271" s="301" t="s">
        <v>12</v>
      </c>
      <c r="H271" s="300" t="s">
        <v>13</v>
      </c>
      <c r="I271" s="300" t="s">
        <v>11</v>
      </c>
      <c r="J271" s="1088"/>
      <c r="K271" s="109"/>
    </row>
    <row r="272" spans="1:14" x14ac:dyDescent="0.25">
      <c r="A272" s="1087"/>
      <c r="B272" s="1089"/>
      <c r="C272" s="1087"/>
      <c r="D272" s="112" t="s">
        <v>14</v>
      </c>
      <c r="E272" s="113" t="s">
        <v>14</v>
      </c>
      <c r="F272" s="113" t="s">
        <v>14</v>
      </c>
      <c r="G272" s="114" t="s">
        <v>15</v>
      </c>
      <c r="H272" s="113" t="s">
        <v>14</v>
      </c>
      <c r="I272" s="113" t="s">
        <v>14</v>
      </c>
      <c r="J272" s="112" t="s">
        <v>15</v>
      </c>
      <c r="K272" s="112"/>
    </row>
    <row r="273" spans="1:11" x14ac:dyDescent="0.25">
      <c r="A273" s="79" t="s">
        <v>185</v>
      </c>
      <c r="B273" s="199" t="s">
        <v>146</v>
      </c>
      <c r="C273" s="24"/>
      <c r="D273" s="10"/>
      <c r="E273" s="34"/>
      <c r="F273" s="34"/>
      <c r="G273" s="6"/>
      <c r="H273" s="34"/>
      <c r="I273" s="34"/>
      <c r="J273" s="10"/>
      <c r="K273" s="10"/>
    </row>
    <row r="274" spans="1:11" x14ac:dyDescent="0.25">
      <c r="A274" s="125" t="s">
        <v>184</v>
      </c>
      <c r="B274" s="280" t="s">
        <v>147</v>
      </c>
      <c r="C274" s="252">
        <f>SUM(C275:C276)</f>
        <v>2930640000</v>
      </c>
      <c r="D274" s="10"/>
      <c r="E274" s="34"/>
      <c r="F274" s="34"/>
      <c r="G274" s="6"/>
      <c r="H274" s="34"/>
      <c r="I274" s="34"/>
      <c r="J274" s="10"/>
      <c r="K274" s="10"/>
    </row>
    <row r="275" spans="1:11" ht="25.5" x14ac:dyDescent="0.25">
      <c r="A275" s="313" t="s">
        <v>44</v>
      </c>
      <c r="B275" s="707" t="s">
        <v>384</v>
      </c>
      <c r="C275" s="253">
        <v>35640000</v>
      </c>
      <c r="D275" s="134">
        <f>C275/C274*100</f>
        <v>1.2161166161657522</v>
      </c>
      <c r="E275" s="134">
        <f t="shared" ref="E275:E276" si="92">G275/C275*100</f>
        <v>100</v>
      </c>
      <c r="F275" s="134">
        <f t="shared" ref="F275:F276" si="93">(D275*E275)/100</f>
        <v>1.2161166161657522</v>
      </c>
      <c r="G275" s="181">
        <f>35640000</f>
        <v>35640000</v>
      </c>
      <c r="H275" s="134">
        <f t="shared" ref="H275:H276" si="94">G275/C275*100</f>
        <v>100</v>
      </c>
      <c r="I275" s="134">
        <f t="shared" ref="I275:I276" si="95">(D275*H275)/100</f>
        <v>1.2161166161657522</v>
      </c>
      <c r="J275" s="6">
        <f t="shared" ref="J275:J276" si="96">G275-C275</f>
        <v>0</v>
      </c>
      <c r="K275" s="10"/>
    </row>
    <row r="276" spans="1:11" x14ac:dyDescent="0.25">
      <c r="A276" s="49" t="s">
        <v>148</v>
      </c>
      <c r="B276" s="133" t="s">
        <v>534</v>
      </c>
      <c r="C276" s="256">
        <v>2895000000</v>
      </c>
      <c r="D276" s="268">
        <f>C276/C274*100</f>
        <v>98.783883383834251</v>
      </c>
      <c r="E276" s="134">
        <f t="shared" si="92"/>
        <v>100</v>
      </c>
      <c r="F276" s="134">
        <f t="shared" si="93"/>
        <v>98.783883383834251</v>
      </c>
      <c r="G276" s="181">
        <f>2895000000</f>
        <v>2895000000</v>
      </c>
      <c r="H276" s="134">
        <f t="shared" si="94"/>
        <v>100</v>
      </c>
      <c r="I276" s="134">
        <f t="shared" si="95"/>
        <v>98.783883383834251</v>
      </c>
      <c r="J276" s="6">
        <f t="shared" si="96"/>
        <v>0</v>
      </c>
      <c r="K276" s="3"/>
    </row>
    <row r="277" spans="1:11" x14ac:dyDescent="0.25">
      <c r="A277" s="71"/>
      <c r="B277" s="76" t="s">
        <v>95</v>
      </c>
      <c r="C277" s="808">
        <f>SUM(C275:C276)</f>
        <v>2930640000</v>
      </c>
      <c r="D277" s="274">
        <f>SUM(D275:D276)</f>
        <v>100</v>
      </c>
      <c r="E277" s="134"/>
      <c r="F277" s="134"/>
      <c r="G277" s="181">
        <f>SUM(G275:G276)</f>
        <v>2930640000</v>
      </c>
      <c r="H277" s="134"/>
      <c r="I277" s="134"/>
      <c r="J277" s="734"/>
      <c r="K277" s="40"/>
    </row>
    <row r="278" spans="1:11" x14ac:dyDescent="0.25">
      <c r="A278" s="53"/>
      <c r="B278" s="5"/>
      <c r="C278" s="189"/>
      <c r="D278" s="29"/>
      <c r="E278" s="30"/>
      <c r="F278" s="23"/>
      <c r="G278" s="11"/>
      <c r="H278" s="32"/>
      <c r="I278" s="23"/>
      <c r="J278" s="15"/>
      <c r="K278" s="37"/>
    </row>
    <row r="279" spans="1:11" x14ac:dyDescent="0.25">
      <c r="A279" s="1087" t="s">
        <v>2</v>
      </c>
      <c r="B279" s="1089" t="s">
        <v>169</v>
      </c>
      <c r="C279" s="1087" t="s">
        <v>4</v>
      </c>
      <c r="D279" s="1090" t="s">
        <v>5</v>
      </c>
      <c r="E279" s="1090"/>
      <c r="F279" s="1090"/>
      <c r="G279" s="1091" t="s">
        <v>6</v>
      </c>
      <c r="H279" s="1091"/>
      <c r="I279" s="1091"/>
      <c r="J279" s="1087" t="s">
        <v>7</v>
      </c>
      <c r="K279" s="108" t="s">
        <v>8</v>
      </c>
    </row>
    <row r="280" spans="1:11" x14ac:dyDescent="0.25">
      <c r="A280" s="1087"/>
      <c r="B280" s="1089"/>
      <c r="C280" s="1087"/>
      <c r="D280" s="108" t="s">
        <v>9</v>
      </c>
      <c r="E280" s="300" t="s">
        <v>10</v>
      </c>
      <c r="F280" s="300" t="s">
        <v>11</v>
      </c>
      <c r="G280" s="301" t="s">
        <v>12</v>
      </c>
      <c r="H280" s="300" t="s">
        <v>13</v>
      </c>
      <c r="I280" s="300" t="s">
        <v>11</v>
      </c>
      <c r="J280" s="1088"/>
      <c r="K280" s="109"/>
    </row>
    <row r="281" spans="1:11" x14ac:dyDescent="0.25">
      <c r="A281" s="1087"/>
      <c r="B281" s="1089"/>
      <c r="C281" s="1087"/>
      <c r="D281" s="112" t="s">
        <v>14</v>
      </c>
      <c r="E281" s="113" t="s">
        <v>14</v>
      </c>
      <c r="F281" s="113" t="s">
        <v>14</v>
      </c>
      <c r="G281" s="114" t="s">
        <v>15</v>
      </c>
      <c r="H281" s="113" t="s">
        <v>14</v>
      </c>
      <c r="I281" s="113" t="s">
        <v>14</v>
      </c>
      <c r="J281" s="112" t="s">
        <v>15</v>
      </c>
      <c r="K281" s="112"/>
    </row>
    <row r="282" spans="1:11" x14ac:dyDescent="0.25">
      <c r="A282" s="79" t="s">
        <v>185</v>
      </c>
      <c r="B282" s="199" t="s">
        <v>146</v>
      </c>
      <c r="C282" s="24"/>
      <c r="D282" s="10"/>
      <c r="E282" s="34"/>
      <c r="F282" s="34"/>
      <c r="G282" s="6"/>
      <c r="H282" s="34"/>
      <c r="I282" s="34"/>
      <c r="J282" s="10"/>
      <c r="K282" s="10"/>
    </row>
    <row r="283" spans="1:11" x14ac:dyDescent="0.25">
      <c r="A283" s="125" t="s">
        <v>187</v>
      </c>
      <c r="B283" s="280" t="s">
        <v>150</v>
      </c>
      <c r="C283" s="252">
        <f>SUM(C284:C288)</f>
        <v>1769445176</v>
      </c>
      <c r="D283" s="10"/>
      <c r="E283" s="34"/>
      <c r="F283" s="34"/>
      <c r="G283" s="6"/>
      <c r="H283" s="34"/>
      <c r="I283" s="34"/>
      <c r="J283" s="10"/>
      <c r="K283" s="10"/>
    </row>
    <row r="284" spans="1:11" ht="25.5" x14ac:dyDescent="0.25">
      <c r="A284" s="313" t="s">
        <v>44</v>
      </c>
      <c r="B284" s="707" t="s">
        <v>384</v>
      </c>
      <c r="C284" s="253">
        <v>30210000</v>
      </c>
      <c r="D284" s="134">
        <f>C284/C283*100</f>
        <v>1.707314835732441</v>
      </c>
      <c r="E284" s="134">
        <f t="shared" ref="E284:E287" si="97">G284/C284*100</f>
        <v>100</v>
      </c>
      <c r="F284" s="134">
        <f t="shared" ref="F284:F287" si="98">(D284*E284)/100</f>
        <v>1.707314835732441</v>
      </c>
      <c r="G284" s="181">
        <f>30210000</f>
        <v>30210000</v>
      </c>
      <c r="H284" s="134">
        <f t="shared" ref="H284:H287" si="99">G284/C284*100</f>
        <v>100</v>
      </c>
      <c r="I284" s="134">
        <f t="shared" ref="I284:I287" si="100">(D284*H284)/100</f>
        <v>1.707314835732441</v>
      </c>
      <c r="J284" s="6">
        <f t="shared" ref="J284:J288" si="101">G284-C284</f>
        <v>0</v>
      </c>
      <c r="K284" s="10"/>
    </row>
    <row r="285" spans="1:11" x14ac:dyDescent="0.25">
      <c r="A285" s="313" t="s">
        <v>59</v>
      </c>
      <c r="B285" s="707" t="s">
        <v>197</v>
      </c>
      <c r="C285" s="253">
        <v>690000</v>
      </c>
      <c r="D285" s="134">
        <f>C285/C283*100</f>
        <v>3.8995274301734002E-2</v>
      </c>
      <c r="E285" s="134">
        <f t="shared" si="97"/>
        <v>100</v>
      </c>
      <c r="F285" s="134">
        <f t="shared" si="98"/>
        <v>3.8995274301734002E-2</v>
      </c>
      <c r="G285" s="181">
        <f>690000</f>
        <v>690000</v>
      </c>
      <c r="H285" s="134">
        <f t="shared" si="99"/>
        <v>100</v>
      </c>
      <c r="I285" s="134">
        <f t="shared" si="100"/>
        <v>3.8995274301734002E-2</v>
      </c>
      <c r="J285" s="6">
        <f t="shared" si="101"/>
        <v>0</v>
      </c>
      <c r="K285" s="10"/>
    </row>
    <row r="286" spans="1:11" x14ac:dyDescent="0.25">
      <c r="A286" s="312" t="s">
        <v>157</v>
      </c>
      <c r="B286" s="133" t="s">
        <v>534</v>
      </c>
      <c r="C286" s="256">
        <v>1237700000</v>
      </c>
      <c r="D286" s="134">
        <f>C286/C283*100</f>
        <v>69.948479714864021</v>
      </c>
      <c r="E286" s="134">
        <f t="shared" si="97"/>
        <v>99.971754059949902</v>
      </c>
      <c r="F286" s="134">
        <f t="shared" si="98"/>
        <v>69.928722109217802</v>
      </c>
      <c r="G286" s="181">
        <f>844836500+392513900</f>
        <v>1237350400</v>
      </c>
      <c r="H286" s="134">
        <f t="shared" si="99"/>
        <v>99.971754059949902</v>
      </c>
      <c r="I286" s="134">
        <f t="shared" si="100"/>
        <v>69.928722109217802</v>
      </c>
      <c r="J286" s="6">
        <f t="shared" si="101"/>
        <v>-349600</v>
      </c>
      <c r="K286" s="10"/>
    </row>
    <row r="287" spans="1:11" s="84" customFormat="1" ht="25.5" x14ac:dyDescent="0.2">
      <c r="A287" s="312" t="s">
        <v>152</v>
      </c>
      <c r="B287" s="133" t="s">
        <v>159</v>
      </c>
      <c r="C287" s="256">
        <v>492000000</v>
      </c>
      <c r="D287" s="134">
        <f>C287/C283*100</f>
        <v>27.805326023845119</v>
      </c>
      <c r="E287" s="134">
        <f t="shared" si="97"/>
        <v>100</v>
      </c>
      <c r="F287" s="134">
        <f t="shared" si="98"/>
        <v>27.805326023845119</v>
      </c>
      <c r="G287" s="181">
        <f>492000000</f>
        <v>492000000</v>
      </c>
      <c r="H287" s="134">
        <f t="shared" si="99"/>
        <v>100</v>
      </c>
      <c r="I287" s="134">
        <f t="shared" si="100"/>
        <v>27.805326023845119</v>
      </c>
      <c r="J287" s="6">
        <f t="shared" si="101"/>
        <v>0</v>
      </c>
      <c r="K287" s="38"/>
    </row>
    <row r="288" spans="1:11" s="84" customFormat="1" x14ac:dyDescent="0.2">
      <c r="A288" s="749" t="s">
        <v>234</v>
      </c>
      <c r="B288" s="133" t="s">
        <v>522</v>
      </c>
      <c r="C288" s="256">
        <v>8845176</v>
      </c>
      <c r="D288" s="804"/>
      <c r="E288" s="134"/>
      <c r="F288" s="134"/>
      <c r="G288" s="181">
        <f>8197968</f>
        <v>8197968</v>
      </c>
      <c r="H288" s="134"/>
      <c r="I288" s="134"/>
      <c r="J288" s="6">
        <f t="shared" si="101"/>
        <v>-647208</v>
      </c>
      <c r="K288" s="805"/>
    </row>
    <row r="289" spans="1:11" x14ac:dyDescent="0.25">
      <c r="A289" s="70"/>
      <c r="B289" s="129" t="s">
        <v>95</v>
      </c>
      <c r="C289" s="807">
        <f>SUM(C284:C288)</f>
        <v>1769445176</v>
      </c>
      <c r="D289" s="271">
        <f>SUM(D284:D287)</f>
        <v>99.50011584874332</v>
      </c>
      <c r="E289" s="134"/>
      <c r="F289" s="134"/>
      <c r="G289" s="181">
        <f>SUM(G284:G288)</f>
        <v>1768448368</v>
      </c>
      <c r="H289" s="134"/>
      <c r="I289" s="134"/>
      <c r="J289" s="56">
        <v>996808</v>
      </c>
      <c r="K289" s="130"/>
    </row>
    <row r="290" spans="1:11" x14ac:dyDescent="0.25">
      <c r="A290" s="53"/>
      <c r="B290" s="5"/>
      <c r="C290" s="189"/>
      <c r="D290" s="29"/>
      <c r="E290" s="30"/>
      <c r="F290" s="23"/>
      <c r="G290" s="11"/>
      <c r="H290" s="32"/>
      <c r="I290" s="23"/>
      <c r="J290" s="15"/>
      <c r="K290" s="37"/>
    </row>
    <row r="291" spans="1:11" x14ac:dyDescent="0.25">
      <c r="A291" s="50"/>
      <c r="B291" s="5"/>
      <c r="C291" s="50"/>
      <c r="D291" s="9"/>
      <c r="E291" s="23"/>
      <c r="F291" s="23"/>
      <c r="G291" s="11"/>
      <c r="H291" s="23"/>
      <c r="I291" s="23"/>
      <c r="J291" s="9"/>
      <c r="K291" s="9"/>
    </row>
    <row r="292" spans="1:11" x14ac:dyDescent="0.25">
      <c r="A292" s="50"/>
      <c r="B292" s="5"/>
      <c r="C292" s="50"/>
      <c r="D292" s="9"/>
      <c r="E292" s="23"/>
      <c r="F292" s="23"/>
      <c r="G292" s="11"/>
      <c r="H292" s="23"/>
      <c r="I292" s="23"/>
      <c r="J292" s="9"/>
      <c r="K292" s="9"/>
    </row>
    <row r="293" spans="1:11" x14ac:dyDescent="0.25">
      <c r="A293" s="1103" t="s">
        <v>2</v>
      </c>
      <c r="B293" s="1116" t="s">
        <v>137</v>
      </c>
      <c r="C293" s="1103" t="s">
        <v>4</v>
      </c>
      <c r="D293" s="1105" t="s">
        <v>5</v>
      </c>
      <c r="E293" s="1106"/>
      <c r="F293" s="1106"/>
      <c r="G293" s="1107" t="s">
        <v>6</v>
      </c>
      <c r="H293" s="1106"/>
      <c r="I293" s="1106"/>
      <c r="J293" s="1108" t="s">
        <v>7</v>
      </c>
      <c r="K293" s="1108" t="s">
        <v>8</v>
      </c>
    </row>
    <row r="294" spans="1:11" x14ac:dyDescent="0.25">
      <c r="A294" s="1103"/>
      <c r="B294" s="1117"/>
      <c r="C294" s="1103"/>
      <c r="D294" s="102" t="s">
        <v>9</v>
      </c>
      <c r="E294" s="103" t="s">
        <v>10</v>
      </c>
      <c r="F294" s="103" t="s">
        <v>11</v>
      </c>
      <c r="G294" s="104" t="s">
        <v>12</v>
      </c>
      <c r="H294" s="103" t="s">
        <v>13</v>
      </c>
      <c r="I294" s="103" t="s">
        <v>11</v>
      </c>
      <c r="J294" s="1109"/>
      <c r="K294" s="1109"/>
    </row>
    <row r="295" spans="1:11" x14ac:dyDescent="0.25">
      <c r="A295" s="1103"/>
      <c r="B295" s="1118"/>
      <c r="C295" s="1103"/>
      <c r="D295" s="105" t="s">
        <v>14</v>
      </c>
      <c r="E295" s="106" t="s">
        <v>14</v>
      </c>
      <c r="F295" s="106" t="s">
        <v>14</v>
      </c>
      <c r="G295" s="107" t="s">
        <v>15</v>
      </c>
      <c r="H295" s="106" t="s">
        <v>14</v>
      </c>
      <c r="I295" s="106" t="s">
        <v>14</v>
      </c>
      <c r="J295" s="105" t="s">
        <v>15</v>
      </c>
      <c r="K295" s="1110"/>
    </row>
    <row r="296" spans="1:11" ht="25.5" x14ac:dyDescent="0.25">
      <c r="A296" s="79" t="s">
        <v>180</v>
      </c>
      <c r="B296" s="696" t="s">
        <v>379</v>
      </c>
      <c r="C296" s="64"/>
      <c r="D296" s="10"/>
      <c r="E296" s="34"/>
      <c r="F296" s="34"/>
      <c r="G296" s="6"/>
      <c r="H296" s="34"/>
      <c r="I296" s="34"/>
      <c r="J296" s="10"/>
      <c r="K296" s="10"/>
    </row>
    <row r="297" spans="1:11" ht="25.5" x14ac:dyDescent="0.25">
      <c r="A297" s="140" t="s">
        <v>181</v>
      </c>
      <c r="B297" s="697" t="s">
        <v>380</v>
      </c>
      <c r="C297" s="86">
        <f>SUM(C298:C315)</f>
        <v>235000000</v>
      </c>
      <c r="D297" s="179"/>
      <c r="E297" s="168"/>
      <c r="F297" s="168"/>
      <c r="G297" s="169"/>
      <c r="H297" s="168"/>
      <c r="I297" s="168"/>
      <c r="J297" s="167"/>
      <c r="K297" s="167"/>
    </row>
    <row r="298" spans="1:11" ht="25.5" x14ac:dyDescent="0.25">
      <c r="A298" s="170" t="s">
        <v>44</v>
      </c>
      <c r="B298" s="707" t="s">
        <v>384</v>
      </c>
      <c r="C298" s="58">
        <v>9200000</v>
      </c>
      <c r="D298" s="180">
        <f>C298/C297*100</f>
        <v>3.9148936170212765</v>
      </c>
      <c r="E298" s="134">
        <f t="shared" ref="E298:E312" si="102">G298/C298*100</f>
        <v>100</v>
      </c>
      <c r="F298" s="134">
        <f t="shared" ref="F298:F312" si="103">(D298*E298)/100</f>
        <v>3.9148936170212765</v>
      </c>
      <c r="G298" s="181">
        <f>9200000</f>
        <v>9200000</v>
      </c>
      <c r="H298" s="134">
        <f t="shared" ref="H298:H312" si="104">G298/C298*100</f>
        <v>100</v>
      </c>
      <c r="I298" s="134">
        <f t="shared" ref="I298:I312" si="105">(D298*H298)/100</f>
        <v>3.9148936170212765</v>
      </c>
      <c r="J298" s="6">
        <f t="shared" ref="J298:J315" si="106">G298-C298</f>
        <v>0</v>
      </c>
      <c r="K298" s="167"/>
    </row>
    <row r="299" spans="1:11" x14ac:dyDescent="0.25">
      <c r="A299" s="170" t="s">
        <v>448</v>
      </c>
      <c r="B299" s="707" t="s">
        <v>578</v>
      </c>
      <c r="C299" s="58">
        <v>510000</v>
      </c>
      <c r="D299" s="180"/>
      <c r="E299" s="134"/>
      <c r="F299" s="134"/>
      <c r="G299" s="181">
        <f>510000</f>
        <v>510000</v>
      </c>
      <c r="H299" s="134"/>
      <c r="I299" s="134"/>
      <c r="J299" s="6">
        <f>G299-C299</f>
        <v>0</v>
      </c>
      <c r="K299" s="167"/>
    </row>
    <row r="300" spans="1:11" x14ac:dyDescent="0.25">
      <c r="A300" s="170" t="s">
        <v>221</v>
      </c>
      <c r="B300" s="707" t="s">
        <v>530</v>
      </c>
      <c r="C300" s="58">
        <v>1350000</v>
      </c>
      <c r="D300" s="180"/>
      <c r="E300" s="134"/>
      <c r="F300" s="134"/>
      <c r="G300" s="181">
        <f>1350000</f>
        <v>1350000</v>
      </c>
      <c r="H300" s="134"/>
      <c r="I300" s="134"/>
      <c r="J300" s="6">
        <f t="shared" si="106"/>
        <v>0</v>
      </c>
      <c r="K300" s="167"/>
    </row>
    <row r="301" spans="1:11" x14ac:dyDescent="0.25">
      <c r="A301" s="170" t="s">
        <v>59</v>
      </c>
      <c r="B301" s="707" t="s">
        <v>197</v>
      </c>
      <c r="C301" s="58">
        <v>14758000</v>
      </c>
      <c r="D301" s="729">
        <f>C301/C297*100</f>
        <v>6.2799999999999994</v>
      </c>
      <c r="E301" s="134">
        <f t="shared" si="102"/>
        <v>100</v>
      </c>
      <c r="F301" s="134">
        <f t="shared" si="103"/>
        <v>6.2799999999999985</v>
      </c>
      <c r="G301" s="181">
        <f>14758000</f>
        <v>14758000</v>
      </c>
      <c r="H301" s="134">
        <f t="shared" si="104"/>
        <v>100</v>
      </c>
      <c r="I301" s="134">
        <f t="shared" si="105"/>
        <v>6.2799999999999985</v>
      </c>
      <c r="J301" s="6">
        <f t="shared" si="106"/>
        <v>0</v>
      </c>
      <c r="K301" s="167"/>
    </row>
    <row r="302" spans="1:11" x14ac:dyDescent="0.25">
      <c r="A302" s="170" t="s">
        <v>62</v>
      </c>
      <c r="B302" s="707" t="s">
        <v>334</v>
      </c>
      <c r="C302" s="58">
        <v>8500000</v>
      </c>
      <c r="D302" s="729">
        <f>C302/C297*100</f>
        <v>3.6170212765957444</v>
      </c>
      <c r="E302" s="134">
        <f t="shared" si="102"/>
        <v>100</v>
      </c>
      <c r="F302" s="134">
        <f t="shared" si="103"/>
        <v>3.6170212765957444</v>
      </c>
      <c r="G302" s="181">
        <f>8500000</f>
        <v>8500000</v>
      </c>
      <c r="H302" s="134">
        <f t="shared" si="104"/>
        <v>100</v>
      </c>
      <c r="I302" s="134">
        <f t="shared" si="105"/>
        <v>3.6170212765957444</v>
      </c>
      <c r="J302" s="6">
        <f t="shared" si="106"/>
        <v>0</v>
      </c>
      <c r="K302" s="167"/>
    </row>
    <row r="303" spans="1:11" x14ac:dyDescent="0.25">
      <c r="A303" s="49" t="s">
        <v>148</v>
      </c>
      <c r="B303" s="133" t="s">
        <v>534</v>
      </c>
      <c r="C303" s="58">
        <v>10500000</v>
      </c>
      <c r="D303" s="729"/>
      <c r="E303" s="134"/>
      <c r="F303" s="134"/>
      <c r="G303" s="181">
        <f>10500000</f>
        <v>10500000</v>
      </c>
      <c r="H303" s="134"/>
      <c r="I303" s="134"/>
      <c r="J303" s="6">
        <f t="shared" si="106"/>
        <v>0</v>
      </c>
      <c r="K303" s="167"/>
    </row>
    <row r="304" spans="1:11" x14ac:dyDescent="0.25">
      <c r="A304" s="49" t="s">
        <v>579</v>
      </c>
      <c r="B304" s="133" t="s">
        <v>580</v>
      </c>
      <c r="C304" s="58">
        <v>11110000</v>
      </c>
      <c r="D304" s="729"/>
      <c r="E304" s="134"/>
      <c r="F304" s="134"/>
      <c r="G304" s="181">
        <f>11110000</f>
        <v>11110000</v>
      </c>
      <c r="H304" s="134"/>
      <c r="I304" s="134"/>
      <c r="J304" s="6">
        <f>G304-C304</f>
        <v>0</v>
      </c>
      <c r="K304" s="167"/>
    </row>
    <row r="305" spans="1:14" x14ac:dyDescent="0.25">
      <c r="A305" s="170" t="s">
        <v>77</v>
      </c>
      <c r="B305" s="49" t="s">
        <v>135</v>
      </c>
      <c r="C305" s="58">
        <v>81132000</v>
      </c>
      <c r="D305" s="729">
        <f>C305/C297*100</f>
        <v>34.524255319148942</v>
      </c>
      <c r="E305" s="134">
        <f t="shared" si="102"/>
        <v>100</v>
      </c>
      <c r="F305" s="134">
        <f t="shared" si="103"/>
        <v>34.524255319148942</v>
      </c>
      <c r="G305" s="181">
        <f>81132000</f>
        <v>81132000</v>
      </c>
      <c r="H305" s="134">
        <f t="shared" si="104"/>
        <v>100</v>
      </c>
      <c r="I305" s="134">
        <f t="shared" si="105"/>
        <v>34.524255319148942</v>
      </c>
      <c r="J305" s="6">
        <f t="shared" si="106"/>
        <v>0</v>
      </c>
      <c r="K305" s="167"/>
    </row>
    <row r="306" spans="1:14" x14ac:dyDescent="0.25">
      <c r="A306" s="170" t="s">
        <v>592</v>
      </c>
      <c r="B306" s="49" t="s">
        <v>591</v>
      </c>
      <c r="C306" s="58">
        <v>3000000</v>
      </c>
      <c r="D306" s="729"/>
      <c r="E306" s="134"/>
      <c r="F306" s="134"/>
      <c r="G306" s="181">
        <f>3000000</f>
        <v>3000000</v>
      </c>
      <c r="H306" s="134"/>
      <c r="I306" s="134"/>
      <c r="J306" s="6"/>
      <c r="K306" s="167"/>
    </row>
    <row r="307" spans="1:14" x14ac:dyDescent="0.25">
      <c r="A307" s="170" t="s">
        <v>104</v>
      </c>
      <c r="B307" s="170" t="s">
        <v>179</v>
      </c>
      <c r="C307" s="58">
        <v>34200000</v>
      </c>
      <c r="D307" s="729">
        <f>C307/C297*100</f>
        <v>14.553191489361703</v>
      </c>
      <c r="E307" s="134">
        <f t="shared" si="102"/>
        <v>100</v>
      </c>
      <c r="F307" s="134">
        <f t="shared" si="103"/>
        <v>14.553191489361701</v>
      </c>
      <c r="G307" s="181">
        <f>34200000</f>
        <v>34200000</v>
      </c>
      <c r="H307" s="134">
        <f t="shared" si="104"/>
        <v>100</v>
      </c>
      <c r="I307" s="134">
        <f t="shared" si="105"/>
        <v>14.553191489361701</v>
      </c>
      <c r="J307" s="6">
        <f t="shared" si="106"/>
        <v>0</v>
      </c>
      <c r="K307" s="167"/>
    </row>
    <row r="308" spans="1:14" x14ac:dyDescent="0.25">
      <c r="A308" s="170" t="s">
        <v>130</v>
      </c>
      <c r="B308" s="170" t="s">
        <v>131</v>
      </c>
      <c r="C308" s="58">
        <v>7050000</v>
      </c>
      <c r="D308" s="729">
        <f>C308/C297*100</f>
        <v>3</v>
      </c>
      <c r="E308" s="134">
        <f t="shared" si="102"/>
        <v>100</v>
      </c>
      <c r="F308" s="134">
        <f t="shared" si="103"/>
        <v>3</v>
      </c>
      <c r="G308" s="181">
        <f>7050000</f>
        <v>7050000</v>
      </c>
      <c r="H308" s="134">
        <f t="shared" si="104"/>
        <v>100</v>
      </c>
      <c r="I308" s="134">
        <f t="shared" si="105"/>
        <v>3</v>
      </c>
      <c r="J308" s="6">
        <f t="shared" si="106"/>
        <v>0</v>
      </c>
      <c r="K308" s="167"/>
    </row>
    <row r="309" spans="1:14" ht="25.5" x14ac:dyDescent="0.25">
      <c r="A309" s="170" t="s">
        <v>106</v>
      </c>
      <c r="B309" s="316" t="s">
        <v>375</v>
      </c>
      <c r="C309" s="58">
        <v>13950000</v>
      </c>
      <c r="D309" s="180">
        <f>C309/C297*100</f>
        <v>5.9361702127659575</v>
      </c>
      <c r="E309" s="134">
        <f t="shared" si="102"/>
        <v>100</v>
      </c>
      <c r="F309" s="134">
        <f t="shared" si="103"/>
        <v>5.9361702127659575</v>
      </c>
      <c r="G309" s="181">
        <f>13950000</f>
        <v>13950000</v>
      </c>
      <c r="H309" s="134">
        <f t="shared" si="104"/>
        <v>100</v>
      </c>
      <c r="I309" s="134">
        <f t="shared" si="105"/>
        <v>5.9361702127659575</v>
      </c>
      <c r="J309" s="6">
        <f t="shared" si="106"/>
        <v>0</v>
      </c>
      <c r="K309" s="167"/>
    </row>
    <row r="310" spans="1:14" x14ac:dyDescent="0.25">
      <c r="A310" s="170" t="s">
        <v>162</v>
      </c>
      <c r="B310" s="170" t="s">
        <v>535</v>
      </c>
      <c r="C310" s="178">
        <v>2800000</v>
      </c>
      <c r="D310" s="729">
        <f>C310/C297*100</f>
        <v>1.1914893617021276</v>
      </c>
      <c r="E310" s="134">
        <f t="shared" si="102"/>
        <v>100</v>
      </c>
      <c r="F310" s="134">
        <f t="shared" si="103"/>
        <v>1.1914893617021276</v>
      </c>
      <c r="G310" s="181">
        <f>2800000</f>
        <v>2800000</v>
      </c>
      <c r="H310" s="134">
        <f t="shared" si="104"/>
        <v>100</v>
      </c>
      <c r="I310" s="134">
        <f t="shared" si="105"/>
        <v>1.1914893617021276</v>
      </c>
      <c r="J310" s="6">
        <f t="shared" si="106"/>
        <v>0</v>
      </c>
      <c r="K310" s="167"/>
    </row>
    <row r="311" spans="1:14" ht="25.5" x14ac:dyDescent="0.25">
      <c r="A311" s="170" t="s">
        <v>116</v>
      </c>
      <c r="B311" s="750" t="s">
        <v>420</v>
      </c>
      <c r="C311" s="178">
        <v>5465000</v>
      </c>
      <c r="D311" s="729">
        <f>C311/C298*100</f>
        <v>59.402173913043477</v>
      </c>
      <c r="E311" s="134"/>
      <c r="F311" s="134"/>
      <c r="G311" s="181">
        <f>5465000</f>
        <v>5465000</v>
      </c>
      <c r="H311" s="134"/>
      <c r="I311" s="134"/>
      <c r="J311" s="6">
        <f t="shared" si="106"/>
        <v>0</v>
      </c>
      <c r="K311" s="167"/>
    </row>
    <row r="312" spans="1:14" x14ac:dyDescent="0.25">
      <c r="A312" s="170" t="s">
        <v>65</v>
      </c>
      <c r="B312" s="170" t="s">
        <v>190</v>
      </c>
      <c r="C312" s="178">
        <v>7000000</v>
      </c>
      <c r="D312" s="729">
        <f>C312/C297*100</f>
        <v>2.9787234042553195</v>
      </c>
      <c r="E312" s="134">
        <f t="shared" si="102"/>
        <v>99.033714285714282</v>
      </c>
      <c r="F312" s="134">
        <f t="shared" si="103"/>
        <v>2.9499404255319148</v>
      </c>
      <c r="G312" s="181">
        <f>6932360</f>
        <v>6932360</v>
      </c>
      <c r="H312" s="134">
        <f t="shared" si="104"/>
        <v>99.033714285714282</v>
      </c>
      <c r="I312" s="134">
        <f t="shared" si="105"/>
        <v>2.9499404255319148</v>
      </c>
      <c r="J312" s="6">
        <f t="shared" si="106"/>
        <v>-67640</v>
      </c>
      <c r="K312" s="167"/>
    </row>
    <row r="313" spans="1:14" x14ac:dyDescent="0.25">
      <c r="A313" s="68" t="s">
        <v>594</v>
      </c>
      <c r="B313" s="170" t="s">
        <v>593</v>
      </c>
      <c r="C313" s="178">
        <v>6000000</v>
      </c>
      <c r="D313" s="729"/>
      <c r="E313" s="134"/>
      <c r="F313" s="134"/>
      <c r="G313" s="181">
        <f>6000000</f>
        <v>6000000</v>
      </c>
      <c r="H313" s="134"/>
      <c r="I313" s="134"/>
      <c r="J313" s="6"/>
      <c r="K313" s="167"/>
    </row>
    <row r="314" spans="1:14" x14ac:dyDescent="0.25">
      <c r="A314" s="68" t="s">
        <v>584</v>
      </c>
      <c r="B314" s="170" t="s">
        <v>583</v>
      </c>
      <c r="C314" s="178">
        <v>12000000</v>
      </c>
      <c r="D314" s="729"/>
      <c r="E314" s="134"/>
      <c r="F314" s="134"/>
      <c r="G314" s="181">
        <f>12000000</f>
        <v>12000000</v>
      </c>
      <c r="H314" s="134"/>
      <c r="I314" s="134"/>
      <c r="J314" s="6"/>
      <c r="K314" s="167"/>
    </row>
    <row r="315" spans="1:14" x14ac:dyDescent="0.25">
      <c r="A315" s="68" t="s">
        <v>301</v>
      </c>
      <c r="B315" s="170" t="s">
        <v>409</v>
      </c>
      <c r="C315" s="58">
        <v>6475000</v>
      </c>
      <c r="D315" s="269"/>
      <c r="E315" s="134"/>
      <c r="F315" s="134"/>
      <c r="G315" s="181">
        <f>6475000</f>
        <v>6475000</v>
      </c>
      <c r="H315" s="134"/>
      <c r="I315" s="134"/>
      <c r="J315" s="6">
        <f t="shared" si="106"/>
        <v>0</v>
      </c>
      <c r="K315" s="167"/>
    </row>
    <row r="316" spans="1:14" x14ac:dyDescent="0.25">
      <c r="A316" s="68"/>
      <c r="B316" s="67" t="s">
        <v>128</v>
      </c>
      <c r="C316" s="60">
        <f>SUM(C298:C315)</f>
        <v>235000000</v>
      </c>
      <c r="D316" s="270">
        <f>SUM(D298:D312)</f>
        <v>135.39791859389453</v>
      </c>
      <c r="E316" s="134"/>
      <c r="F316" s="134"/>
      <c r="G316" s="837">
        <f>SUM(G298:G315)</f>
        <v>234932360</v>
      </c>
      <c r="H316" s="134"/>
      <c r="I316" s="134"/>
      <c r="J316" s="56">
        <v>67640</v>
      </c>
      <c r="K316" s="3"/>
    </row>
    <row r="317" spans="1:14" x14ac:dyDescent="0.25">
      <c r="A317" s="190"/>
      <c r="B317" s="2"/>
      <c r="C317" s="59"/>
      <c r="D317" s="41"/>
      <c r="E317" s="31"/>
      <c r="F317" s="31"/>
      <c r="G317" s="36"/>
      <c r="H317" s="31"/>
      <c r="I317" s="31"/>
      <c r="J317" s="33"/>
      <c r="K317" s="37"/>
    </row>
    <row r="318" spans="1:14" ht="31.5" x14ac:dyDescent="0.25">
      <c r="A318" s="55"/>
      <c r="B318" s="46" t="s">
        <v>145</v>
      </c>
      <c r="C318" s="155"/>
      <c r="D318" s="44"/>
      <c r="E318" s="45"/>
      <c r="F318" s="45"/>
      <c r="G318" s="48"/>
      <c r="H318" s="45"/>
      <c r="I318" s="45"/>
      <c r="J318" s="44"/>
      <c r="K318" s="44"/>
      <c r="L318" s="1"/>
      <c r="M318" s="1"/>
      <c r="N318" s="1"/>
    </row>
    <row r="319" spans="1:14" x14ac:dyDescent="0.25">
      <c r="A319" s="1111" t="s">
        <v>2</v>
      </c>
      <c r="B319" s="1104" t="s">
        <v>170</v>
      </c>
      <c r="C319" s="1111" t="s">
        <v>4</v>
      </c>
      <c r="D319" s="1112" t="s">
        <v>5</v>
      </c>
      <c r="E319" s="1113"/>
      <c r="F319" s="1113"/>
      <c r="G319" s="1114" t="s">
        <v>6</v>
      </c>
      <c r="H319" s="1113"/>
      <c r="I319" s="1113"/>
      <c r="J319" s="1111" t="s">
        <v>7</v>
      </c>
      <c r="K319" s="285" t="s">
        <v>8</v>
      </c>
    </row>
    <row r="320" spans="1:14" x14ac:dyDescent="0.25">
      <c r="A320" s="1111"/>
      <c r="B320" s="1104"/>
      <c r="C320" s="1111"/>
      <c r="D320" s="285" t="s">
        <v>9</v>
      </c>
      <c r="E320" s="304" t="s">
        <v>10</v>
      </c>
      <c r="F320" s="304" t="s">
        <v>11</v>
      </c>
      <c r="G320" s="305" t="s">
        <v>12</v>
      </c>
      <c r="H320" s="304" t="s">
        <v>13</v>
      </c>
      <c r="I320" s="304" t="s">
        <v>11</v>
      </c>
      <c r="J320" s="1115"/>
      <c r="K320" s="287"/>
    </row>
    <row r="321" spans="1:11" x14ac:dyDescent="0.25">
      <c r="A321" s="1111"/>
      <c r="B321" s="1104"/>
      <c r="C321" s="1111"/>
      <c r="D321" s="286" t="s">
        <v>14</v>
      </c>
      <c r="E321" s="302" t="s">
        <v>14</v>
      </c>
      <c r="F321" s="302" t="s">
        <v>14</v>
      </c>
      <c r="G321" s="303" t="s">
        <v>15</v>
      </c>
      <c r="H321" s="302" t="s">
        <v>14</v>
      </c>
      <c r="I321" s="302" t="s">
        <v>14</v>
      </c>
      <c r="J321" s="286" t="s">
        <v>15</v>
      </c>
      <c r="K321" s="286"/>
    </row>
    <row r="322" spans="1:11" x14ac:dyDescent="0.25">
      <c r="A322" s="144" t="s">
        <v>185</v>
      </c>
      <c r="B322" s="199" t="s">
        <v>146</v>
      </c>
      <c r="C322" s="145"/>
      <c r="D322" s="146"/>
      <c r="E322" s="147"/>
      <c r="F322" s="147"/>
      <c r="G322" s="148"/>
      <c r="H322" s="147"/>
      <c r="I322" s="147"/>
      <c r="J322" s="146"/>
      <c r="K322" s="146"/>
    </row>
    <row r="323" spans="1:11" x14ac:dyDescent="0.25">
      <c r="A323" s="318" t="s">
        <v>184</v>
      </c>
      <c r="B323" s="280" t="s">
        <v>147</v>
      </c>
      <c r="C323" s="257">
        <f>SUM(C324:C325)</f>
        <v>2480900000</v>
      </c>
      <c r="D323" s="146"/>
      <c r="E323" s="147"/>
      <c r="F323" s="147"/>
      <c r="G323" s="148"/>
      <c r="H323" s="147"/>
      <c r="I323" s="147"/>
      <c r="J323" s="146"/>
      <c r="K323" s="146"/>
    </row>
    <row r="324" spans="1:11" ht="25.5" x14ac:dyDescent="0.25">
      <c r="A324" s="319" t="s">
        <v>44</v>
      </c>
      <c r="B324" s="707" t="s">
        <v>384</v>
      </c>
      <c r="C324" s="149">
        <v>30900000</v>
      </c>
      <c r="D324" s="267">
        <f>C324/C323*100</f>
        <v>1.2455157402555526</v>
      </c>
      <c r="E324" s="134">
        <f t="shared" ref="E324:E325" si="107">G324/C324*100</f>
        <v>100</v>
      </c>
      <c r="F324" s="134">
        <f t="shared" ref="F324:F325" si="108">(D324*E324)/100</f>
        <v>1.2455157402555526</v>
      </c>
      <c r="G324" s="181">
        <f>30900000</f>
        <v>30900000</v>
      </c>
      <c r="H324" s="134">
        <f t="shared" ref="H324:H325" si="109">G324/C324*100</f>
        <v>100</v>
      </c>
      <c r="I324" s="134">
        <f t="shared" ref="I324:I325" si="110">(D324*H324)/100</f>
        <v>1.2455157402555526</v>
      </c>
      <c r="J324" s="6">
        <f t="shared" ref="J324:J325" si="111">G324-C324</f>
        <v>0</v>
      </c>
      <c r="K324" s="146"/>
    </row>
    <row r="325" spans="1:11" x14ac:dyDescent="0.25">
      <c r="A325" s="49" t="s">
        <v>148</v>
      </c>
      <c r="B325" s="133" t="s">
        <v>534</v>
      </c>
      <c r="C325" s="149">
        <v>2450000000</v>
      </c>
      <c r="D325" s="267">
        <f>C325/C323*100</f>
        <v>98.754484259744444</v>
      </c>
      <c r="E325" s="134">
        <f t="shared" si="107"/>
        <v>99.387755102040813</v>
      </c>
      <c r="F325" s="134">
        <f t="shared" si="108"/>
        <v>98.149864968358258</v>
      </c>
      <c r="G325" s="181">
        <f>769250000+1665750000</f>
        <v>2435000000</v>
      </c>
      <c r="H325" s="134">
        <f t="shared" si="109"/>
        <v>99.387755102040813</v>
      </c>
      <c r="I325" s="134">
        <f t="shared" si="110"/>
        <v>98.149864968358258</v>
      </c>
      <c r="J325" s="6">
        <f t="shared" si="111"/>
        <v>-15000000</v>
      </c>
      <c r="K325" s="146"/>
    </row>
    <row r="326" spans="1:11" x14ac:dyDescent="0.25">
      <c r="A326" s="71"/>
      <c r="B326" s="76" t="s">
        <v>95</v>
      </c>
      <c r="C326" s="809">
        <f>SUM(C324:C325)</f>
        <v>2480900000</v>
      </c>
      <c r="D326" s="141">
        <f>SUM(D324:D325)</f>
        <v>100</v>
      </c>
      <c r="E326" s="134"/>
      <c r="F326" s="134"/>
      <c r="G326" s="181">
        <f>SUM(G324:G325)</f>
        <v>2465900000</v>
      </c>
      <c r="H326" s="134"/>
      <c r="I326" s="134"/>
      <c r="J326" s="56">
        <v>15000000</v>
      </c>
      <c r="K326" s="143"/>
    </row>
    <row r="327" spans="1:11" x14ac:dyDescent="0.25">
      <c r="A327" s="190"/>
      <c r="B327" s="2"/>
      <c r="C327" s="59"/>
      <c r="D327" s="41"/>
      <c r="E327" s="31"/>
      <c r="F327" s="31"/>
      <c r="G327" s="36"/>
      <c r="H327" s="31"/>
      <c r="I327" s="31"/>
      <c r="J327" s="33"/>
      <c r="K327" s="37"/>
    </row>
    <row r="328" spans="1:11" x14ac:dyDescent="0.25">
      <c r="A328" s="1103" t="s">
        <v>2</v>
      </c>
      <c r="B328" s="1104" t="s">
        <v>170</v>
      </c>
      <c r="C328" s="1103" t="s">
        <v>4</v>
      </c>
      <c r="D328" s="1105" t="s">
        <v>5</v>
      </c>
      <c r="E328" s="1106"/>
      <c r="F328" s="1106"/>
      <c r="G328" s="1107" t="s">
        <v>6</v>
      </c>
      <c r="H328" s="1106"/>
      <c r="I328" s="1106"/>
      <c r="J328" s="1103" t="s">
        <v>7</v>
      </c>
      <c r="K328" s="288" t="s">
        <v>8</v>
      </c>
    </row>
    <row r="329" spans="1:11" x14ac:dyDescent="0.25">
      <c r="A329" s="1103"/>
      <c r="B329" s="1104"/>
      <c r="C329" s="1103"/>
      <c r="D329" s="288" t="s">
        <v>9</v>
      </c>
      <c r="E329" s="306" t="s">
        <v>10</v>
      </c>
      <c r="F329" s="306" t="s">
        <v>11</v>
      </c>
      <c r="G329" s="307" t="s">
        <v>12</v>
      </c>
      <c r="H329" s="306" t="s">
        <v>13</v>
      </c>
      <c r="I329" s="306" t="s">
        <v>11</v>
      </c>
      <c r="J329" s="1108"/>
      <c r="K329" s="102"/>
    </row>
    <row r="330" spans="1:11" x14ac:dyDescent="0.25">
      <c r="A330" s="1103"/>
      <c r="B330" s="1104"/>
      <c r="C330" s="1103"/>
      <c r="D330" s="105" t="s">
        <v>14</v>
      </c>
      <c r="E330" s="106" t="s">
        <v>14</v>
      </c>
      <c r="F330" s="106" t="s">
        <v>14</v>
      </c>
      <c r="G330" s="107" t="s">
        <v>15</v>
      </c>
      <c r="H330" s="106" t="s">
        <v>14</v>
      </c>
      <c r="I330" s="106" t="s">
        <v>14</v>
      </c>
      <c r="J330" s="105" t="s">
        <v>15</v>
      </c>
      <c r="K330" s="105"/>
    </row>
    <row r="331" spans="1:11" x14ac:dyDescent="0.25">
      <c r="A331" s="79" t="s">
        <v>185</v>
      </c>
      <c r="B331" s="199" t="s">
        <v>146</v>
      </c>
      <c r="C331" s="24"/>
      <c r="D331" s="10"/>
      <c r="E331" s="34"/>
      <c r="F331" s="34"/>
      <c r="G331" s="6"/>
      <c r="H331" s="34"/>
      <c r="I331" s="34"/>
      <c r="J331" s="10"/>
      <c r="K331" s="10"/>
    </row>
    <row r="332" spans="1:11" x14ac:dyDescent="0.25">
      <c r="A332" s="125" t="s">
        <v>187</v>
      </c>
      <c r="B332" s="280" t="s">
        <v>150</v>
      </c>
      <c r="C332" s="131">
        <f>SUM(C333:C336)</f>
        <v>1508450760</v>
      </c>
      <c r="D332" s="10"/>
      <c r="E332" s="34"/>
      <c r="F332" s="34"/>
      <c r="G332" s="6"/>
      <c r="H332" s="34"/>
      <c r="I332" s="34"/>
      <c r="J332" s="10"/>
      <c r="K332" s="10"/>
    </row>
    <row r="333" spans="1:11" ht="25.5" x14ac:dyDescent="0.25">
      <c r="A333" s="124" t="s">
        <v>44</v>
      </c>
      <c r="B333" s="707" t="s">
        <v>384</v>
      </c>
      <c r="C333" s="253">
        <v>30900000</v>
      </c>
      <c r="D333" s="134">
        <f>C333/C332*100</f>
        <v>2.0484593080121489</v>
      </c>
      <c r="E333" s="134">
        <f t="shared" ref="E333:E335" si="112">G333/C333*100</f>
        <v>100</v>
      </c>
      <c r="F333" s="134">
        <f t="shared" ref="F333:F335" si="113">(D333*E333)/100</f>
        <v>2.0484593080121489</v>
      </c>
      <c r="G333" s="181">
        <f>30900000</f>
        <v>30900000</v>
      </c>
      <c r="H333" s="134">
        <f t="shared" ref="H333:H335" si="114">G333/C333*100</f>
        <v>100</v>
      </c>
      <c r="I333" s="134">
        <f t="shared" ref="I333:I335" si="115">(D333*H333)/100</f>
        <v>2.0484593080121489</v>
      </c>
      <c r="J333" s="6">
        <f t="shared" ref="J333:J336" si="116">G333-C333</f>
        <v>0</v>
      </c>
      <c r="K333" s="10"/>
    </row>
    <row r="334" spans="1:11" x14ac:dyDescent="0.25">
      <c r="A334" s="49" t="s">
        <v>148</v>
      </c>
      <c r="B334" s="133" t="s">
        <v>534</v>
      </c>
      <c r="C334" s="256">
        <v>1050000000</v>
      </c>
      <c r="D334" s="134">
        <f>C334/C332*100</f>
        <v>69.607840563519616</v>
      </c>
      <c r="E334" s="134">
        <f t="shared" si="112"/>
        <v>99.899409523809524</v>
      </c>
      <c r="F334" s="134">
        <f t="shared" si="113"/>
        <v>69.537821705230868</v>
      </c>
      <c r="G334" s="181">
        <f>993259400+55684400</f>
        <v>1048943800</v>
      </c>
      <c r="H334" s="134">
        <f t="shared" si="114"/>
        <v>99.899409523809524</v>
      </c>
      <c r="I334" s="134">
        <f t="shared" si="115"/>
        <v>69.537821705230868</v>
      </c>
      <c r="J334" s="6">
        <f t="shared" si="116"/>
        <v>-1056200</v>
      </c>
      <c r="K334" s="10"/>
    </row>
    <row r="335" spans="1:11" s="84" customFormat="1" ht="25.5" x14ac:dyDescent="0.2">
      <c r="A335" s="49" t="s">
        <v>152</v>
      </c>
      <c r="B335" s="133" t="s">
        <v>153</v>
      </c>
      <c r="C335" s="256">
        <v>420000000</v>
      </c>
      <c r="D335" s="134">
        <f>C335/C332*100</f>
        <v>27.84313622540785</v>
      </c>
      <c r="E335" s="134">
        <f t="shared" si="112"/>
        <v>100</v>
      </c>
      <c r="F335" s="134">
        <f t="shared" si="113"/>
        <v>27.843136225407854</v>
      </c>
      <c r="G335" s="181">
        <f>420000000</f>
        <v>420000000</v>
      </c>
      <c r="H335" s="134">
        <f t="shared" si="114"/>
        <v>100</v>
      </c>
      <c r="I335" s="134">
        <f t="shared" si="115"/>
        <v>27.843136225407854</v>
      </c>
      <c r="J335" s="6">
        <f t="shared" si="116"/>
        <v>0</v>
      </c>
      <c r="K335" s="38"/>
    </row>
    <row r="336" spans="1:11" s="84" customFormat="1" x14ac:dyDescent="0.2">
      <c r="A336" s="749" t="s">
        <v>234</v>
      </c>
      <c r="B336" s="133" t="s">
        <v>522</v>
      </c>
      <c r="C336" s="256">
        <v>7550760</v>
      </c>
      <c r="D336" s="804"/>
      <c r="E336" s="134"/>
      <c r="F336" s="134"/>
      <c r="G336" s="181">
        <f>7550760</f>
        <v>7550760</v>
      </c>
      <c r="H336" s="134"/>
      <c r="I336" s="134"/>
      <c r="J336" s="6">
        <f t="shared" si="116"/>
        <v>0</v>
      </c>
      <c r="K336" s="805"/>
    </row>
    <row r="337" spans="1:15" x14ac:dyDescent="0.25">
      <c r="A337" s="70"/>
      <c r="B337" s="129" t="s">
        <v>95</v>
      </c>
      <c r="C337" s="807">
        <f>SUM(C333:C336)</f>
        <v>1508450760</v>
      </c>
      <c r="D337" s="271">
        <f>SUM(D333:D335)</f>
        <v>99.499436096939618</v>
      </c>
      <c r="E337" s="134"/>
      <c r="F337" s="134"/>
      <c r="G337" s="181">
        <f>SUM(G333:G336)</f>
        <v>1507394560</v>
      </c>
      <c r="H337" s="134"/>
      <c r="I337" s="134"/>
      <c r="J337" s="56">
        <v>1056200</v>
      </c>
      <c r="K337" s="130"/>
    </row>
    <row r="338" spans="1:15" x14ac:dyDescent="0.25">
      <c r="A338" s="190"/>
      <c r="B338" s="2"/>
      <c r="C338" s="59"/>
      <c r="D338" s="41"/>
      <c r="E338" s="31"/>
      <c r="F338" s="31"/>
      <c r="G338" s="36"/>
      <c r="H338" s="31"/>
      <c r="I338" s="31"/>
      <c r="J338" s="33"/>
      <c r="K338" s="37"/>
    </row>
    <row r="339" spans="1:15" x14ac:dyDescent="0.25">
      <c r="A339" s="50"/>
      <c r="B339" s="5"/>
      <c r="C339" s="50"/>
      <c r="D339" s="9"/>
      <c r="E339" s="23"/>
      <c r="F339" s="23"/>
      <c r="G339" s="11"/>
      <c r="H339" s="23"/>
      <c r="I339" s="23"/>
      <c r="J339" s="9"/>
      <c r="K339" s="9"/>
    </row>
    <row r="340" spans="1:15" x14ac:dyDescent="0.25">
      <c r="A340" s="1123" t="s">
        <v>2</v>
      </c>
      <c r="B340" s="1126" t="s">
        <v>138</v>
      </c>
      <c r="C340" s="1129" t="s">
        <v>4</v>
      </c>
      <c r="D340" s="1121" t="s">
        <v>5</v>
      </c>
      <c r="E340" s="1132"/>
      <c r="F340" s="1132"/>
      <c r="G340" s="1122" t="s">
        <v>6</v>
      </c>
      <c r="H340" s="1132"/>
      <c r="I340" s="1132"/>
      <c r="J340" s="1123" t="s">
        <v>7</v>
      </c>
      <c r="K340" s="1123" t="s">
        <v>8</v>
      </c>
    </row>
    <row r="341" spans="1:15" x14ac:dyDescent="0.25">
      <c r="A341" s="1124"/>
      <c r="B341" s="1127"/>
      <c r="C341" s="1130"/>
      <c r="D341" s="289" t="s">
        <v>9</v>
      </c>
      <c r="E341" s="308" t="s">
        <v>10</v>
      </c>
      <c r="F341" s="308" t="s">
        <v>11</v>
      </c>
      <c r="G341" s="117" t="s">
        <v>12</v>
      </c>
      <c r="H341" s="116" t="s">
        <v>13</v>
      </c>
      <c r="I341" s="116" t="s">
        <v>11</v>
      </c>
      <c r="J341" s="1124"/>
      <c r="K341" s="1124"/>
    </row>
    <row r="342" spans="1:15" x14ac:dyDescent="0.25">
      <c r="A342" s="1125"/>
      <c r="B342" s="1128"/>
      <c r="C342" s="1131"/>
      <c r="D342" s="115" t="s">
        <v>14</v>
      </c>
      <c r="E342" s="119" t="s">
        <v>14</v>
      </c>
      <c r="F342" s="119" t="s">
        <v>14</v>
      </c>
      <c r="G342" s="120" t="s">
        <v>15</v>
      </c>
      <c r="H342" s="119" t="s">
        <v>14</v>
      </c>
      <c r="I342" s="119" t="s">
        <v>14</v>
      </c>
      <c r="J342" s="118" t="s">
        <v>15</v>
      </c>
      <c r="K342" s="1125"/>
    </row>
    <row r="343" spans="1:15" ht="25.5" x14ac:dyDescent="0.25">
      <c r="A343" s="79" t="s">
        <v>180</v>
      </c>
      <c r="B343" s="696" t="s">
        <v>379</v>
      </c>
      <c r="C343" s="127"/>
      <c r="D343" s="121"/>
      <c r="E343" s="34"/>
      <c r="F343" s="34"/>
      <c r="G343" s="6"/>
      <c r="H343" s="34"/>
      <c r="I343" s="34"/>
      <c r="J343" s="10"/>
      <c r="K343" s="85"/>
    </row>
    <row r="344" spans="1:15" ht="25.5" x14ac:dyDescent="0.25">
      <c r="A344" s="125" t="s">
        <v>181</v>
      </c>
      <c r="B344" s="697" t="s">
        <v>380</v>
      </c>
      <c r="C344" s="88">
        <f>SUM(C345:C368)</f>
        <v>235000000</v>
      </c>
      <c r="D344" s="121"/>
      <c r="E344" s="34"/>
      <c r="F344" s="34"/>
      <c r="G344" s="6"/>
      <c r="H344" s="34"/>
      <c r="I344" s="34"/>
      <c r="J344" s="10"/>
      <c r="K344" s="156"/>
    </row>
    <row r="345" spans="1:15" ht="25.5" x14ac:dyDescent="0.25">
      <c r="A345" s="49" t="s">
        <v>44</v>
      </c>
      <c r="B345" s="707" t="s">
        <v>384</v>
      </c>
      <c r="C345" s="39">
        <v>9690000</v>
      </c>
      <c r="D345" s="727">
        <f>C345/C344*100</f>
        <v>4.1234042553191488</v>
      </c>
      <c r="E345" s="134">
        <f t="shared" ref="E345:E356" si="117">G345/C345*100</f>
        <v>100</v>
      </c>
      <c r="F345" s="134">
        <f t="shared" ref="F345:F356" si="118">(D345*E345)/100</f>
        <v>4.1234042553191488</v>
      </c>
      <c r="G345" s="181">
        <f>9690000</f>
        <v>9690000</v>
      </c>
      <c r="H345" s="134">
        <f t="shared" ref="H345:H356" si="119">G345/C345*100</f>
        <v>100</v>
      </c>
      <c r="I345" s="134">
        <f t="shared" ref="I345:I356" si="120">(D345*H345)/100</f>
        <v>4.1234042553191488</v>
      </c>
      <c r="J345" s="6">
        <f t="shared" ref="J345:J368" si="121">G345-C345</f>
        <v>0</v>
      </c>
      <c r="K345" s="10"/>
      <c r="O345" s="717"/>
    </row>
    <row r="346" spans="1:15" x14ac:dyDescent="0.25">
      <c r="A346" s="49" t="s">
        <v>448</v>
      </c>
      <c r="B346" s="707" t="s">
        <v>578</v>
      </c>
      <c r="C346" s="39">
        <v>510000</v>
      </c>
      <c r="D346" s="727"/>
      <c r="E346" s="134"/>
      <c r="F346" s="134"/>
      <c r="G346" s="181">
        <f>510000</f>
        <v>510000</v>
      </c>
      <c r="H346" s="134"/>
      <c r="I346" s="134"/>
      <c r="J346" s="6"/>
      <c r="K346" s="10"/>
      <c r="O346" s="717"/>
    </row>
    <row r="347" spans="1:15" x14ac:dyDescent="0.25">
      <c r="A347" s="49" t="s">
        <v>59</v>
      </c>
      <c r="B347" s="707" t="s">
        <v>197</v>
      </c>
      <c r="C347" s="39">
        <v>15090500</v>
      </c>
      <c r="D347" s="727">
        <f>C347/C344*100</f>
        <v>6.421489361702128</v>
      </c>
      <c r="E347" s="134">
        <f t="shared" si="117"/>
        <v>100</v>
      </c>
      <c r="F347" s="134">
        <f t="shared" si="118"/>
        <v>6.421489361702128</v>
      </c>
      <c r="G347" s="181">
        <f>15090500</f>
        <v>15090500</v>
      </c>
      <c r="H347" s="134">
        <f t="shared" si="119"/>
        <v>100</v>
      </c>
      <c r="I347" s="134">
        <f t="shared" si="120"/>
        <v>6.421489361702128</v>
      </c>
      <c r="J347" s="6">
        <f t="shared" si="121"/>
        <v>0</v>
      </c>
      <c r="K347" s="10"/>
    </row>
    <row r="348" spans="1:15" x14ac:dyDescent="0.25">
      <c r="A348" s="49" t="s">
        <v>62</v>
      </c>
      <c r="B348" s="707" t="s">
        <v>414</v>
      </c>
      <c r="C348" s="39">
        <v>5172500</v>
      </c>
      <c r="D348" s="727"/>
      <c r="E348" s="134"/>
      <c r="F348" s="134"/>
      <c r="G348" s="181">
        <f>5172500</f>
        <v>5172500</v>
      </c>
      <c r="H348" s="134"/>
      <c r="I348" s="134"/>
      <c r="J348" s="6">
        <f t="shared" si="121"/>
        <v>0</v>
      </c>
      <c r="K348" s="10"/>
    </row>
    <row r="349" spans="1:15" x14ac:dyDescent="0.25">
      <c r="A349" s="49" t="s">
        <v>54</v>
      </c>
      <c r="B349" s="707" t="s">
        <v>536</v>
      </c>
      <c r="C349" s="39">
        <v>800000</v>
      </c>
      <c r="D349" s="727"/>
      <c r="E349" s="134"/>
      <c r="F349" s="134"/>
      <c r="G349" s="181">
        <f>800000</f>
        <v>800000</v>
      </c>
      <c r="H349" s="134"/>
      <c r="I349" s="134"/>
      <c r="J349" s="6">
        <f t="shared" si="121"/>
        <v>0</v>
      </c>
      <c r="K349" s="10"/>
    </row>
    <row r="350" spans="1:15" ht="25.5" x14ac:dyDescent="0.25">
      <c r="A350" s="49" t="s">
        <v>193</v>
      </c>
      <c r="B350" s="707" t="s">
        <v>537</v>
      </c>
      <c r="C350" s="39">
        <v>8750000</v>
      </c>
      <c r="D350" s="727"/>
      <c r="E350" s="134"/>
      <c r="F350" s="134"/>
      <c r="G350" s="181">
        <f>8750000</f>
        <v>8750000</v>
      </c>
      <c r="H350" s="134"/>
      <c r="I350" s="134"/>
      <c r="J350" s="6">
        <f t="shared" si="121"/>
        <v>0</v>
      </c>
      <c r="K350" s="10"/>
    </row>
    <row r="351" spans="1:15" x14ac:dyDescent="0.25">
      <c r="A351" s="49" t="s">
        <v>148</v>
      </c>
      <c r="B351" s="133" t="s">
        <v>534</v>
      </c>
      <c r="C351" s="39">
        <v>10000000</v>
      </c>
      <c r="D351" s="727"/>
      <c r="E351" s="134"/>
      <c r="F351" s="134"/>
      <c r="G351" s="181">
        <f>10000000</f>
        <v>10000000</v>
      </c>
      <c r="H351" s="134"/>
      <c r="I351" s="134"/>
      <c r="J351" s="6">
        <f t="shared" si="121"/>
        <v>0</v>
      </c>
      <c r="K351" s="10"/>
    </row>
    <row r="352" spans="1:15" x14ac:dyDescent="0.25">
      <c r="A352" s="49" t="s">
        <v>579</v>
      </c>
      <c r="B352" s="133" t="s">
        <v>580</v>
      </c>
      <c r="C352" s="39">
        <v>7300000</v>
      </c>
      <c r="D352" s="727"/>
      <c r="E352" s="134"/>
      <c r="F352" s="134"/>
      <c r="G352" s="181">
        <f>7300000</f>
        <v>7300000</v>
      </c>
      <c r="H352" s="134"/>
      <c r="I352" s="134"/>
      <c r="J352" s="6">
        <f>G352-C352</f>
        <v>0</v>
      </c>
      <c r="K352" s="10"/>
    </row>
    <row r="353" spans="1:11" x14ac:dyDescent="0.25">
      <c r="A353" s="49" t="s">
        <v>77</v>
      </c>
      <c r="B353" s="49" t="s">
        <v>139</v>
      </c>
      <c r="C353" s="39">
        <v>88530000</v>
      </c>
      <c r="D353" s="727">
        <f>C353/C344*100</f>
        <v>37.672340425531914</v>
      </c>
      <c r="E353" s="134">
        <f t="shared" si="117"/>
        <v>100</v>
      </c>
      <c r="F353" s="134">
        <f t="shared" si="118"/>
        <v>37.672340425531914</v>
      </c>
      <c r="G353" s="181">
        <f>88530000</f>
        <v>88530000</v>
      </c>
      <c r="H353" s="134">
        <f t="shared" si="119"/>
        <v>100</v>
      </c>
      <c r="I353" s="134">
        <f t="shared" si="120"/>
        <v>37.672340425531914</v>
      </c>
      <c r="J353" s="6">
        <f t="shared" si="121"/>
        <v>0</v>
      </c>
      <c r="K353" s="10"/>
    </row>
    <row r="354" spans="1:11" x14ac:dyDescent="0.25">
      <c r="A354" s="49" t="s">
        <v>601</v>
      </c>
      <c r="B354" s="49" t="s">
        <v>345</v>
      </c>
      <c r="C354" s="39">
        <v>9100000</v>
      </c>
      <c r="D354" s="727"/>
      <c r="E354" s="134"/>
      <c r="F354" s="134"/>
      <c r="G354" s="181">
        <f>9100000</f>
        <v>9100000</v>
      </c>
      <c r="H354" s="134"/>
      <c r="I354" s="134"/>
      <c r="J354" s="6"/>
      <c r="K354" s="10"/>
    </row>
    <row r="355" spans="1:11" x14ac:dyDescent="0.25">
      <c r="A355" s="49" t="s">
        <v>104</v>
      </c>
      <c r="B355" s="170" t="s">
        <v>418</v>
      </c>
      <c r="C355" s="39">
        <v>7300000</v>
      </c>
      <c r="D355" s="727">
        <f>C355/C344*100</f>
        <v>3.1063829787234045</v>
      </c>
      <c r="E355" s="134">
        <f t="shared" si="117"/>
        <v>100</v>
      </c>
      <c r="F355" s="134">
        <f t="shared" si="118"/>
        <v>3.1063829787234045</v>
      </c>
      <c r="G355" s="181">
        <f>7300000</f>
        <v>7300000</v>
      </c>
      <c r="H355" s="134">
        <f t="shared" si="119"/>
        <v>100</v>
      </c>
      <c r="I355" s="134">
        <f t="shared" si="120"/>
        <v>3.1063829787234045</v>
      </c>
      <c r="J355" s="6">
        <f t="shared" si="121"/>
        <v>0</v>
      </c>
      <c r="K355" s="10"/>
    </row>
    <row r="356" spans="1:11" ht="25.5" x14ac:dyDescent="0.25">
      <c r="A356" s="49" t="s">
        <v>192</v>
      </c>
      <c r="B356" s="316" t="s">
        <v>375</v>
      </c>
      <c r="C356" s="39">
        <v>13050000</v>
      </c>
      <c r="D356" s="727">
        <f>C356/C344*100</f>
        <v>5.5531914893617023</v>
      </c>
      <c r="E356" s="134">
        <f t="shared" si="117"/>
        <v>100</v>
      </c>
      <c r="F356" s="134">
        <f t="shared" si="118"/>
        <v>5.5531914893617023</v>
      </c>
      <c r="G356" s="181">
        <f>13050000</f>
        <v>13050000</v>
      </c>
      <c r="H356" s="134">
        <f t="shared" si="119"/>
        <v>100</v>
      </c>
      <c r="I356" s="134">
        <f t="shared" si="120"/>
        <v>5.5531914893617023</v>
      </c>
      <c r="J356" s="6">
        <f t="shared" si="121"/>
        <v>0</v>
      </c>
      <c r="K356" s="10"/>
    </row>
    <row r="357" spans="1:11" x14ac:dyDescent="0.25">
      <c r="A357" s="749" t="s">
        <v>162</v>
      </c>
      <c r="B357" s="316" t="s">
        <v>538</v>
      </c>
      <c r="C357" s="751">
        <v>2000000</v>
      </c>
      <c r="D357" s="727"/>
      <c r="E357" s="134"/>
      <c r="F357" s="134"/>
      <c r="G357" s="181">
        <f>2000000</f>
        <v>2000000</v>
      </c>
      <c r="H357" s="134"/>
      <c r="I357" s="134"/>
      <c r="J357" s="6">
        <f t="shared" si="121"/>
        <v>0</v>
      </c>
      <c r="K357" s="130"/>
    </row>
    <row r="358" spans="1:11" x14ac:dyDescent="0.25">
      <c r="A358" s="749" t="s">
        <v>527</v>
      </c>
      <c r="B358" s="316" t="s">
        <v>523</v>
      </c>
      <c r="C358" s="751">
        <v>1150000</v>
      </c>
      <c r="D358" s="727"/>
      <c r="E358" s="134"/>
      <c r="F358" s="134"/>
      <c r="G358" s="181">
        <f>1150000</f>
        <v>1150000</v>
      </c>
      <c r="H358" s="134"/>
      <c r="I358" s="134"/>
      <c r="J358" s="6">
        <f t="shared" si="121"/>
        <v>0</v>
      </c>
      <c r="K358" s="130"/>
    </row>
    <row r="359" spans="1:11" x14ac:dyDescent="0.25">
      <c r="A359" s="749" t="s">
        <v>112</v>
      </c>
      <c r="B359" s="316" t="s">
        <v>525</v>
      </c>
      <c r="C359" s="751">
        <v>800000</v>
      </c>
      <c r="D359" s="727"/>
      <c r="E359" s="134"/>
      <c r="F359" s="134"/>
      <c r="G359" s="181">
        <f>800000</f>
        <v>800000</v>
      </c>
      <c r="H359" s="134"/>
      <c r="I359" s="134"/>
      <c r="J359" s="6">
        <f t="shared" si="121"/>
        <v>0</v>
      </c>
      <c r="K359" s="130"/>
    </row>
    <row r="360" spans="1:11" x14ac:dyDescent="0.25">
      <c r="A360" s="749" t="s">
        <v>521</v>
      </c>
      <c r="B360" s="316" t="s">
        <v>539</v>
      </c>
      <c r="C360" s="751">
        <v>1000000</v>
      </c>
      <c r="D360" s="727"/>
      <c r="E360" s="134"/>
      <c r="F360" s="134"/>
      <c r="G360" s="181">
        <f>1000000</f>
        <v>1000000</v>
      </c>
      <c r="H360" s="134"/>
      <c r="I360" s="134"/>
      <c r="J360" s="6">
        <f t="shared" si="121"/>
        <v>0</v>
      </c>
      <c r="K360" s="130"/>
    </row>
    <row r="361" spans="1:11" ht="25.5" x14ac:dyDescent="0.25">
      <c r="A361" s="749" t="s">
        <v>116</v>
      </c>
      <c r="B361" s="316" t="s">
        <v>420</v>
      </c>
      <c r="C361" s="751">
        <v>1382000</v>
      </c>
      <c r="D361" s="727">
        <f>C361/C345*100</f>
        <v>14.262125902992775</v>
      </c>
      <c r="E361" s="134"/>
      <c r="F361" s="134"/>
      <c r="G361" s="181">
        <f>1382000</f>
        <v>1382000</v>
      </c>
      <c r="H361" s="134"/>
      <c r="I361" s="134"/>
      <c r="J361" s="6">
        <f t="shared" si="121"/>
        <v>0</v>
      </c>
      <c r="K361" s="130"/>
    </row>
    <row r="362" spans="1:11" x14ac:dyDescent="0.25">
      <c r="A362" s="749" t="s">
        <v>65</v>
      </c>
      <c r="B362" s="754" t="s">
        <v>190</v>
      </c>
      <c r="C362" s="751">
        <v>7000000</v>
      </c>
      <c r="D362" s="727" t="e">
        <f>C362/#REF!*100</f>
        <v>#REF!</v>
      </c>
      <c r="E362" s="134"/>
      <c r="F362" s="134"/>
      <c r="G362" s="181">
        <f>6932360</f>
        <v>6932360</v>
      </c>
      <c r="H362" s="134"/>
      <c r="I362" s="134"/>
      <c r="J362" s="6">
        <f t="shared" si="121"/>
        <v>-67640</v>
      </c>
      <c r="K362" s="130"/>
    </row>
    <row r="363" spans="1:11" x14ac:dyDescent="0.25">
      <c r="A363" s="749" t="s">
        <v>541</v>
      </c>
      <c r="B363" s="754" t="s">
        <v>401</v>
      </c>
      <c r="C363" s="751">
        <v>3900000</v>
      </c>
      <c r="D363" s="727" t="e">
        <f>C363/#REF!*100</f>
        <v>#REF!</v>
      </c>
      <c r="E363" s="134"/>
      <c r="F363" s="134"/>
      <c r="G363" s="181">
        <f>3900000</f>
        <v>3900000</v>
      </c>
      <c r="H363" s="134"/>
      <c r="I363" s="134"/>
      <c r="J363" s="6">
        <f t="shared" si="121"/>
        <v>0</v>
      </c>
      <c r="K363" s="130"/>
    </row>
    <row r="364" spans="1:11" x14ac:dyDescent="0.25">
      <c r="A364" s="749" t="s">
        <v>603</v>
      </c>
      <c r="B364" s="754" t="s">
        <v>602</v>
      </c>
      <c r="C364" s="751">
        <v>5000000</v>
      </c>
      <c r="D364" s="727"/>
      <c r="E364" s="134"/>
      <c r="F364" s="134"/>
      <c r="G364" s="181">
        <f>5000000</f>
        <v>5000000</v>
      </c>
      <c r="H364" s="134"/>
      <c r="I364" s="134"/>
      <c r="J364" s="6"/>
      <c r="K364" s="130"/>
    </row>
    <row r="365" spans="1:11" x14ac:dyDescent="0.25">
      <c r="A365" s="749" t="s">
        <v>590</v>
      </c>
      <c r="B365" s="754" t="s">
        <v>598</v>
      </c>
      <c r="C365" s="751">
        <v>8500000</v>
      </c>
      <c r="D365" s="727"/>
      <c r="E365" s="134"/>
      <c r="F365" s="134"/>
      <c r="G365" s="181">
        <f>8500000</f>
        <v>8500000</v>
      </c>
      <c r="H365" s="134"/>
      <c r="I365" s="134"/>
      <c r="J365" s="6"/>
      <c r="K365" s="130"/>
    </row>
    <row r="366" spans="1:11" x14ac:dyDescent="0.25">
      <c r="A366" s="749" t="s">
        <v>584</v>
      </c>
      <c r="B366" s="754" t="s">
        <v>583</v>
      </c>
      <c r="C366" s="751">
        <v>17500000</v>
      </c>
      <c r="D366" s="727"/>
      <c r="E366" s="134"/>
      <c r="F366" s="134"/>
      <c r="G366" s="181">
        <f>17500000</f>
        <v>17500000</v>
      </c>
      <c r="H366" s="134"/>
      <c r="I366" s="134"/>
      <c r="J366" s="6"/>
      <c r="K366" s="130"/>
    </row>
    <row r="367" spans="1:11" x14ac:dyDescent="0.25">
      <c r="A367" s="749" t="s">
        <v>275</v>
      </c>
      <c r="B367" s="754" t="s">
        <v>421</v>
      </c>
      <c r="C367" s="751">
        <v>11475000</v>
      </c>
      <c r="D367" s="727" t="e">
        <f>C367/#REF!*100</f>
        <v>#REF!</v>
      </c>
      <c r="E367" s="134"/>
      <c r="F367" s="134"/>
      <c r="G367" s="181">
        <f>11475000</f>
        <v>11475000</v>
      </c>
      <c r="H367" s="134"/>
      <c r="I367" s="134"/>
      <c r="J367" s="6">
        <f t="shared" si="121"/>
        <v>0</v>
      </c>
      <c r="K367" s="130"/>
    </row>
    <row r="368" spans="1:11" x14ac:dyDescent="0.25">
      <c r="A368" s="749" t="s">
        <v>542</v>
      </c>
      <c r="B368" s="316" t="s">
        <v>540</v>
      </c>
      <c r="C368" s="751">
        <v>0</v>
      </c>
      <c r="D368" s="752"/>
      <c r="E368" s="134"/>
      <c r="F368" s="134"/>
      <c r="G368" s="181"/>
      <c r="H368" s="134"/>
      <c r="I368" s="134"/>
      <c r="J368" s="6">
        <f t="shared" si="121"/>
        <v>0</v>
      </c>
      <c r="K368" s="130"/>
    </row>
    <row r="369" spans="1:14" x14ac:dyDescent="0.25">
      <c r="A369" s="70"/>
      <c r="B369" s="164" t="s">
        <v>140</v>
      </c>
      <c r="C369" s="165">
        <f>SUM(C345:C368)</f>
        <v>235000000</v>
      </c>
      <c r="D369" s="166">
        <f>SUM(D345:D356)</f>
        <v>56.876808510638291</v>
      </c>
      <c r="E369" s="134"/>
      <c r="F369" s="134"/>
      <c r="G369" s="837">
        <f>SUM(G345:G368)</f>
        <v>234932360</v>
      </c>
      <c r="H369" s="134"/>
      <c r="I369" s="134"/>
      <c r="J369" s="734">
        <v>67640</v>
      </c>
      <c r="K369" s="40"/>
    </row>
    <row r="370" spans="1:14" x14ac:dyDescent="0.25">
      <c r="A370" s="53"/>
      <c r="B370" s="5"/>
      <c r="C370" s="191"/>
      <c r="D370" s="41"/>
      <c r="E370" s="30"/>
      <c r="F370" s="31"/>
      <c r="G370" s="36"/>
      <c r="H370" s="23"/>
      <c r="I370" s="23"/>
      <c r="J370" s="33"/>
      <c r="K370" s="37"/>
    </row>
    <row r="371" spans="1:14" ht="31.5" x14ac:dyDescent="0.25">
      <c r="A371" s="55"/>
      <c r="B371" s="46" t="s">
        <v>145</v>
      </c>
      <c r="C371" s="155"/>
      <c r="D371" s="44"/>
      <c r="E371" s="45"/>
      <c r="F371" s="45"/>
      <c r="G371" s="48"/>
      <c r="H371" s="45"/>
      <c r="I371" s="45"/>
      <c r="J371" s="44"/>
      <c r="K371" s="44"/>
      <c r="L371" s="1"/>
      <c r="M371" s="1"/>
      <c r="N371" s="1"/>
    </row>
    <row r="372" spans="1:14" x14ac:dyDescent="0.25">
      <c r="A372" s="1119" t="s">
        <v>2</v>
      </c>
      <c r="B372" s="1120" t="s">
        <v>177</v>
      </c>
      <c r="C372" s="1119" t="s">
        <v>4</v>
      </c>
      <c r="D372" s="1121" t="s">
        <v>5</v>
      </c>
      <c r="E372" s="1121"/>
      <c r="F372" s="1121"/>
      <c r="G372" s="1122" t="s">
        <v>6</v>
      </c>
      <c r="H372" s="1122"/>
      <c r="I372" s="1122"/>
      <c r="J372" s="1119" t="s">
        <v>7</v>
      </c>
      <c r="K372" s="289" t="s">
        <v>8</v>
      </c>
    </row>
    <row r="373" spans="1:14" x14ac:dyDescent="0.25">
      <c r="A373" s="1119"/>
      <c r="B373" s="1120"/>
      <c r="C373" s="1119"/>
      <c r="D373" s="289" t="s">
        <v>9</v>
      </c>
      <c r="E373" s="308" t="s">
        <v>10</v>
      </c>
      <c r="F373" s="308" t="s">
        <v>11</v>
      </c>
      <c r="G373" s="309" t="s">
        <v>12</v>
      </c>
      <c r="H373" s="308" t="s">
        <v>13</v>
      </c>
      <c r="I373" s="308" t="s">
        <v>11</v>
      </c>
      <c r="J373" s="1123"/>
      <c r="K373" s="115"/>
    </row>
    <row r="374" spans="1:14" x14ac:dyDescent="0.25">
      <c r="A374" s="1119"/>
      <c r="B374" s="1120"/>
      <c r="C374" s="1119"/>
      <c r="D374" s="118" t="s">
        <v>14</v>
      </c>
      <c r="E374" s="119" t="s">
        <v>14</v>
      </c>
      <c r="F374" s="119" t="s">
        <v>14</v>
      </c>
      <c r="G374" s="120" t="s">
        <v>15</v>
      </c>
      <c r="H374" s="119" t="s">
        <v>14</v>
      </c>
      <c r="I374" s="119" t="s">
        <v>14</v>
      </c>
      <c r="J374" s="118" t="s">
        <v>15</v>
      </c>
      <c r="K374" s="118"/>
    </row>
    <row r="375" spans="1:14" x14ac:dyDescent="0.25">
      <c r="A375" s="79" t="s">
        <v>185</v>
      </c>
      <c r="B375" s="199" t="s">
        <v>146</v>
      </c>
      <c r="C375" s="260"/>
      <c r="D375" s="10"/>
      <c r="E375" s="34"/>
      <c r="F375" s="34"/>
      <c r="G375" s="6"/>
      <c r="H375" s="34"/>
      <c r="I375" s="34"/>
      <c r="J375" s="10"/>
      <c r="K375" s="10"/>
    </row>
    <row r="376" spans="1:14" x14ac:dyDescent="0.25">
      <c r="A376" s="125" t="s">
        <v>184</v>
      </c>
      <c r="B376" s="280" t="s">
        <v>147</v>
      </c>
      <c r="C376" s="131">
        <f>SUM(C377:C378)</f>
        <v>3395640000</v>
      </c>
      <c r="D376" s="10"/>
      <c r="E376" s="34"/>
      <c r="F376" s="34"/>
      <c r="G376" s="6"/>
      <c r="H376" s="34"/>
      <c r="I376" s="34"/>
      <c r="J376" s="10"/>
      <c r="K376" s="10"/>
    </row>
    <row r="377" spans="1:14" ht="25.5" x14ac:dyDescent="0.25">
      <c r="A377" s="313" t="s">
        <v>44</v>
      </c>
      <c r="B377" s="707" t="s">
        <v>384</v>
      </c>
      <c r="C377" s="253">
        <v>35640000</v>
      </c>
      <c r="D377" s="134">
        <f>C377/C376*100</f>
        <v>1.0495812276919816</v>
      </c>
      <c r="E377" s="134">
        <f t="shared" ref="E377:E378" si="122">G377/C377*100</f>
        <v>100</v>
      </c>
      <c r="F377" s="134">
        <f t="shared" ref="F377:F378" si="123">(D377*E377)/100</f>
        <v>1.0495812276919816</v>
      </c>
      <c r="G377" s="181">
        <f>35640000</f>
        <v>35640000</v>
      </c>
      <c r="H377" s="134">
        <f t="shared" ref="H377:H378" si="124">G377/C377*100</f>
        <v>100</v>
      </c>
      <c r="I377" s="134">
        <f t="shared" ref="I377:I378" si="125">(D377*H377)/100</f>
        <v>1.0495812276919816</v>
      </c>
      <c r="J377" s="6">
        <f t="shared" ref="J377:J378" si="126">G377-C377</f>
        <v>0</v>
      </c>
      <c r="K377" s="10"/>
    </row>
    <row r="378" spans="1:14" x14ac:dyDescent="0.25">
      <c r="A378" s="49" t="s">
        <v>148</v>
      </c>
      <c r="B378" s="133" t="s">
        <v>534</v>
      </c>
      <c r="C378" s="256">
        <v>3360000000</v>
      </c>
      <c r="D378" s="134">
        <f>C378/C376*100</f>
        <v>98.950418772308012</v>
      </c>
      <c r="E378" s="134">
        <f t="shared" si="122"/>
        <v>100</v>
      </c>
      <c r="F378" s="134">
        <f t="shared" si="123"/>
        <v>98.950418772307998</v>
      </c>
      <c r="G378" s="181">
        <f>2220557000+1139443000</f>
        <v>3360000000</v>
      </c>
      <c r="H378" s="134">
        <f t="shared" si="124"/>
        <v>100</v>
      </c>
      <c r="I378" s="134">
        <f t="shared" si="125"/>
        <v>98.950418772307998</v>
      </c>
      <c r="J378" s="6">
        <f t="shared" si="126"/>
        <v>0</v>
      </c>
      <c r="K378" s="10"/>
    </row>
    <row r="379" spans="1:14" x14ac:dyDescent="0.25">
      <c r="A379" s="70"/>
      <c r="B379" s="129" t="s">
        <v>95</v>
      </c>
      <c r="C379" s="807">
        <f>SUM(C377:C378)</f>
        <v>3395640000</v>
      </c>
      <c r="D379" s="271">
        <f>SUM(D377:D378)</f>
        <v>100</v>
      </c>
      <c r="E379" s="134"/>
      <c r="F379" s="134"/>
      <c r="G379" s="181">
        <f>SUM(G377:G378)</f>
        <v>3395640000</v>
      </c>
      <c r="H379" s="134"/>
      <c r="I379" s="134"/>
      <c r="J379" s="734"/>
      <c r="K379" s="130"/>
    </row>
    <row r="380" spans="1:14" x14ac:dyDescent="0.25">
      <c r="A380" s="230"/>
      <c r="B380" s="231"/>
      <c r="C380" s="232"/>
      <c r="D380" s="23"/>
      <c r="E380" s="23"/>
      <c r="F380" s="23"/>
      <c r="G380" s="11"/>
      <c r="H380" s="23"/>
      <c r="I380" s="23"/>
      <c r="J380" s="9"/>
      <c r="K380" s="9"/>
    </row>
    <row r="381" spans="1:14" x14ac:dyDescent="0.25">
      <c r="A381" s="1119" t="s">
        <v>2</v>
      </c>
      <c r="B381" s="1120" t="s">
        <v>177</v>
      </c>
      <c r="C381" s="1119" t="s">
        <v>4</v>
      </c>
      <c r="D381" s="1121" t="s">
        <v>5</v>
      </c>
      <c r="E381" s="1121"/>
      <c r="F381" s="1121"/>
      <c r="G381" s="1122" t="s">
        <v>6</v>
      </c>
      <c r="H381" s="1122"/>
      <c r="I381" s="1122"/>
      <c r="J381" s="1119" t="s">
        <v>7</v>
      </c>
      <c r="K381" s="289" t="s">
        <v>8</v>
      </c>
    </row>
    <row r="382" spans="1:14" x14ac:dyDescent="0.25">
      <c r="A382" s="1119"/>
      <c r="B382" s="1120"/>
      <c r="C382" s="1119"/>
      <c r="D382" s="289" t="s">
        <v>9</v>
      </c>
      <c r="E382" s="308" t="s">
        <v>10</v>
      </c>
      <c r="F382" s="308" t="s">
        <v>11</v>
      </c>
      <c r="G382" s="309" t="s">
        <v>12</v>
      </c>
      <c r="H382" s="308" t="s">
        <v>13</v>
      </c>
      <c r="I382" s="308" t="s">
        <v>11</v>
      </c>
      <c r="J382" s="1123"/>
      <c r="K382" s="115"/>
    </row>
    <row r="383" spans="1:14" x14ac:dyDescent="0.25">
      <c r="A383" s="1119"/>
      <c r="B383" s="1120"/>
      <c r="C383" s="1119"/>
      <c r="D383" s="118" t="s">
        <v>14</v>
      </c>
      <c r="E383" s="119" t="s">
        <v>14</v>
      </c>
      <c r="F383" s="119" t="s">
        <v>14</v>
      </c>
      <c r="G383" s="120" t="s">
        <v>15</v>
      </c>
      <c r="H383" s="119" t="s">
        <v>14</v>
      </c>
      <c r="I383" s="119" t="s">
        <v>14</v>
      </c>
      <c r="J383" s="118" t="s">
        <v>15</v>
      </c>
      <c r="K383" s="118"/>
    </row>
    <row r="384" spans="1:14" x14ac:dyDescent="0.25">
      <c r="A384" s="139" t="s">
        <v>185</v>
      </c>
      <c r="B384" s="199" t="s">
        <v>146</v>
      </c>
      <c r="C384" s="24"/>
      <c r="D384" s="10"/>
      <c r="E384" s="34"/>
      <c r="F384" s="34"/>
      <c r="G384" s="6"/>
      <c r="H384" s="34"/>
      <c r="I384" s="34"/>
      <c r="J384" s="10"/>
      <c r="K384" s="10"/>
    </row>
    <row r="385" spans="1:11" x14ac:dyDescent="0.25">
      <c r="A385" s="140" t="s">
        <v>187</v>
      </c>
      <c r="B385" s="280" t="s">
        <v>150</v>
      </c>
      <c r="C385" s="252">
        <f>SUM(C386:C390)</f>
        <v>2057255328</v>
      </c>
      <c r="D385" s="10"/>
      <c r="E385" s="34"/>
      <c r="F385" s="34"/>
      <c r="G385" s="6"/>
      <c r="H385" s="34"/>
      <c r="I385" s="34"/>
      <c r="J385" s="10"/>
      <c r="K385" s="10"/>
    </row>
    <row r="386" spans="1:11" ht="25.5" x14ac:dyDescent="0.25">
      <c r="A386" s="159" t="s">
        <v>44</v>
      </c>
      <c r="B386" s="707" t="s">
        <v>384</v>
      </c>
      <c r="C386" s="253">
        <v>30210000</v>
      </c>
      <c r="D386" s="134">
        <f>C386/C385*100</f>
        <v>1.4684613809880966</v>
      </c>
      <c r="E386" s="134">
        <f t="shared" ref="E386:E389" si="127">G386/C386*100</f>
        <v>97.451175107580269</v>
      </c>
      <c r="F386" s="134">
        <f t="shared" ref="F386:F389" si="128">(D386*E386)/100</f>
        <v>1.4310328717739014</v>
      </c>
      <c r="G386" s="181">
        <f>29440000</f>
        <v>29440000</v>
      </c>
      <c r="H386" s="134">
        <f t="shared" ref="H386:H389" si="129">G386/C386*100</f>
        <v>97.451175107580269</v>
      </c>
      <c r="I386" s="134">
        <f t="shared" ref="I386:I389" si="130">(D386*H386)/100</f>
        <v>1.4310328717739014</v>
      </c>
      <c r="J386" s="6">
        <f t="shared" ref="J386:J390" si="131">G386-C386</f>
        <v>-770000</v>
      </c>
      <c r="K386" s="10"/>
    </row>
    <row r="387" spans="1:11" x14ac:dyDescent="0.25">
      <c r="A387" s="313" t="s">
        <v>59</v>
      </c>
      <c r="B387" s="707" t="s">
        <v>197</v>
      </c>
      <c r="C387" s="253">
        <v>690000</v>
      </c>
      <c r="D387" s="134">
        <f>C387/C385*100</f>
        <v>3.3539832932200815E-2</v>
      </c>
      <c r="E387" s="134">
        <f t="shared" si="127"/>
        <v>100</v>
      </c>
      <c r="F387" s="134">
        <f t="shared" si="128"/>
        <v>3.3539832932200815E-2</v>
      </c>
      <c r="G387" s="181">
        <f>690000</f>
        <v>690000</v>
      </c>
      <c r="H387" s="134">
        <f t="shared" si="129"/>
        <v>100</v>
      </c>
      <c r="I387" s="134">
        <f t="shared" si="130"/>
        <v>3.3539832932200815E-2</v>
      </c>
      <c r="J387" s="6">
        <f t="shared" si="131"/>
        <v>0</v>
      </c>
      <c r="K387" s="10"/>
    </row>
    <row r="388" spans="1:11" x14ac:dyDescent="0.25">
      <c r="A388" s="313" t="s">
        <v>62</v>
      </c>
      <c r="B388" s="133" t="s">
        <v>534</v>
      </c>
      <c r="C388" s="253">
        <v>1440000000</v>
      </c>
      <c r="D388" s="134">
        <f>C388/C385*100</f>
        <v>69.99617307589736</v>
      </c>
      <c r="E388" s="134">
        <f t="shared" si="127"/>
        <v>100</v>
      </c>
      <c r="F388" s="134">
        <f t="shared" si="128"/>
        <v>69.99617307589736</v>
      </c>
      <c r="G388" s="181">
        <f>1440000000</f>
        <v>1440000000</v>
      </c>
      <c r="H388" s="134">
        <f t="shared" si="129"/>
        <v>100</v>
      </c>
      <c r="I388" s="134">
        <f t="shared" si="130"/>
        <v>69.99617307589736</v>
      </c>
      <c r="J388" s="6">
        <f t="shared" si="131"/>
        <v>0</v>
      </c>
      <c r="K388" s="10"/>
    </row>
    <row r="389" spans="1:11" s="725" customFormat="1" ht="25.5" x14ac:dyDescent="0.2">
      <c r="A389" s="723" t="s">
        <v>152</v>
      </c>
      <c r="B389" s="133" t="s">
        <v>153</v>
      </c>
      <c r="C389" s="724">
        <v>576000000</v>
      </c>
      <c r="D389" s="728">
        <f>C389/C385*100</f>
        <v>27.998469230358946</v>
      </c>
      <c r="E389" s="728">
        <f t="shared" si="127"/>
        <v>100</v>
      </c>
      <c r="F389" s="728">
        <f t="shared" si="128"/>
        <v>27.998469230358946</v>
      </c>
      <c r="G389" s="181">
        <f>576000000</f>
        <v>576000000</v>
      </c>
      <c r="H389" s="728">
        <f t="shared" si="129"/>
        <v>100</v>
      </c>
      <c r="I389" s="728">
        <f t="shared" si="130"/>
        <v>27.998469230358946</v>
      </c>
      <c r="J389" s="6">
        <f t="shared" si="131"/>
        <v>0</v>
      </c>
      <c r="K389" s="313"/>
    </row>
    <row r="390" spans="1:11" s="725" customFormat="1" x14ac:dyDescent="0.2">
      <c r="A390" s="749" t="s">
        <v>234</v>
      </c>
      <c r="B390" s="133" t="s">
        <v>522</v>
      </c>
      <c r="C390" s="724">
        <v>10355328</v>
      </c>
      <c r="D390" s="820"/>
      <c r="E390" s="728"/>
      <c r="F390" s="728"/>
      <c r="G390" s="181">
        <f>10085658</f>
        <v>10085658</v>
      </c>
      <c r="H390" s="728"/>
      <c r="I390" s="728"/>
      <c r="J390" s="6">
        <f t="shared" si="131"/>
        <v>-269670</v>
      </c>
      <c r="K390" s="821"/>
    </row>
    <row r="391" spans="1:11" x14ac:dyDescent="0.25">
      <c r="A391" s="70"/>
      <c r="B391" s="129" t="s">
        <v>95</v>
      </c>
      <c r="C391" s="807">
        <f>SUM(C386:C390)</f>
        <v>2057255328</v>
      </c>
      <c r="D391" s="271">
        <f>SUM(D386:D389)</f>
        <v>99.496643520176605</v>
      </c>
      <c r="E391" s="134"/>
      <c r="F391" s="134"/>
      <c r="G391" s="181">
        <f>SUM(G386:G390)</f>
        <v>2056215658</v>
      </c>
      <c r="H391" s="134"/>
      <c r="I391" s="134"/>
      <c r="J391" s="734">
        <v>1039670</v>
      </c>
      <c r="K391" s="130"/>
    </row>
    <row r="392" spans="1:11" x14ac:dyDescent="0.25">
      <c r="A392" s="50"/>
      <c r="B392" s="5"/>
      <c r="C392" s="50"/>
      <c r="D392" s="9"/>
      <c r="E392" s="23"/>
      <c r="F392" s="23"/>
      <c r="G392" s="11"/>
      <c r="H392" s="23"/>
      <c r="I392" s="23"/>
      <c r="J392" s="9"/>
      <c r="K392" s="9"/>
    </row>
    <row r="393" spans="1:11" x14ac:dyDescent="0.25">
      <c r="A393" s="50"/>
      <c r="B393" s="5"/>
      <c r="C393" s="50"/>
      <c r="D393" s="9"/>
      <c r="E393" s="23"/>
      <c r="F393" s="23"/>
      <c r="G393" s="11"/>
      <c r="H393" s="23"/>
      <c r="I393" s="23"/>
      <c r="J393" s="9"/>
      <c r="K393" s="9"/>
    </row>
    <row r="394" spans="1:11" x14ac:dyDescent="0.25">
      <c r="A394" s="1139" t="s">
        <v>2</v>
      </c>
      <c r="B394" s="1142" t="s">
        <v>175</v>
      </c>
      <c r="C394" s="290"/>
      <c r="D394" s="1145" t="s">
        <v>5</v>
      </c>
      <c r="E394" s="1146"/>
      <c r="F394" s="1147"/>
      <c r="G394" s="1148" t="s">
        <v>6</v>
      </c>
      <c r="H394" s="1149"/>
      <c r="I394" s="1150"/>
      <c r="J394" s="1138" t="s">
        <v>7</v>
      </c>
      <c r="K394" s="198" t="s">
        <v>8</v>
      </c>
    </row>
    <row r="395" spans="1:11" x14ac:dyDescent="0.25">
      <c r="A395" s="1140"/>
      <c r="B395" s="1143"/>
      <c r="C395" s="939" t="s">
        <v>4</v>
      </c>
      <c r="D395" s="198" t="s">
        <v>9</v>
      </c>
      <c r="E395" s="310" t="s">
        <v>10</v>
      </c>
      <c r="F395" s="310" t="s">
        <v>11</v>
      </c>
      <c r="G395" s="194" t="s">
        <v>12</v>
      </c>
      <c r="H395" s="193" t="s">
        <v>13</v>
      </c>
      <c r="I395" s="193" t="s">
        <v>11</v>
      </c>
      <c r="J395" s="1151"/>
      <c r="K395" s="192"/>
    </row>
    <row r="396" spans="1:11" x14ac:dyDescent="0.25">
      <c r="A396" s="1141"/>
      <c r="B396" s="1144"/>
      <c r="C396" s="229"/>
      <c r="D396" s="197" t="s">
        <v>14</v>
      </c>
      <c r="E396" s="195" t="s">
        <v>14</v>
      </c>
      <c r="F396" s="195" t="s">
        <v>14</v>
      </c>
      <c r="G396" s="196" t="s">
        <v>15</v>
      </c>
      <c r="H396" s="195" t="s">
        <v>14</v>
      </c>
      <c r="I396" s="195" t="s">
        <v>14</v>
      </c>
      <c r="J396" s="197" t="s">
        <v>15</v>
      </c>
      <c r="K396" s="197"/>
    </row>
    <row r="397" spans="1:11" ht="25.5" x14ac:dyDescent="0.25">
      <c r="A397" s="321" t="s">
        <v>180</v>
      </c>
      <c r="B397" s="696" t="s">
        <v>379</v>
      </c>
      <c r="C397" s="291"/>
      <c r="D397" s="121"/>
      <c r="E397" s="122"/>
      <c r="F397" s="122"/>
      <c r="G397" s="123"/>
      <c r="H397" s="122"/>
      <c r="I397" s="122"/>
      <c r="J397" s="121"/>
      <c r="K397" s="121"/>
    </row>
    <row r="398" spans="1:11" ht="25.5" x14ac:dyDescent="0.25">
      <c r="A398" s="160" t="s">
        <v>181</v>
      </c>
      <c r="B398" s="697" t="s">
        <v>380</v>
      </c>
      <c r="C398" s="261">
        <f>SUM(C399:C418)</f>
        <v>293839000</v>
      </c>
      <c r="D398" s="161"/>
      <c r="E398" s="161"/>
      <c r="F398" s="161"/>
      <c r="G398" s="82"/>
      <c r="H398" s="161"/>
      <c r="I398" s="161"/>
      <c r="J398" s="162"/>
      <c r="K398" s="162"/>
    </row>
    <row r="399" spans="1:11" ht="25.5" x14ac:dyDescent="0.25">
      <c r="A399" s="314" t="s">
        <v>44</v>
      </c>
      <c r="B399" s="707" t="s">
        <v>384</v>
      </c>
      <c r="C399" s="262">
        <v>8580000</v>
      </c>
      <c r="D399" s="134">
        <f>C399/C398*100</f>
        <v>2.9199663761447598</v>
      </c>
      <c r="E399" s="134">
        <f t="shared" ref="E399:E410" si="132">G399/C399*100</f>
        <v>100</v>
      </c>
      <c r="F399" s="134">
        <f t="shared" ref="F399:F410" si="133">(D399*E399)/100</f>
        <v>2.9199663761447594</v>
      </c>
      <c r="G399" s="181">
        <f>8580000</f>
        <v>8580000</v>
      </c>
      <c r="H399" s="134">
        <f t="shared" ref="H399:H410" si="134">G399/C399*100</f>
        <v>100</v>
      </c>
      <c r="I399" s="134">
        <f t="shared" ref="I399:I410" si="135">(D399*H399)/100</f>
        <v>2.9199663761447594</v>
      </c>
      <c r="J399" s="6">
        <f t="shared" ref="J399:J418" si="136">G399-C399</f>
        <v>0</v>
      </c>
      <c r="K399" s="10"/>
    </row>
    <row r="400" spans="1:11" x14ac:dyDescent="0.25">
      <c r="A400" s="314" t="s">
        <v>448</v>
      </c>
      <c r="B400" s="707" t="s">
        <v>578</v>
      </c>
      <c r="C400" s="262">
        <v>1700000</v>
      </c>
      <c r="D400" s="134"/>
      <c r="E400" s="134"/>
      <c r="F400" s="134"/>
      <c r="G400" s="181">
        <f>510000</f>
        <v>510000</v>
      </c>
      <c r="H400" s="134"/>
      <c r="I400" s="134"/>
      <c r="J400" s="6">
        <f t="shared" si="136"/>
        <v>-1190000</v>
      </c>
      <c r="K400" s="10"/>
    </row>
    <row r="401" spans="1:11" x14ac:dyDescent="0.25">
      <c r="A401" s="314" t="s">
        <v>59</v>
      </c>
      <c r="B401" s="707" t="s">
        <v>197</v>
      </c>
      <c r="C401" s="262">
        <v>16992575</v>
      </c>
      <c r="D401" s="134">
        <f>C401/C398*100</f>
        <v>5.7829542708762283</v>
      </c>
      <c r="E401" s="134">
        <f t="shared" si="132"/>
        <v>99.996616169120927</v>
      </c>
      <c r="F401" s="134">
        <f t="shared" si="133"/>
        <v>5.7827585854838874</v>
      </c>
      <c r="G401" s="181">
        <f>16992000</f>
        <v>16992000</v>
      </c>
      <c r="H401" s="134">
        <f t="shared" si="134"/>
        <v>99.996616169120927</v>
      </c>
      <c r="I401" s="134">
        <f t="shared" si="135"/>
        <v>5.7827585854838874</v>
      </c>
      <c r="J401" s="6">
        <f t="shared" si="136"/>
        <v>-575</v>
      </c>
      <c r="K401" s="10"/>
    </row>
    <row r="402" spans="1:11" x14ac:dyDescent="0.25">
      <c r="A402" s="314" t="s">
        <v>62</v>
      </c>
      <c r="B402" s="707" t="s">
        <v>334</v>
      </c>
      <c r="C402" s="262">
        <v>11387825</v>
      </c>
      <c r="D402" s="134">
        <f>C402/C398*100</f>
        <v>3.8755321791865609</v>
      </c>
      <c r="E402" s="134">
        <f t="shared" si="132"/>
        <v>100</v>
      </c>
      <c r="F402" s="134">
        <f t="shared" si="133"/>
        <v>3.8755321791865613</v>
      </c>
      <c r="G402" s="181">
        <f>11387825</f>
        <v>11387825</v>
      </c>
      <c r="H402" s="134">
        <f t="shared" si="134"/>
        <v>100</v>
      </c>
      <c r="I402" s="134">
        <f t="shared" si="135"/>
        <v>3.8755321791865613</v>
      </c>
      <c r="J402" s="6">
        <f t="shared" si="136"/>
        <v>0</v>
      </c>
      <c r="K402" s="10"/>
    </row>
    <row r="403" spans="1:11" x14ac:dyDescent="0.25">
      <c r="A403" s="314" t="s">
        <v>148</v>
      </c>
      <c r="B403" s="133" t="s">
        <v>534</v>
      </c>
      <c r="C403" s="262">
        <v>8000000</v>
      </c>
      <c r="D403" s="134"/>
      <c r="E403" s="134"/>
      <c r="F403" s="134"/>
      <c r="G403" s="181">
        <f>8000000</f>
        <v>8000000</v>
      </c>
      <c r="H403" s="134"/>
      <c r="I403" s="134"/>
      <c r="J403" s="6">
        <f t="shared" si="136"/>
        <v>0</v>
      </c>
      <c r="K403" s="10"/>
    </row>
    <row r="404" spans="1:11" ht="25.5" x14ac:dyDescent="0.25">
      <c r="A404" s="314" t="s">
        <v>605</v>
      </c>
      <c r="B404" s="133" t="s">
        <v>604</v>
      </c>
      <c r="C404" s="262">
        <v>26000000</v>
      </c>
      <c r="D404" s="134"/>
      <c r="E404" s="134"/>
      <c r="F404" s="134"/>
      <c r="G404" s="181">
        <f>26000000</f>
        <v>26000000</v>
      </c>
      <c r="H404" s="134"/>
      <c r="I404" s="134"/>
      <c r="J404" s="6"/>
      <c r="K404" s="10"/>
    </row>
    <row r="405" spans="1:11" x14ac:dyDescent="0.25">
      <c r="A405" s="314" t="s">
        <v>579</v>
      </c>
      <c r="B405" s="133" t="s">
        <v>580</v>
      </c>
      <c r="C405" s="262">
        <v>12350000</v>
      </c>
      <c r="D405" s="134"/>
      <c r="E405" s="134"/>
      <c r="F405" s="134"/>
      <c r="G405" s="181">
        <f>12350000</f>
        <v>12350000</v>
      </c>
      <c r="H405" s="134"/>
      <c r="I405" s="134"/>
      <c r="J405" s="6">
        <f>G405-C405</f>
        <v>0</v>
      </c>
      <c r="K405" s="10"/>
    </row>
    <row r="406" spans="1:11" x14ac:dyDescent="0.25">
      <c r="A406" s="314" t="s">
        <v>194</v>
      </c>
      <c r="B406" s="49" t="s">
        <v>139</v>
      </c>
      <c r="C406" s="263">
        <v>58590000</v>
      </c>
      <c r="D406" s="134">
        <f>C406/C398*100</f>
        <v>19.939490673464039</v>
      </c>
      <c r="E406" s="134">
        <f t="shared" si="132"/>
        <v>100</v>
      </c>
      <c r="F406" s="134">
        <f t="shared" si="133"/>
        <v>19.939490673464039</v>
      </c>
      <c r="G406" s="181">
        <f>58590000</f>
        <v>58590000</v>
      </c>
      <c r="H406" s="134">
        <f t="shared" si="134"/>
        <v>100</v>
      </c>
      <c r="I406" s="134">
        <f t="shared" si="135"/>
        <v>19.939490673464039</v>
      </c>
      <c r="J406" s="6">
        <f t="shared" si="136"/>
        <v>0</v>
      </c>
      <c r="K406" s="10"/>
    </row>
    <row r="407" spans="1:11" x14ac:dyDescent="0.25">
      <c r="A407" s="314" t="s">
        <v>183</v>
      </c>
      <c r="B407" s="49" t="s">
        <v>417</v>
      </c>
      <c r="C407" s="263">
        <v>22850000</v>
      </c>
      <c r="D407" s="134"/>
      <c r="E407" s="134">
        <f t="shared" si="132"/>
        <v>100</v>
      </c>
      <c r="F407" s="134"/>
      <c r="G407" s="181">
        <f>22850000</f>
        <v>22850000</v>
      </c>
      <c r="H407" s="134">
        <f t="shared" si="134"/>
        <v>100</v>
      </c>
      <c r="I407" s="134"/>
      <c r="J407" s="6">
        <f t="shared" si="136"/>
        <v>0</v>
      </c>
      <c r="K407" s="10"/>
    </row>
    <row r="408" spans="1:11" x14ac:dyDescent="0.25">
      <c r="A408" s="322" t="s">
        <v>195</v>
      </c>
      <c r="B408" s="170" t="s">
        <v>179</v>
      </c>
      <c r="C408" s="178">
        <v>24500000</v>
      </c>
      <c r="D408" s="134">
        <f>C408/C398*100</f>
        <v>8.337899325821283</v>
      </c>
      <c r="E408" s="134">
        <f t="shared" si="132"/>
        <v>100</v>
      </c>
      <c r="F408" s="134">
        <f t="shared" si="133"/>
        <v>8.337899325821283</v>
      </c>
      <c r="G408" s="181">
        <f>24500000</f>
        <v>24500000</v>
      </c>
      <c r="H408" s="134">
        <f t="shared" si="134"/>
        <v>100</v>
      </c>
      <c r="I408" s="134">
        <f t="shared" si="135"/>
        <v>8.337899325821283</v>
      </c>
      <c r="J408" s="6">
        <f t="shared" si="136"/>
        <v>0</v>
      </c>
      <c r="K408" s="10"/>
    </row>
    <row r="409" spans="1:11" x14ac:dyDescent="0.25">
      <c r="A409" s="322" t="s">
        <v>62</v>
      </c>
      <c r="B409" s="170" t="s">
        <v>418</v>
      </c>
      <c r="C409" s="178">
        <v>7500000</v>
      </c>
      <c r="D409" s="134"/>
      <c r="E409" s="134"/>
      <c r="F409" s="134"/>
      <c r="G409" s="181">
        <f>7500000</f>
        <v>7500000</v>
      </c>
      <c r="H409" s="134"/>
      <c r="I409" s="134"/>
      <c r="J409" s="6">
        <f t="shared" si="136"/>
        <v>0</v>
      </c>
      <c r="K409" s="10"/>
    </row>
    <row r="410" spans="1:11" ht="25.5" x14ac:dyDescent="0.25">
      <c r="A410" s="314" t="s">
        <v>106</v>
      </c>
      <c r="B410" s="316" t="s">
        <v>375</v>
      </c>
      <c r="C410" s="263">
        <v>26650000</v>
      </c>
      <c r="D410" s="134">
        <f>C410/C398*100</f>
        <v>9.0695925319647834</v>
      </c>
      <c r="E410" s="134">
        <f t="shared" si="132"/>
        <v>100</v>
      </c>
      <c r="F410" s="134">
        <f t="shared" si="133"/>
        <v>9.0695925319647834</v>
      </c>
      <c r="G410" s="181">
        <f>26650000</f>
        <v>26650000</v>
      </c>
      <c r="H410" s="134">
        <f t="shared" si="134"/>
        <v>100</v>
      </c>
      <c r="I410" s="134">
        <f t="shared" si="135"/>
        <v>9.0695925319647834</v>
      </c>
      <c r="J410" s="6">
        <f t="shared" si="136"/>
        <v>0</v>
      </c>
      <c r="K410" s="10"/>
    </row>
    <row r="411" spans="1:11" x14ac:dyDescent="0.25">
      <c r="A411" s="745" t="s">
        <v>162</v>
      </c>
      <c r="B411" s="746" t="s">
        <v>538</v>
      </c>
      <c r="C411" s="263">
        <v>3000000</v>
      </c>
      <c r="D411" s="134"/>
      <c r="E411" s="134"/>
      <c r="F411" s="134"/>
      <c r="G411" s="181">
        <f>3000000</f>
        <v>3000000</v>
      </c>
      <c r="H411" s="134"/>
      <c r="I411" s="134"/>
      <c r="J411" s="6">
        <f t="shared" si="136"/>
        <v>0</v>
      </c>
      <c r="K411" s="10"/>
    </row>
    <row r="412" spans="1:11" x14ac:dyDescent="0.25">
      <c r="A412" s="745" t="s">
        <v>521</v>
      </c>
      <c r="B412" s="746" t="s">
        <v>539</v>
      </c>
      <c r="C412" s="263">
        <v>3000000</v>
      </c>
      <c r="D412" s="134"/>
      <c r="E412" s="134"/>
      <c r="F412" s="134"/>
      <c r="G412" s="181">
        <f>3000000</f>
        <v>3000000</v>
      </c>
      <c r="H412" s="134"/>
      <c r="I412" s="134"/>
      <c r="J412" s="6">
        <f t="shared" si="136"/>
        <v>0</v>
      </c>
      <c r="K412" s="10"/>
    </row>
    <row r="413" spans="1:11" ht="25.5" x14ac:dyDescent="0.25">
      <c r="A413" s="745" t="s">
        <v>116</v>
      </c>
      <c r="B413" s="316" t="s">
        <v>420</v>
      </c>
      <c r="C413" s="263">
        <v>5838600</v>
      </c>
      <c r="D413" s="134"/>
      <c r="E413" s="134"/>
      <c r="F413" s="134"/>
      <c r="G413" s="181">
        <f>5838600</f>
        <v>5838600</v>
      </c>
      <c r="H413" s="134"/>
      <c r="I413" s="134"/>
      <c r="J413" s="6">
        <f t="shared" si="136"/>
        <v>0</v>
      </c>
      <c r="K413" s="10"/>
    </row>
    <row r="414" spans="1:11" x14ac:dyDescent="0.25">
      <c r="A414" s="745" t="s">
        <v>65</v>
      </c>
      <c r="B414" s="754" t="s">
        <v>190</v>
      </c>
      <c r="C414" s="263">
        <v>7000000</v>
      </c>
      <c r="D414" s="134"/>
      <c r="E414" s="134"/>
      <c r="F414" s="134"/>
      <c r="G414" s="181">
        <f>6932360</f>
        <v>6932360</v>
      </c>
      <c r="H414" s="134"/>
      <c r="I414" s="134"/>
      <c r="J414" s="6">
        <f t="shared" si="136"/>
        <v>-67640</v>
      </c>
      <c r="K414" s="10"/>
    </row>
    <row r="415" spans="1:11" x14ac:dyDescent="0.25">
      <c r="A415" s="745" t="s">
        <v>400</v>
      </c>
      <c r="B415" s="754" t="s">
        <v>401</v>
      </c>
      <c r="C415" s="263">
        <v>7000000</v>
      </c>
      <c r="D415" s="134"/>
      <c r="E415" s="134"/>
      <c r="F415" s="134"/>
      <c r="G415" s="181">
        <f>7000000</f>
        <v>7000000</v>
      </c>
      <c r="H415" s="134"/>
      <c r="I415" s="134"/>
      <c r="J415" s="6">
        <f t="shared" si="136"/>
        <v>0</v>
      </c>
      <c r="K415" s="10"/>
    </row>
    <row r="416" spans="1:11" x14ac:dyDescent="0.25">
      <c r="A416" s="745" t="s">
        <v>584</v>
      </c>
      <c r="B416" s="926" t="s">
        <v>583</v>
      </c>
      <c r="C416" s="263">
        <v>17500000</v>
      </c>
      <c r="D416" s="134"/>
      <c r="E416" s="134"/>
      <c r="F416" s="134"/>
      <c r="G416" s="181">
        <f>17500000</f>
        <v>17500000</v>
      </c>
      <c r="H416" s="134"/>
      <c r="I416" s="134"/>
      <c r="J416" s="6"/>
      <c r="K416" s="10"/>
    </row>
    <row r="417" spans="1:14" x14ac:dyDescent="0.25">
      <c r="A417" s="745" t="s">
        <v>301</v>
      </c>
      <c r="B417" s="746" t="s">
        <v>409</v>
      </c>
      <c r="C417" s="263">
        <v>20400000</v>
      </c>
      <c r="D417" s="134">
        <f>C417/C399*100</f>
        <v>237.76223776223776</v>
      </c>
      <c r="E417" s="134"/>
      <c r="F417" s="134"/>
      <c r="G417" s="181">
        <f>20400000</f>
        <v>20400000</v>
      </c>
      <c r="H417" s="134"/>
      <c r="I417" s="134"/>
      <c r="J417" s="6">
        <f t="shared" si="136"/>
        <v>0</v>
      </c>
      <c r="K417" s="10"/>
    </row>
    <row r="418" spans="1:14" x14ac:dyDescent="0.25">
      <c r="A418" s="745" t="s">
        <v>275</v>
      </c>
      <c r="B418" s="316" t="s">
        <v>543</v>
      </c>
      <c r="C418" s="263">
        <v>5000000</v>
      </c>
      <c r="D418" s="134"/>
      <c r="E418" s="134"/>
      <c r="F418" s="134"/>
      <c r="G418" s="181">
        <f>5000000</f>
        <v>5000000</v>
      </c>
      <c r="H418" s="134"/>
      <c r="I418" s="134"/>
      <c r="J418" s="6">
        <f t="shared" si="136"/>
        <v>0</v>
      </c>
      <c r="K418" s="10"/>
    </row>
    <row r="419" spans="1:14" x14ac:dyDescent="0.25">
      <c r="A419" s="1152" t="s">
        <v>95</v>
      </c>
      <c r="B419" s="1154"/>
      <c r="C419" s="822">
        <f>SUM(C399:C418)</f>
        <v>293839000</v>
      </c>
      <c r="D419" s="12">
        <f>SUM(D399:D410)</f>
        <v>49.925435357457658</v>
      </c>
      <c r="E419" s="134"/>
      <c r="F419" s="134"/>
      <c r="G419" s="837">
        <f>SUM(G399:G418)</f>
        <v>292580785</v>
      </c>
      <c r="H419" s="134"/>
      <c r="I419" s="134"/>
      <c r="J419" s="56">
        <v>1258215</v>
      </c>
      <c r="K419" s="3">
        <v>0</v>
      </c>
    </row>
    <row r="420" spans="1:14" x14ac:dyDescent="0.25">
      <c r="A420" s="5"/>
      <c r="B420" s="5"/>
      <c r="C420" s="5"/>
      <c r="D420" s="29"/>
      <c r="E420" s="30"/>
      <c r="F420" s="31"/>
      <c r="G420" s="36"/>
      <c r="H420" s="32"/>
      <c r="I420" s="31"/>
      <c r="J420" s="36"/>
      <c r="K420" s="37"/>
    </row>
    <row r="421" spans="1:14" ht="31.5" x14ac:dyDescent="0.25">
      <c r="A421" s="55"/>
      <c r="B421" s="46" t="s">
        <v>145</v>
      </c>
      <c r="C421" s="155"/>
      <c r="D421" s="44"/>
      <c r="E421" s="45"/>
      <c r="F421" s="45"/>
      <c r="G421" s="48"/>
      <c r="H421" s="45"/>
      <c r="I421" s="45"/>
      <c r="J421" s="44"/>
      <c r="K421" s="44"/>
      <c r="L421" s="1"/>
      <c r="M421" s="1"/>
      <c r="N421" s="1"/>
    </row>
    <row r="422" spans="1:14" x14ac:dyDescent="0.25">
      <c r="A422" s="1133" t="s">
        <v>2</v>
      </c>
      <c r="B422" s="1134" t="s">
        <v>175</v>
      </c>
      <c r="C422" s="1133" t="s">
        <v>4</v>
      </c>
      <c r="D422" s="1135" t="s">
        <v>5</v>
      </c>
      <c r="E422" s="1136"/>
      <c r="F422" s="1136"/>
      <c r="G422" s="1137" t="s">
        <v>6</v>
      </c>
      <c r="H422" s="1136"/>
      <c r="I422" s="1136"/>
      <c r="J422" s="1133" t="s">
        <v>7</v>
      </c>
      <c r="K422" s="198" t="s">
        <v>8</v>
      </c>
    </row>
    <row r="423" spans="1:14" x14ac:dyDescent="0.25">
      <c r="A423" s="1133"/>
      <c r="B423" s="1134"/>
      <c r="C423" s="1133"/>
      <c r="D423" s="198" t="s">
        <v>9</v>
      </c>
      <c r="E423" s="310" t="s">
        <v>10</v>
      </c>
      <c r="F423" s="310" t="s">
        <v>11</v>
      </c>
      <c r="G423" s="311" t="s">
        <v>12</v>
      </c>
      <c r="H423" s="310" t="s">
        <v>13</v>
      </c>
      <c r="I423" s="310" t="s">
        <v>11</v>
      </c>
      <c r="J423" s="1138"/>
      <c r="K423" s="192"/>
    </row>
    <row r="424" spans="1:14" x14ac:dyDescent="0.25">
      <c r="A424" s="1133"/>
      <c r="B424" s="1134"/>
      <c r="C424" s="1133"/>
      <c r="D424" s="197" t="s">
        <v>14</v>
      </c>
      <c r="E424" s="195" t="s">
        <v>14</v>
      </c>
      <c r="F424" s="195" t="s">
        <v>14</v>
      </c>
      <c r="G424" s="196" t="s">
        <v>15</v>
      </c>
      <c r="H424" s="195" t="s">
        <v>14</v>
      </c>
      <c r="I424" s="195" t="s">
        <v>14</v>
      </c>
      <c r="J424" s="197" t="s">
        <v>15</v>
      </c>
      <c r="K424" s="197"/>
    </row>
    <row r="425" spans="1:14" x14ac:dyDescent="0.25">
      <c r="A425" s="79" t="s">
        <v>185</v>
      </c>
      <c r="B425" s="199" t="s">
        <v>146</v>
      </c>
      <c r="C425" s="24"/>
      <c r="D425" s="10"/>
      <c r="E425" s="34"/>
      <c r="F425" s="34"/>
      <c r="G425" s="6"/>
      <c r="H425" s="34"/>
      <c r="I425" s="34"/>
      <c r="J425" s="10"/>
      <c r="K425" s="10"/>
    </row>
    <row r="426" spans="1:14" x14ac:dyDescent="0.25">
      <c r="A426" s="125" t="s">
        <v>184</v>
      </c>
      <c r="B426" s="280" t="s">
        <v>147</v>
      </c>
      <c r="C426" s="252">
        <f>SUM(C427:C428)</f>
        <v>1430900000</v>
      </c>
      <c r="D426" s="10"/>
      <c r="E426" s="34"/>
      <c r="F426" s="34"/>
      <c r="G426" s="6"/>
      <c r="H426" s="34"/>
      <c r="I426" s="34"/>
      <c r="J426" s="10"/>
      <c r="K426" s="10"/>
    </row>
    <row r="427" spans="1:14" ht="25.5" x14ac:dyDescent="0.25">
      <c r="A427" s="154" t="s">
        <v>44</v>
      </c>
      <c r="B427" s="707" t="s">
        <v>384</v>
      </c>
      <c r="C427" s="253">
        <v>30900000</v>
      </c>
      <c r="D427" s="134">
        <f>C427/C426*100</f>
        <v>2.1594800475225382</v>
      </c>
      <c r="E427" s="134">
        <f t="shared" ref="E427:E428" si="137">G427/C427*100</f>
        <v>100</v>
      </c>
      <c r="F427" s="134">
        <f t="shared" ref="F427:F428" si="138">(D427*E427)/100</f>
        <v>2.1594800475225382</v>
      </c>
      <c r="G427" s="181">
        <f>30900000</f>
        <v>30900000</v>
      </c>
      <c r="H427" s="134">
        <f t="shared" ref="H427:H428" si="139">G427/C427*100</f>
        <v>100</v>
      </c>
      <c r="I427" s="134">
        <f t="shared" ref="I427:I428" si="140">(D427*H427)/100</f>
        <v>2.1594800475225382</v>
      </c>
      <c r="J427" s="6">
        <f t="shared" ref="J427:J428" si="141">G427-C427</f>
        <v>0</v>
      </c>
      <c r="K427" s="10"/>
    </row>
    <row r="428" spans="1:14" x14ac:dyDescent="0.25">
      <c r="A428" s="124" t="s">
        <v>148</v>
      </c>
      <c r="B428" s="133" t="s">
        <v>534</v>
      </c>
      <c r="C428" s="256">
        <v>1400000000</v>
      </c>
      <c r="D428" s="134">
        <f>C428/C426*100</f>
        <v>97.840519952477464</v>
      </c>
      <c r="E428" s="134">
        <f t="shared" si="137"/>
        <v>100</v>
      </c>
      <c r="F428" s="134">
        <f t="shared" si="138"/>
        <v>97.840519952477464</v>
      </c>
      <c r="G428" s="181">
        <f>431789463+968210537</f>
        <v>1400000000</v>
      </c>
      <c r="H428" s="134">
        <f t="shared" si="139"/>
        <v>100</v>
      </c>
      <c r="I428" s="134">
        <f t="shared" si="140"/>
        <v>97.840519952477464</v>
      </c>
      <c r="J428" s="6">
        <f t="shared" si="141"/>
        <v>0</v>
      </c>
      <c r="K428" s="10"/>
    </row>
    <row r="429" spans="1:14" x14ac:dyDescent="0.25">
      <c r="A429" s="70"/>
      <c r="B429" s="129" t="s">
        <v>95</v>
      </c>
      <c r="C429" s="807">
        <f>SUM(C427:C428)</f>
        <v>1430900000</v>
      </c>
      <c r="D429" s="271">
        <f>SUM(D427:D428)</f>
        <v>100</v>
      </c>
      <c r="E429" s="134"/>
      <c r="F429" s="134"/>
      <c r="G429" s="181">
        <f>SUM(G427:G428)</f>
        <v>1430900000</v>
      </c>
      <c r="H429" s="134"/>
      <c r="I429" s="134"/>
      <c r="J429" s="56"/>
      <c r="K429" s="130"/>
    </row>
    <row r="430" spans="1:14" x14ac:dyDescent="0.25">
      <c r="A430" s="5"/>
      <c r="B430" s="5"/>
      <c r="C430" s="5"/>
      <c r="D430" s="29"/>
      <c r="E430" s="30"/>
      <c r="F430" s="31"/>
      <c r="G430" s="36"/>
      <c r="H430" s="32"/>
      <c r="I430" s="31"/>
      <c r="J430" s="36"/>
      <c r="K430" s="37"/>
    </row>
    <row r="431" spans="1:14" x14ac:dyDescent="0.25">
      <c r="A431" s="1133" t="s">
        <v>2</v>
      </c>
      <c r="B431" s="1134" t="s">
        <v>175</v>
      </c>
      <c r="C431" s="1133" t="s">
        <v>4</v>
      </c>
      <c r="D431" s="1135" t="s">
        <v>5</v>
      </c>
      <c r="E431" s="1136"/>
      <c r="F431" s="1136"/>
      <c r="G431" s="1137" t="s">
        <v>6</v>
      </c>
      <c r="H431" s="1136"/>
      <c r="I431" s="1136"/>
      <c r="J431" s="1133" t="s">
        <v>7</v>
      </c>
      <c r="K431" s="198" t="s">
        <v>8</v>
      </c>
    </row>
    <row r="432" spans="1:14" x14ac:dyDescent="0.25">
      <c r="A432" s="1133"/>
      <c r="B432" s="1134"/>
      <c r="C432" s="1133"/>
      <c r="D432" s="198" t="s">
        <v>9</v>
      </c>
      <c r="E432" s="310" t="s">
        <v>10</v>
      </c>
      <c r="F432" s="310" t="s">
        <v>11</v>
      </c>
      <c r="G432" s="311" t="s">
        <v>12</v>
      </c>
      <c r="H432" s="310" t="s">
        <v>13</v>
      </c>
      <c r="I432" s="310" t="s">
        <v>11</v>
      </c>
      <c r="J432" s="1138"/>
      <c r="K432" s="192"/>
    </row>
    <row r="433" spans="1:14" x14ac:dyDescent="0.25">
      <c r="A433" s="1133"/>
      <c r="B433" s="1134"/>
      <c r="C433" s="1133"/>
      <c r="D433" s="197" t="s">
        <v>14</v>
      </c>
      <c r="E433" s="195" t="s">
        <v>14</v>
      </c>
      <c r="F433" s="195" t="s">
        <v>14</v>
      </c>
      <c r="G433" s="196" t="s">
        <v>15</v>
      </c>
      <c r="H433" s="195" t="s">
        <v>14</v>
      </c>
      <c r="I433" s="195" t="s">
        <v>14</v>
      </c>
      <c r="J433" s="197" t="s">
        <v>15</v>
      </c>
      <c r="K433" s="197"/>
    </row>
    <row r="434" spans="1:14" x14ac:dyDescent="0.25">
      <c r="A434" s="79" t="s">
        <v>185</v>
      </c>
      <c r="B434" s="199" t="s">
        <v>146</v>
      </c>
      <c r="C434" s="24"/>
      <c r="D434" s="10"/>
      <c r="E434" s="34"/>
      <c r="F434" s="34"/>
      <c r="G434" s="6"/>
      <c r="H434" s="34"/>
      <c r="I434" s="34"/>
      <c r="J434" s="10"/>
      <c r="K434" s="10"/>
    </row>
    <row r="435" spans="1:14" x14ac:dyDescent="0.25">
      <c r="A435" s="125" t="s">
        <v>187</v>
      </c>
      <c r="B435" s="280" t="s">
        <v>156</v>
      </c>
      <c r="C435" s="252">
        <f>SUM(C436:C439)</f>
        <v>870474720</v>
      </c>
      <c r="D435" s="10"/>
      <c r="E435" s="14"/>
      <c r="F435" s="34"/>
      <c r="G435" s="6"/>
      <c r="H435" s="34"/>
      <c r="I435" s="34"/>
      <c r="J435" s="35"/>
      <c r="K435" s="10"/>
    </row>
    <row r="436" spans="1:14" ht="25.5" x14ac:dyDescent="0.25">
      <c r="A436" s="49" t="s">
        <v>59</v>
      </c>
      <c r="B436" s="707" t="s">
        <v>384</v>
      </c>
      <c r="C436" s="256">
        <v>26160000</v>
      </c>
      <c r="D436" s="34">
        <f>C436/C435*100</f>
        <v>3.0052567178516112</v>
      </c>
      <c r="E436" s="134">
        <f t="shared" ref="E436:E438" si="142">G436/C436*100</f>
        <v>100</v>
      </c>
      <c r="F436" s="134">
        <f t="shared" ref="F436:F438" si="143">(D436*E436)/100</f>
        <v>3.0052567178516112</v>
      </c>
      <c r="G436" s="181">
        <f>26160000</f>
        <v>26160000</v>
      </c>
      <c r="H436" s="134">
        <f t="shared" ref="H436:H438" si="144">G436/C436*100</f>
        <v>100</v>
      </c>
      <c r="I436" s="134">
        <f t="shared" ref="I436:I438" si="145">(D436*H436)/100</f>
        <v>3.0052567178516112</v>
      </c>
      <c r="J436" s="6">
        <f t="shared" ref="J436:J439" si="146">G436-C436</f>
        <v>0</v>
      </c>
      <c r="K436" s="10"/>
    </row>
    <row r="437" spans="1:14" x14ac:dyDescent="0.25">
      <c r="A437" s="49" t="s">
        <v>148</v>
      </c>
      <c r="B437" s="133" t="s">
        <v>534</v>
      </c>
      <c r="C437" s="264">
        <v>600000000</v>
      </c>
      <c r="D437" s="134">
        <f>C437/C435*100</f>
        <v>68.927906372743365</v>
      </c>
      <c r="E437" s="134">
        <f t="shared" si="142"/>
        <v>100</v>
      </c>
      <c r="F437" s="134">
        <f t="shared" si="143"/>
        <v>68.927906372743365</v>
      </c>
      <c r="G437" s="181">
        <f>587750000+12250000</f>
        <v>600000000</v>
      </c>
      <c r="H437" s="134">
        <f t="shared" si="144"/>
        <v>100</v>
      </c>
      <c r="I437" s="134">
        <f t="shared" si="145"/>
        <v>68.927906372743365</v>
      </c>
      <c r="J437" s="6">
        <f t="shared" si="146"/>
        <v>0</v>
      </c>
      <c r="K437" s="3"/>
    </row>
    <row r="438" spans="1:14" s="84" customFormat="1" ht="25.5" x14ac:dyDescent="0.2">
      <c r="A438" s="723" t="s">
        <v>152</v>
      </c>
      <c r="B438" s="133" t="s">
        <v>153</v>
      </c>
      <c r="C438" s="264">
        <v>240000000</v>
      </c>
      <c r="D438" s="134">
        <f>C438/C435*100</f>
        <v>27.571162549097352</v>
      </c>
      <c r="E438" s="134">
        <f t="shared" si="142"/>
        <v>100</v>
      </c>
      <c r="F438" s="134">
        <f t="shared" si="143"/>
        <v>27.571162549097352</v>
      </c>
      <c r="G438" s="181">
        <f>240000000</f>
        <v>240000000</v>
      </c>
      <c r="H438" s="134">
        <f t="shared" si="144"/>
        <v>100</v>
      </c>
      <c r="I438" s="134">
        <f t="shared" si="145"/>
        <v>27.571162549097352</v>
      </c>
      <c r="J438" s="6">
        <f t="shared" si="146"/>
        <v>0</v>
      </c>
      <c r="K438" s="85"/>
    </row>
    <row r="439" spans="1:14" s="84" customFormat="1" x14ac:dyDescent="0.2">
      <c r="A439" s="749" t="s">
        <v>234</v>
      </c>
      <c r="B439" s="133" t="s">
        <v>522</v>
      </c>
      <c r="C439" s="264">
        <v>4314720</v>
      </c>
      <c r="D439" s="804"/>
      <c r="E439" s="134"/>
      <c r="F439" s="134"/>
      <c r="G439" s="181">
        <f>4314720</f>
        <v>4314720</v>
      </c>
      <c r="H439" s="134"/>
      <c r="I439" s="134"/>
      <c r="J439" s="6">
        <f t="shared" si="146"/>
        <v>0</v>
      </c>
      <c r="K439" s="823"/>
    </row>
    <row r="440" spans="1:14" x14ac:dyDescent="0.25">
      <c r="A440" s="73"/>
      <c r="B440" s="136" t="s">
        <v>154</v>
      </c>
      <c r="C440" s="824">
        <f>SUM(C436:C439)</f>
        <v>870474720</v>
      </c>
      <c r="D440" s="272">
        <f>SUM(D436:D438)</f>
        <v>99.504325639692325</v>
      </c>
      <c r="E440" s="134"/>
      <c r="F440" s="134"/>
      <c r="G440" s="181">
        <f>SUM(G436:G439)</f>
        <v>870474720</v>
      </c>
      <c r="H440" s="134"/>
      <c r="I440" s="134"/>
      <c r="J440" s="56"/>
      <c r="K440" s="40"/>
    </row>
    <row r="441" spans="1:14" x14ac:dyDescent="0.25">
      <c r="A441" s="50"/>
      <c r="B441" s="5"/>
      <c r="C441" s="50" t="s">
        <v>141</v>
      </c>
      <c r="D441" s="9"/>
      <c r="E441" s="23"/>
      <c r="F441" s="23"/>
      <c r="G441" s="11"/>
      <c r="H441" s="23"/>
      <c r="I441" s="23"/>
      <c r="J441" s="9"/>
      <c r="K441" s="9"/>
    </row>
    <row r="442" spans="1:14" x14ac:dyDescent="0.25">
      <c r="A442" s="50"/>
      <c r="B442" s="5"/>
      <c r="C442" s="50"/>
      <c r="D442" s="9"/>
      <c r="E442" s="23"/>
      <c r="F442" s="23"/>
      <c r="G442" s="11"/>
      <c r="H442" s="23"/>
      <c r="I442" s="23"/>
      <c r="J442" s="9"/>
      <c r="K442" s="9"/>
    </row>
    <row r="443" spans="1:14" x14ac:dyDescent="0.25">
      <c r="A443" s="1123" t="s">
        <v>2</v>
      </c>
      <c r="B443" s="1126" t="s">
        <v>171</v>
      </c>
      <c r="C443" s="1123" t="s">
        <v>4</v>
      </c>
      <c r="D443" s="1155" t="s">
        <v>5</v>
      </c>
      <c r="E443" s="1156"/>
      <c r="F443" s="1157"/>
      <c r="G443" s="1158" t="s">
        <v>6</v>
      </c>
      <c r="H443" s="1159"/>
      <c r="I443" s="1160"/>
      <c r="J443" s="1123" t="s">
        <v>7</v>
      </c>
      <c r="K443" s="289" t="s">
        <v>8</v>
      </c>
    </row>
    <row r="444" spans="1:14" x14ac:dyDescent="0.25">
      <c r="A444" s="1124"/>
      <c r="B444" s="1127"/>
      <c r="C444" s="1124"/>
      <c r="D444" s="289" t="s">
        <v>9</v>
      </c>
      <c r="E444" s="308" t="s">
        <v>10</v>
      </c>
      <c r="F444" s="308" t="s">
        <v>11</v>
      </c>
      <c r="G444" s="309" t="s">
        <v>12</v>
      </c>
      <c r="H444" s="308" t="s">
        <v>13</v>
      </c>
      <c r="I444" s="308" t="s">
        <v>11</v>
      </c>
      <c r="J444" s="1124"/>
      <c r="K444" s="115"/>
    </row>
    <row r="445" spans="1:14" x14ac:dyDescent="0.25">
      <c r="A445" s="1125"/>
      <c r="B445" s="1128"/>
      <c r="C445" s="1125"/>
      <c r="D445" s="118" t="s">
        <v>14</v>
      </c>
      <c r="E445" s="119" t="s">
        <v>14</v>
      </c>
      <c r="F445" s="119" t="s">
        <v>14</v>
      </c>
      <c r="G445" s="120" t="s">
        <v>15</v>
      </c>
      <c r="H445" s="119" t="s">
        <v>14</v>
      </c>
      <c r="I445" s="119" t="s">
        <v>14</v>
      </c>
      <c r="J445" s="118" t="s">
        <v>15</v>
      </c>
      <c r="K445" s="118"/>
    </row>
    <row r="446" spans="1:14" ht="25.5" x14ac:dyDescent="0.25">
      <c r="A446" s="79" t="s">
        <v>180</v>
      </c>
      <c r="B446" s="696" t="s">
        <v>379</v>
      </c>
      <c r="C446" s="128"/>
      <c r="D446" s="10"/>
      <c r="E446" s="34"/>
      <c r="F446" s="34"/>
      <c r="G446" s="6"/>
      <c r="H446" s="34"/>
      <c r="I446" s="34"/>
      <c r="J446" s="10"/>
      <c r="K446" s="10"/>
    </row>
    <row r="447" spans="1:14" ht="25.5" x14ac:dyDescent="0.25">
      <c r="A447" s="158" t="s">
        <v>181</v>
      </c>
      <c r="B447" s="697" t="s">
        <v>380</v>
      </c>
      <c r="C447" s="265">
        <f>SUM(C448:C464)</f>
        <v>235000000</v>
      </c>
      <c r="D447" s="10"/>
      <c r="E447" s="34"/>
      <c r="F447" s="34"/>
      <c r="G447" s="6"/>
      <c r="H447" s="34"/>
      <c r="I447" s="34"/>
      <c r="J447" s="10"/>
      <c r="K447" s="10"/>
    </row>
    <row r="448" spans="1:14" ht="25.5" x14ac:dyDescent="0.25">
      <c r="A448" s="74" t="s">
        <v>44</v>
      </c>
      <c r="B448" s="707" t="s">
        <v>384</v>
      </c>
      <c r="C448" s="266">
        <v>8580000</v>
      </c>
      <c r="D448" s="134">
        <f>C448/C447*100</f>
        <v>3.6510638297872342</v>
      </c>
      <c r="E448" s="134">
        <f t="shared" ref="E448:E458" si="147">G448/C448*100</f>
        <v>100</v>
      </c>
      <c r="F448" s="134">
        <f t="shared" ref="F448:F458" si="148">(D448*E448)/100</f>
        <v>3.6510638297872346</v>
      </c>
      <c r="G448" s="181">
        <f>8580000</f>
        <v>8580000</v>
      </c>
      <c r="H448" s="134">
        <f t="shared" ref="H448:H458" si="149">G448/C448*100</f>
        <v>100</v>
      </c>
      <c r="I448" s="134">
        <f t="shared" ref="I448:I458" si="150">(D448*H448)/100</f>
        <v>3.6510638297872346</v>
      </c>
      <c r="J448" s="6">
        <f t="shared" ref="J448:J461" si="151">G448-C448</f>
        <v>0</v>
      </c>
      <c r="K448" s="10"/>
      <c r="L448" s="1"/>
      <c r="M448" s="1"/>
      <c r="N448" s="25"/>
    </row>
    <row r="449" spans="1:14" x14ac:dyDescent="0.25">
      <c r="A449" s="74" t="s">
        <v>448</v>
      </c>
      <c r="B449" s="707" t="s">
        <v>578</v>
      </c>
      <c r="C449" s="266">
        <v>510000</v>
      </c>
      <c r="D449" s="134"/>
      <c r="E449" s="134"/>
      <c r="F449" s="134"/>
      <c r="G449" s="181">
        <f>510000</f>
        <v>510000</v>
      </c>
      <c r="H449" s="134"/>
      <c r="I449" s="134"/>
      <c r="J449" s="6"/>
      <c r="K449" s="10"/>
      <c r="L449" s="1"/>
      <c r="M449" s="1"/>
      <c r="N449" s="25"/>
    </row>
    <row r="450" spans="1:14" x14ac:dyDescent="0.25">
      <c r="A450" s="74" t="s">
        <v>59</v>
      </c>
      <c r="B450" s="707" t="s">
        <v>197</v>
      </c>
      <c r="C450" s="266">
        <v>14570000</v>
      </c>
      <c r="D450" s="134">
        <f>C450/C447*100</f>
        <v>6.2</v>
      </c>
      <c r="E450" s="134">
        <f t="shared" si="147"/>
        <v>100</v>
      </c>
      <c r="F450" s="134">
        <f t="shared" si="148"/>
        <v>6.2</v>
      </c>
      <c r="G450" s="181">
        <f>14570000</f>
        <v>14570000</v>
      </c>
      <c r="H450" s="134">
        <f t="shared" si="149"/>
        <v>100</v>
      </c>
      <c r="I450" s="134">
        <f t="shared" si="150"/>
        <v>6.2</v>
      </c>
      <c r="J450" s="6">
        <f t="shared" si="151"/>
        <v>0</v>
      </c>
      <c r="K450" s="10"/>
      <c r="L450" s="1"/>
      <c r="M450" s="1"/>
      <c r="N450" s="1"/>
    </row>
    <row r="451" spans="1:14" x14ac:dyDescent="0.25">
      <c r="A451" s="74" t="s">
        <v>62</v>
      </c>
      <c r="B451" s="707" t="s">
        <v>334</v>
      </c>
      <c r="C451" s="266">
        <v>9840000</v>
      </c>
      <c r="D451" s="134">
        <f>C451/C447*100</f>
        <v>4.1872340425531913</v>
      </c>
      <c r="E451" s="134">
        <f t="shared" si="147"/>
        <v>100</v>
      </c>
      <c r="F451" s="134">
        <f t="shared" si="148"/>
        <v>4.1872340425531913</v>
      </c>
      <c r="G451" s="181">
        <f>9840000</f>
        <v>9840000</v>
      </c>
      <c r="H451" s="134">
        <f t="shared" si="149"/>
        <v>100</v>
      </c>
      <c r="I451" s="134">
        <f t="shared" si="150"/>
        <v>4.1872340425531913</v>
      </c>
      <c r="J451" s="6">
        <f t="shared" si="151"/>
        <v>0</v>
      </c>
      <c r="K451" s="10"/>
      <c r="L451" s="1"/>
      <c r="M451" s="1"/>
      <c r="N451" s="1"/>
    </row>
    <row r="452" spans="1:14" ht="25.5" x14ac:dyDescent="0.25">
      <c r="A452" s="49" t="s">
        <v>193</v>
      </c>
      <c r="B452" s="707" t="s">
        <v>537</v>
      </c>
      <c r="C452" s="266">
        <v>5250000</v>
      </c>
      <c r="D452" s="134"/>
      <c r="E452" s="134"/>
      <c r="F452" s="134"/>
      <c r="G452" s="181">
        <f>5250000</f>
        <v>5250000</v>
      </c>
      <c r="H452" s="134"/>
      <c r="I452" s="134"/>
      <c r="J452" s="6">
        <f t="shared" si="151"/>
        <v>0</v>
      </c>
      <c r="K452" s="10"/>
      <c r="L452" s="1"/>
      <c r="M452" s="1"/>
      <c r="N452" s="1"/>
    </row>
    <row r="453" spans="1:14" x14ac:dyDescent="0.25">
      <c r="A453" s="49" t="s">
        <v>148</v>
      </c>
      <c r="B453" s="133" t="s">
        <v>534</v>
      </c>
      <c r="C453" s="266">
        <v>8000000</v>
      </c>
      <c r="D453" s="134"/>
      <c r="E453" s="134"/>
      <c r="F453" s="134"/>
      <c r="G453" s="181">
        <f>8000000</f>
        <v>8000000</v>
      </c>
      <c r="H453" s="134"/>
      <c r="I453" s="134"/>
      <c r="J453" s="6">
        <f t="shared" si="151"/>
        <v>0</v>
      </c>
      <c r="K453" s="10"/>
      <c r="L453" s="1"/>
      <c r="M453" s="1"/>
      <c r="N453" s="1"/>
    </row>
    <row r="454" spans="1:14" x14ac:dyDescent="0.25">
      <c r="A454" s="49" t="s">
        <v>579</v>
      </c>
      <c r="B454" s="133" t="s">
        <v>580</v>
      </c>
      <c r="C454" s="266">
        <v>5100000</v>
      </c>
      <c r="D454" s="134"/>
      <c r="E454" s="134"/>
      <c r="F454" s="134"/>
      <c r="G454" s="181">
        <f>5100000</f>
        <v>5100000</v>
      </c>
      <c r="H454" s="134"/>
      <c r="I454" s="134"/>
      <c r="J454" s="6">
        <f>G454-C454</f>
        <v>0</v>
      </c>
      <c r="K454" s="10"/>
      <c r="L454" s="1"/>
      <c r="M454" s="1"/>
      <c r="N454" s="1"/>
    </row>
    <row r="455" spans="1:14" x14ac:dyDescent="0.25">
      <c r="A455" s="74" t="s">
        <v>77</v>
      </c>
      <c r="B455" s="49" t="s">
        <v>143</v>
      </c>
      <c r="C455" s="266">
        <v>69700000</v>
      </c>
      <c r="D455" s="134">
        <f>C455/C447*100</f>
        <v>29.659574468085104</v>
      </c>
      <c r="E455" s="134">
        <f t="shared" si="147"/>
        <v>100</v>
      </c>
      <c r="F455" s="134">
        <f t="shared" si="148"/>
        <v>29.659574468085101</v>
      </c>
      <c r="G455" s="181">
        <f>69700000</f>
        <v>69700000</v>
      </c>
      <c r="H455" s="134">
        <f t="shared" si="149"/>
        <v>100</v>
      </c>
      <c r="I455" s="134">
        <f t="shared" si="150"/>
        <v>29.659574468085101</v>
      </c>
      <c r="J455" s="6">
        <f t="shared" si="151"/>
        <v>0</v>
      </c>
      <c r="K455" s="10"/>
      <c r="L455" s="1"/>
      <c r="M455" s="1"/>
      <c r="N455" s="1"/>
    </row>
    <row r="456" spans="1:14" x14ac:dyDescent="0.25">
      <c r="A456" s="314" t="s">
        <v>183</v>
      </c>
      <c r="B456" s="49" t="s">
        <v>417</v>
      </c>
      <c r="C456" s="266">
        <v>20150000</v>
      </c>
      <c r="D456" s="134"/>
      <c r="E456" s="134"/>
      <c r="F456" s="134"/>
      <c r="G456" s="181">
        <f>20150000</f>
        <v>20150000</v>
      </c>
      <c r="H456" s="134"/>
      <c r="I456" s="134"/>
      <c r="J456" s="6">
        <f t="shared" si="151"/>
        <v>0</v>
      </c>
      <c r="K456" s="10"/>
      <c r="L456" s="1"/>
      <c r="M456" s="1"/>
      <c r="N456" s="1"/>
    </row>
    <row r="457" spans="1:14" x14ac:dyDescent="0.25">
      <c r="A457" s="74" t="s">
        <v>186</v>
      </c>
      <c r="B457" s="170" t="s">
        <v>182</v>
      </c>
      <c r="C457" s="266">
        <v>31000000</v>
      </c>
      <c r="D457" s="134">
        <f>C457/C447*100</f>
        <v>13.191489361702127</v>
      </c>
      <c r="E457" s="134">
        <f t="shared" si="147"/>
        <v>100</v>
      </c>
      <c r="F457" s="134">
        <f t="shared" si="148"/>
        <v>13.191489361702127</v>
      </c>
      <c r="G457" s="181">
        <f>31000000</f>
        <v>31000000</v>
      </c>
      <c r="H457" s="134">
        <f t="shared" si="149"/>
        <v>100</v>
      </c>
      <c r="I457" s="134">
        <f t="shared" si="150"/>
        <v>13.191489361702127</v>
      </c>
      <c r="J457" s="6">
        <f t="shared" si="151"/>
        <v>0</v>
      </c>
      <c r="K457" s="10"/>
      <c r="L457" s="1"/>
      <c r="M457" s="1"/>
      <c r="N457" s="1"/>
    </row>
    <row r="458" spans="1:14" ht="25.5" x14ac:dyDescent="0.25">
      <c r="A458" s="74" t="s">
        <v>106</v>
      </c>
      <c r="B458" s="316" t="s">
        <v>375</v>
      </c>
      <c r="C458" s="266">
        <v>15300000</v>
      </c>
      <c r="D458" s="134">
        <f>C458/C447*100</f>
        <v>6.5106382978723403</v>
      </c>
      <c r="E458" s="134">
        <f t="shared" si="147"/>
        <v>100</v>
      </c>
      <c r="F458" s="134">
        <f t="shared" si="148"/>
        <v>6.5106382978723403</v>
      </c>
      <c r="G458" s="181">
        <f>15300000</f>
        <v>15300000</v>
      </c>
      <c r="H458" s="134">
        <f t="shared" si="149"/>
        <v>100</v>
      </c>
      <c r="I458" s="134">
        <f t="shared" si="150"/>
        <v>6.5106382978723403</v>
      </c>
      <c r="J458" s="6">
        <f t="shared" si="151"/>
        <v>0</v>
      </c>
      <c r="K458" s="10"/>
      <c r="L458" s="1"/>
      <c r="M458" s="1"/>
      <c r="N458" s="1"/>
    </row>
    <row r="459" spans="1:14" x14ac:dyDescent="0.25">
      <c r="A459" s="755" t="s">
        <v>116</v>
      </c>
      <c r="B459" s="316" t="s">
        <v>538</v>
      </c>
      <c r="C459" s="266">
        <v>2000000</v>
      </c>
      <c r="D459" s="134">
        <f>C459/C448*100</f>
        <v>23.310023310023308</v>
      </c>
      <c r="E459" s="134"/>
      <c r="F459" s="134"/>
      <c r="G459" s="181">
        <f>2000000</f>
        <v>2000000</v>
      </c>
      <c r="H459" s="134"/>
      <c r="I459" s="134"/>
      <c r="J459" s="6">
        <f t="shared" si="151"/>
        <v>0</v>
      </c>
      <c r="K459" s="10"/>
      <c r="L459" s="1"/>
      <c r="M459" s="1"/>
      <c r="N459" s="1"/>
    </row>
    <row r="460" spans="1:14" x14ac:dyDescent="0.25">
      <c r="A460" s="755" t="s">
        <v>521</v>
      </c>
      <c r="B460" s="316" t="s">
        <v>539</v>
      </c>
      <c r="C460" s="266">
        <v>2000000</v>
      </c>
      <c r="D460" s="134"/>
      <c r="E460" s="134"/>
      <c r="F460" s="134"/>
      <c r="G460" s="181">
        <f>2000000</f>
        <v>2000000</v>
      </c>
      <c r="H460" s="134"/>
      <c r="I460" s="134"/>
      <c r="J460" s="6">
        <f t="shared" si="151"/>
        <v>0</v>
      </c>
      <c r="K460" s="10"/>
      <c r="L460" s="1"/>
      <c r="M460" s="1"/>
      <c r="N460" s="1"/>
    </row>
    <row r="461" spans="1:14" x14ac:dyDescent="0.25">
      <c r="A461" s="755" t="s">
        <v>65</v>
      </c>
      <c r="B461" s="316" t="s">
        <v>190</v>
      </c>
      <c r="C461" s="266">
        <v>7000000</v>
      </c>
      <c r="D461" s="134"/>
      <c r="E461" s="134"/>
      <c r="F461" s="134"/>
      <c r="G461" s="181">
        <f>6932360</f>
        <v>6932360</v>
      </c>
      <c r="H461" s="134"/>
      <c r="I461" s="134"/>
      <c r="J461" s="6">
        <f t="shared" si="151"/>
        <v>-67640</v>
      </c>
      <c r="K461" s="10"/>
      <c r="L461" s="1"/>
      <c r="M461" s="1"/>
      <c r="N461" s="1"/>
    </row>
    <row r="462" spans="1:14" x14ac:dyDescent="0.25">
      <c r="A462" s="74" t="s">
        <v>582</v>
      </c>
      <c r="B462" s="316" t="s">
        <v>581</v>
      </c>
      <c r="C462" s="266">
        <v>5000000</v>
      </c>
      <c r="D462" s="134"/>
      <c r="E462" s="134"/>
      <c r="F462" s="134"/>
      <c r="G462" s="181">
        <f>5000000</f>
        <v>5000000</v>
      </c>
      <c r="H462" s="134"/>
      <c r="I462" s="134"/>
      <c r="J462" s="6"/>
      <c r="K462" s="10"/>
      <c r="L462" s="1"/>
      <c r="M462" s="1"/>
      <c r="N462" s="1"/>
    </row>
    <row r="463" spans="1:14" x14ac:dyDescent="0.25">
      <c r="A463" s="74" t="s">
        <v>584</v>
      </c>
      <c r="B463" s="316" t="s">
        <v>583</v>
      </c>
      <c r="C463" s="266">
        <v>17500000</v>
      </c>
      <c r="D463" s="134"/>
      <c r="E463" s="134"/>
      <c r="F463" s="134"/>
      <c r="G463" s="181">
        <f>17500000</f>
        <v>17500000</v>
      </c>
      <c r="H463" s="134"/>
      <c r="I463" s="134"/>
      <c r="J463" s="6"/>
      <c r="K463" s="10"/>
      <c r="L463" s="1"/>
      <c r="M463" s="1"/>
      <c r="N463" s="1"/>
    </row>
    <row r="464" spans="1:14" x14ac:dyDescent="0.25">
      <c r="A464" s="74" t="s">
        <v>586</v>
      </c>
      <c r="B464" s="316" t="s">
        <v>585</v>
      </c>
      <c r="C464" s="266">
        <v>13500000</v>
      </c>
      <c r="D464" s="134"/>
      <c r="E464" s="134"/>
      <c r="F464" s="134"/>
      <c r="G464" s="181">
        <f>13500000</f>
        <v>13500000</v>
      </c>
      <c r="H464" s="134"/>
      <c r="I464" s="134"/>
      <c r="J464" s="6"/>
      <c r="K464" s="10"/>
      <c r="L464" s="1"/>
      <c r="M464" s="1"/>
      <c r="N464" s="1"/>
    </row>
    <row r="465" spans="1:14" x14ac:dyDescent="0.25">
      <c r="A465" s="1152" t="s">
        <v>128</v>
      </c>
      <c r="B465" s="1154"/>
      <c r="C465" s="923">
        <f>SUM(C448:C464)</f>
        <v>235000000</v>
      </c>
      <c r="D465" s="273">
        <f>SUM(D448:D458)</f>
        <v>63.4</v>
      </c>
      <c r="E465" s="134"/>
      <c r="F465" s="134"/>
      <c r="G465" s="13">
        <f>SUM(G448:G464)</f>
        <v>234932360</v>
      </c>
      <c r="H465" s="134"/>
      <c r="I465" s="134"/>
      <c r="J465" s="56">
        <v>67640</v>
      </c>
      <c r="K465" s="12"/>
      <c r="L465" s="9"/>
      <c r="M465" s="9"/>
      <c r="N465" s="9"/>
    </row>
    <row r="466" spans="1:14" x14ac:dyDescent="0.25">
      <c r="A466" s="5"/>
      <c r="B466" s="5"/>
      <c r="C466" s="65"/>
      <c r="D466" s="66"/>
      <c r="E466" s="30"/>
      <c r="F466" s="31"/>
      <c r="G466" s="36"/>
      <c r="H466" s="30"/>
      <c r="I466" s="31"/>
      <c r="J466" s="33"/>
      <c r="K466" s="29"/>
      <c r="L466" s="9"/>
      <c r="M466" s="9"/>
      <c r="N466" s="9"/>
    </row>
    <row r="467" spans="1:14" ht="31.5" x14ac:dyDescent="0.25">
      <c r="A467" s="55"/>
      <c r="B467" s="46" t="s">
        <v>145</v>
      </c>
      <c r="C467" s="155"/>
      <c r="D467" s="44"/>
      <c r="E467" s="45"/>
      <c r="F467" s="45"/>
      <c r="G467" s="48"/>
      <c r="H467" s="45"/>
      <c r="I467" s="45"/>
      <c r="J467" s="44"/>
      <c r="K467" s="44"/>
      <c r="L467" s="1"/>
      <c r="M467" s="1"/>
      <c r="N467" s="1"/>
    </row>
    <row r="468" spans="1:14" x14ac:dyDescent="0.25">
      <c r="A468" s="1119" t="s">
        <v>2</v>
      </c>
      <c r="B468" s="1120" t="s">
        <v>171</v>
      </c>
      <c r="C468" s="1119" t="s">
        <v>4</v>
      </c>
      <c r="D468" s="1121" t="s">
        <v>5</v>
      </c>
      <c r="E468" s="1132"/>
      <c r="F468" s="1132"/>
      <c r="G468" s="1122" t="s">
        <v>6</v>
      </c>
      <c r="H468" s="1132"/>
      <c r="I468" s="1132"/>
      <c r="J468" s="1119" t="s">
        <v>7</v>
      </c>
      <c r="K468" s="289" t="s">
        <v>8</v>
      </c>
      <c r="L468" s="1"/>
      <c r="M468" s="1"/>
    </row>
    <row r="469" spans="1:14" x14ac:dyDescent="0.25">
      <c r="A469" s="1119"/>
      <c r="B469" s="1120"/>
      <c r="C469" s="1119"/>
      <c r="D469" s="289" t="s">
        <v>9</v>
      </c>
      <c r="E469" s="308" t="s">
        <v>10</v>
      </c>
      <c r="F469" s="308" t="s">
        <v>11</v>
      </c>
      <c r="G469" s="309" t="s">
        <v>12</v>
      </c>
      <c r="H469" s="308" t="s">
        <v>13</v>
      </c>
      <c r="I469" s="308" t="s">
        <v>11</v>
      </c>
      <c r="J469" s="1123"/>
      <c r="K469" s="115"/>
      <c r="L469" s="1"/>
      <c r="M469" s="1"/>
    </row>
    <row r="470" spans="1:14" x14ac:dyDescent="0.25">
      <c r="A470" s="1119"/>
      <c r="B470" s="1120"/>
      <c r="C470" s="1119"/>
      <c r="D470" s="118" t="s">
        <v>14</v>
      </c>
      <c r="E470" s="119" t="s">
        <v>14</v>
      </c>
      <c r="F470" s="119" t="s">
        <v>14</v>
      </c>
      <c r="G470" s="120" t="s">
        <v>15</v>
      </c>
      <c r="H470" s="119" t="s">
        <v>14</v>
      </c>
      <c r="I470" s="119" t="s">
        <v>14</v>
      </c>
      <c r="J470" s="118" t="s">
        <v>15</v>
      </c>
      <c r="K470" s="118"/>
      <c r="L470" s="1"/>
      <c r="M470" s="1"/>
    </row>
    <row r="471" spans="1:14" x14ac:dyDescent="0.25">
      <c r="A471" s="79" t="s">
        <v>185</v>
      </c>
      <c r="B471" s="199" t="s">
        <v>146</v>
      </c>
      <c r="C471" s="24"/>
      <c r="D471" s="10"/>
      <c r="E471" s="34"/>
      <c r="F471" s="34"/>
      <c r="G471" s="6"/>
      <c r="H471" s="34"/>
      <c r="I471" s="34"/>
      <c r="J471" s="10"/>
      <c r="K471" s="10"/>
      <c r="L471" s="1"/>
      <c r="M471" s="25"/>
    </row>
    <row r="472" spans="1:14" x14ac:dyDescent="0.25">
      <c r="A472" s="125" t="s">
        <v>184</v>
      </c>
      <c r="B472" s="280" t="s">
        <v>147</v>
      </c>
      <c r="C472" s="252">
        <f>SUM(C473:C474)</f>
        <v>5850440000</v>
      </c>
      <c r="D472" s="10"/>
      <c r="E472" s="34"/>
      <c r="F472" s="34"/>
      <c r="G472" s="6"/>
      <c r="H472" s="34"/>
      <c r="I472" s="34"/>
      <c r="J472" s="10"/>
      <c r="K472" s="10"/>
      <c r="L472" s="1"/>
      <c r="M472" s="1"/>
    </row>
    <row r="473" spans="1:14" x14ac:dyDescent="0.25">
      <c r="A473" s="154" t="s">
        <v>413</v>
      </c>
      <c r="B473" s="707" t="s">
        <v>414</v>
      </c>
      <c r="C473" s="253">
        <v>40440000</v>
      </c>
      <c r="D473" s="134" t="e">
        <f>C473/#REF!*100</f>
        <v>#REF!</v>
      </c>
      <c r="E473" s="134"/>
      <c r="F473" s="134"/>
      <c r="G473" s="181">
        <f>40440000</f>
        <v>40440000</v>
      </c>
      <c r="H473" s="134"/>
      <c r="I473" s="134"/>
      <c r="J473" s="6">
        <f t="shared" ref="J473:J474" si="152">G473-C473</f>
        <v>0</v>
      </c>
      <c r="K473" s="10"/>
      <c r="L473" s="1"/>
      <c r="M473" s="1"/>
    </row>
    <row r="474" spans="1:14" x14ac:dyDescent="0.25">
      <c r="A474" s="124" t="s">
        <v>148</v>
      </c>
      <c r="B474" s="133" t="s">
        <v>534</v>
      </c>
      <c r="C474" s="256">
        <v>5810000000</v>
      </c>
      <c r="D474" s="134">
        <f>C474/C472*100</f>
        <v>99.308769938671276</v>
      </c>
      <c r="E474" s="134">
        <f t="shared" ref="E474" si="153">G474/C474*100</f>
        <v>100</v>
      </c>
      <c r="F474" s="134">
        <f t="shared" ref="F474" si="154">(D474*E474)/100</f>
        <v>99.30876993867129</v>
      </c>
      <c r="G474" s="181">
        <f>2172930000+3637070000</f>
        <v>5810000000</v>
      </c>
      <c r="H474" s="134">
        <f t="shared" ref="H474" si="155">G474/C474*100</f>
        <v>100</v>
      </c>
      <c r="I474" s="134">
        <f t="shared" ref="I474" si="156">(D474*H474)/100</f>
        <v>99.30876993867129</v>
      </c>
      <c r="J474" s="6">
        <f t="shared" si="152"/>
        <v>0</v>
      </c>
      <c r="K474" s="10"/>
      <c r="L474" s="1"/>
      <c r="M474" s="1"/>
    </row>
    <row r="475" spans="1:14" x14ac:dyDescent="0.25">
      <c r="A475" s="72"/>
      <c r="B475" s="136" t="s">
        <v>154</v>
      </c>
      <c r="C475" s="808">
        <f>SUM(C473:C474)</f>
        <v>5850440000</v>
      </c>
      <c r="D475" s="271" t="e">
        <f>SUM(D473:D474)</f>
        <v>#REF!</v>
      </c>
      <c r="E475" s="134"/>
      <c r="F475" s="134"/>
      <c r="G475" s="181">
        <f>SUM(G473:G474)</f>
        <v>5850440000</v>
      </c>
      <c r="H475" s="134"/>
      <c r="I475" s="134"/>
      <c r="J475" s="56">
        <v>0</v>
      </c>
      <c r="K475" s="130"/>
      <c r="L475" s="1"/>
      <c r="M475" s="1"/>
    </row>
    <row r="476" spans="1:14" x14ac:dyDescent="0.25">
      <c r="A476" s="5"/>
      <c r="B476" s="5"/>
      <c r="C476" s="65"/>
      <c r="D476" s="66"/>
      <c r="E476" s="30"/>
      <c r="F476" s="31"/>
      <c r="G476" s="36"/>
      <c r="H476" s="30"/>
      <c r="I476" s="31"/>
      <c r="J476" s="33"/>
      <c r="K476" s="29"/>
      <c r="L476" s="9"/>
      <c r="M476" s="9"/>
      <c r="N476" s="9"/>
    </row>
    <row r="477" spans="1:14" x14ac:dyDescent="0.25">
      <c r="A477" s="1119" t="s">
        <v>2</v>
      </c>
      <c r="B477" s="1120" t="s">
        <v>171</v>
      </c>
      <c r="C477" s="1119" t="s">
        <v>4</v>
      </c>
      <c r="D477" s="1121" t="s">
        <v>5</v>
      </c>
      <c r="E477" s="1132"/>
      <c r="F477" s="1132"/>
      <c r="G477" s="1122" t="s">
        <v>6</v>
      </c>
      <c r="H477" s="1132"/>
      <c r="I477" s="1132"/>
      <c r="J477" s="1119" t="s">
        <v>7</v>
      </c>
      <c r="K477" s="289" t="s">
        <v>8</v>
      </c>
      <c r="L477" s="1"/>
      <c r="M477" s="1"/>
    </row>
    <row r="478" spans="1:14" x14ac:dyDescent="0.25">
      <c r="A478" s="1119"/>
      <c r="B478" s="1120"/>
      <c r="C478" s="1119"/>
      <c r="D478" s="289" t="s">
        <v>9</v>
      </c>
      <c r="E478" s="308" t="s">
        <v>10</v>
      </c>
      <c r="F478" s="308" t="s">
        <v>11</v>
      </c>
      <c r="G478" s="309" t="s">
        <v>12</v>
      </c>
      <c r="H478" s="308" t="s">
        <v>13</v>
      </c>
      <c r="I478" s="308" t="s">
        <v>11</v>
      </c>
      <c r="J478" s="1123"/>
      <c r="K478" s="115"/>
      <c r="L478" s="1"/>
      <c r="M478" s="1"/>
    </row>
    <row r="479" spans="1:14" x14ac:dyDescent="0.25">
      <c r="A479" s="1119"/>
      <c r="B479" s="1120"/>
      <c r="C479" s="1119"/>
      <c r="D479" s="118" t="s">
        <v>14</v>
      </c>
      <c r="E479" s="119" t="s">
        <v>14</v>
      </c>
      <c r="F479" s="119" t="s">
        <v>14</v>
      </c>
      <c r="G479" s="120" t="s">
        <v>15</v>
      </c>
      <c r="H479" s="119" t="s">
        <v>14</v>
      </c>
      <c r="I479" s="119" t="s">
        <v>14</v>
      </c>
      <c r="J479" s="118" t="s">
        <v>15</v>
      </c>
      <c r="K479" s="118"/>
      <c r="L479" s="1"/>
      <c r="M479" s="1"/>
    </row>
    <row r="480" spans="1:14" x14ac:dyDescent="0.25">
      <c r="A480" s="79" t="s">
        <v>185</v>
      </c>
      <c r="B480" s="199" t="s">
        <v>146</v>
      </c>
      <c r="C480" s="24"/>
      <c r="D480" s="10"/>
      <c r="E480" s="34"/>
      <c r="F480" s="34"/>
      <c r="G480" s="6"/>
      <c r="H480" s="34"/>
      <c r="I480" s="34"/>
      <c r="J480" s="10"/>
      <c r="K480" s="10"/>
      <c r="L480" s="1"/>
      <c r="M480" s="1"/>
    </row>
    <row r="481" spans="1:13" x14ac:dyDescent="0.25">
      <c r="A481" s="125" t="s">
        <v>187</v>
      </c>
      <c r="B481" s="280" t="s">
        <v>164</v>
      </c>
      <c r="C481" s="252">
        <f>SUM(C482:C488)</f>
        <v>3593637888</v>
      </c>
      <c r="D481" s="10"/>
      <c r="E481" s="34"/>
      <c r="F481" s="34"/>
      <c r="G481" s="6"/>
      <c r="H481" s="34"/>
      <c r="I481" s="34"/>
      <c r="J481" s="10"/>
      <c r="K481" s="10"/>
      <c r="L481" s="1"/>
      <c r="M481" s="1"/>
    </row>
    <row r="482" spans="1:13" ht="25.5" x14ac:dyDescent="0.25">
      <c r="A482" s="154" t="s">
        <v>44</v>
      </c>
      <c r="B482" s="707" t="s">
        <v>384</v>
      </c>
      <c r="C482" s="253">
        <v>35255000</v>
      </c>
      <c r="D482" s="134">
        <f>C482/C481*100</f>
        <v>0.98103930052954746</v>
      </c>
      <c r="E482" s="134">
        <f t="shared" ref="E482:E485" si="157">G482/C482*100</f>
        <v>100</v>
      </c>
      <c r="F482" s="134">
        <f t="shared" ref="F482:F485" si="158">(D482*E482)/100</f>
        <v>0.98103930052954746</v>
      </c>
      <c r="G482" s="181">
        <f>35255000</f>
        <v>35255000</v>
      </c>
      <c r="H482" s="134">
        <f t="shared" ref="H482:H485" si="159">G482/C482*100</f>
        <v>100</v>
      </c>
      <c r="I482" s="134">
        <f t="shared" ref="I482:I485" si="160">(D482*H482)/100</f>
        <v>0.98103930052954746</v>
      </c>
      <c r="J482" s="6">
        <f t="shared" ref="J482:J486" si="161">G482-C482</f>
        <v>0</v>
      </c>
      <c r="K482" s="10"/>
      <c r="L482" s="1"/>
      <c r="M482" s="1"/>
    </row>
    <row r="483" spans="1:13" x14ac:dyDescent="0.25">
      <c r="A483" s="154" t="s">
        <v>413</v>
      </c>
      <c r="B483" s="707" t="s">
        <v>414</v>
      </c>
      <c r="C483" s="253">
        <v>385000</v>
      </c>
      <c r="D483" s="134"/>
      <c r="E483" s="134"/>
      <c r="F483" s="134"/>
      <c r="G483" s="181">
        <f>385000</f>
        <v>385000</v>
      </c>
      <c r="H483" s="134"/>
      <c r="I483" s="134"/>
      <c r="J483" s="6">
        <f t="shared" si="161"/>
        <v>0</v>
      </c>
      <c r="K483" s="10"/>
      <c r="L483" s="1"/>
      <c r="M483" s="1"/>
    </row>
    <row r="484" spans="1:13" x14ac:dyDescent="0.25">
      <c r="A484" s="124" t="s">
        <v>148</v>
      </c>
      <c r="B484" s="133" t="s">
        <v>534</v>
      </c>
      <c r="C484" s="256">
        <v>2490000000</v>
      </c>
      <c r="D484" s="134">
        <f>C484/C481*100</f>
        <v>69.289118091577734</v>
      </c>
      <c r="E484" s="134">
        <f t="shared" si="157"/>
        <v>99.718040160642573</v>
      </c>
      <c r="F484" s="134">
        <f t="shared" si="158"/>
        <v>69.093750605514543</v>
      </c>
      <c r="G484" s="181">
        <f>1518110000+964869200</f>
        <v>2482979200</v>
      </c>
      <c r="H484" s="134">
        <f t="shared" si="159"/>
        <v>99.718040160642573</v>
      </c>
      <c r="I484" s="134">
        <f t="shared" si="160"/>
        <v>69.093750605514543</v>
      </c>
      <c r="J484" s="6">
        <f t="shared" si="161"/>
        <v>-7020800</v>
      </c>
      <c r="K484" s="10"/>
    </row>
    <row r="485" spans="1:13" s="84" customFormat="1" ht="25.5" x14ac:dyDescent="0.2">
      <c r="A485" s="124" t="s">
        <v>152</v>
      </c>
      <c r="B485" s="133" t="s">
        <v>166</v>
      </c>
      <c r="C485" s="256">
        <v>996000000</v>
      </c>
      <c r="D485" s="134">
        <f>C485/C481*100</f>
        <v>27.715647236631092</v>
      </c>
      <c r="E485" s="134">
        <f t="shared" si="157"/>
        <v>100</v>
      </c>
      <c r="F485" s="134">
        <f t="shared" si="158"/>
        <v>27.715647236631092</v>
      </c>
      <c r="G485" s="181">
        <f>996000000</f>
        <v>996000000</v>
      </c>
      <c r="H485" s="134">
        <f t="shared" si="159"/>
        <v>100</v>
      </c>
      <c r="I485" s="134">
        <f t="shared" si="160"/>
        <v>27.715647236631092</v>
      </c>
      <c r="J485" s="6">
        <f t="shared" si="161"/>
        <v>0</v>
      </c>
      <c r="K485" s="38"/>
    </row>
    <row r="486" spans="1:13" s="84" customFormat="1" ht="25.5" x14ac:dyDescent="0.2">
      <c r="A486" s="825" t="s">
        <v>571</v>
      </c>
      <c r="B486" s="133" t="s">
        <v>569</v>
      </c>
      <c r="C486" s="256">
        <v>52000200</v>
      </c>
      <c r="D486" s="804"/>
      <c r="E486" s="134"/>
      <c r="F486" s="134"/>
      <c r="G486" s="181">
        <f>52000200</f>
        <v>52000200</v>
      </c>
      <c r="H486" s="134"/>
      <c r="I486" s="134"/>
      <c r="J486" s="6">
        <f t="shared" si="161"/>
        <v>0</v>
      </c>
      <c r="K486" s="805"/>
    </row>
    <row r="487" spans="1:13" s="84" customFormat="1" ht="25.5" x14ac:dyDescent="0.2">
      <c r="A487" s="825" t="s">
        <v>572</v>
      </c>
      <c r="B487" s="133" t="s">
        <v>570</v>
      </c>
      <c r="C487" s="256">
        <v>2091600</v>
      </c>
      <c r="D487" s="804"/>
      <c r="E487" s="134"/>
      <c r="F487" s="134"/>
      <c r="G487" s="181">
        <f>2091600</f>
        <v>2091600</v>
      </c>
      <c r="H487" s="134"/>
      <c r="I487" s="134"/>
      <c r="J487" s="6"/>
      <c r="K487" s="805"/>
    </row>
    <row r="488" spans="1:13" s="84" customFormat="1" x14ac:dyDescent="0.2">
      <c r="A488" s="825" t="s">
        <v>234</v>
      </c>
      <c r="B488" s="133" t="s">
        <v>522</v>
      </c>
      <c r="C488" s="256">
        <v>17906088</v>
      </c>
      <c r="D488" s="804"/>
      <c r="E488" s="134"/>
      <c r="F488" s="134"/>
      <c r="G488" s="181">
        <f>17906088</f>
        <v>17906088</v>
      </c>
      <c r="H488" s="134"/>
      <c r="I488" s="134"/>
      <c r="J488" s="6">
        <f t="shared" ref="J488" si="162">G488-C488</f>
        <v>0</v>
      </c>
      <c r="K488" s="805"/>
    </row>
    <row r="489" spans="1:13" x14ac:dyDescent="0.25">
      <c r="A489" s="70"/>
      <c r="B489" s="129" t="s">
        <v>95</v>
      </c>
      <c r="C489" s="807">
        <f>SUM(C482:C488)</f>
        <v>3593637888</v>
      </c>
      <c r="D489" s="271">
        <f>SUM(D482:D485)</f>
        <v>97.985804628738379</v>
      </c>
      <c r="E489" s="134"/>
      <c r="F489" s="134"/>
      <c r="G489" s="181">
        <f>SUM(G482:G488)</f>
        <v>3586617088</v>
      </c>
      <c r="H489" s="134"/>
      <c r="I489" s="134"/>
      <c r="J489" s="181">
        <v>7020800</v>
      </c>
      <c r="K489" s="130"/>
    </row>
    <row r="490" spans="1:13" x14ac:dyDescent="0.25">
      <c r="J490" s="779"/>
    </row>
    <row r="492" spans="1:13" x14ac:dyDescent="0.25">
      <c r="A492" s="50"/>
      <c r="B492" s="5"/>
      <c r="C492" s="50"/>
      <c r="D492" s="29"/>
      <c r="E492" s="30"/>
      <c r="F492" s="31"/>
      <c r="G492" s="36"/>
      <c r="H492" s="32"/>
      <c r="I492" s="31"/>
      <c r="J492" s="36"/>
      <c r="K492" s="37"/>
    </row>
    <row r="493" spans="1:13" x14ac:dyDescent="0.25">
      <c r="A493" s="1"/>
      <c r="B493" s="16" t="s">
        <v>363</v>
      </c>
      <c r="C493" s="61"/>
      <c r="D493" s="1"/>
      <c r="E493" s="1"/>
      <c r="F493" s="1"/>
      <c r="G493" s="1"/>
      <c r="H493" s="1"/>
      <c r="I493" s="18" t="s">
        <v>612</v>
      </c>
      <c r="J493" s="17"/>
      <c r="K493" s="1"/>
    </row>
    <row r="494" spans="1:13" x14ac:dyDescent="0.25">
      <c r="A494" s="1"/>
      <c r="B494" s="19"/>
      <c r="C494" s="62"/>
      <c r="D494" s="1"/>
      <c r="E494" s="1"/>
      <c r="F494" s="1"/>
      <c r="G494" s="1"/>
      <c r="H494" s="1"/>
      <c r="I494" s="63"/>
      <c r="J494" s="16"/>
      <c r="K494" s="1"/>
    </row>
    <row r="495" spans="1:13" x14ac:dyDescent="0.25">
      <c r="A495" s="1"/>
      <c r="B495" s="19"/>
      <c r="C495" s="62"/>
      <c r="D495" s="1"/>
      <c r="E495" s="1"/>
      <c r="F495" s="1"/>
      <c r="G495" s="1"/>
      <c r="H495" s="1"/>
      <c r="I495" s="63"/>
      <c r="J495" s="16"/>
      <c r="K495" s="1"/>
    </row>
    <row r="496" spans="1:13" x14ac:dyDescent="0.25">
      <c r="A496" s="1"/>
      <c r="B496" s="19"/>
      <c r="C496" s="62"/>
      <c r="D496" s="1"/>
      <c r="E496" s="1"/>
      <c r="F496" s="1"/>
      <c r="G496" s="1"/>
      <c r="H496" s="1"/>
      <c r="I496" s="18"/>
      <c r="J496" s="19"/>
      <c r="K496" s="1"/>
    </row>
    <row r="497" spans="1:14" x14ac:dyDescent="0.25">
      <c r="A497" s="1"/>
      <c r="B497" s="75" t="s">
        <v>440</v>
      </c>
      <c r="C497" s="21"/>
      <c r="D497" s="1"/>
      <c r="E497" s="1"/>
      <c r="F497" s="1"/>
      <c r="G497" s="1"/>
      <c r="H497" s="1"/>
      <c r="I497" s="20"/>
      <c r="J497" s="21"/>
      <c r="K497" s="1"/>
    </row>
    <row r="498" spans="1:14" x14ac:dyDescent="0.25">
      <c r="A498" s="1"/>
      <c r="B498" s="739" t="s">
        <v>441</v>
      </c>
      <c r="C498" s="19"/>
      <c r="D498" s="1"/>
      <c r="E498" s="1"/>
      <c r="F498" s="1"/>
      <c r="G498" s="1"/>
      <c r="H498" s="1"/>
      <c r="I498" s="22"/>
      <c r="J498" s="19"/>
      <c r="K498" s="1"/>
    </row>
    <row r="499" spans="1:14" x14ac:dyDescent="0.25">
      <c r="A499" s="5"/>
      <c r="B499" s="5"/>
      <c r="C499" s="65"/>
      <c r="D499" s="66"/>
      <c r="E499" s="30"/>
      <c r="F499" s="31"/>
      <c r="G499" s="36"/>
      <c r="H499" s="30"/>
      <c r="I499" s="31"/>
      <c r="J499" s="33"/>
      <c r="K499" s="29"/>
      <c r="L499" s="9"/>
      <c r="M499" s="9"/>
      <c r="N499" s="9"/>
    </row>
  </sheetData>
  <mergeCells count="149">
    <mergeCell ref="J468:J469"/>
    <mergeCell ref="A477:A479"/>
    <mergeCell ref="B477:B479"/>
    <mergeCell ref="C477:C479"/>
    <mergeCell ref="D477:F477"/>
    <mergeCell ref="G477:I477"/>
    <mergeCell ref="J477:J478"/>
    <mergeCell ref="A465:B465"/>
    <mergeCell ref="A468:A470"/>
    <mergeCell ref="B468:B470"/>
    <mergeCell ref="C468:C470"/>
    <mergeCell ref="D468:F468"/>
    <mergeCell ref="G468:I468"/>
    <mergeCell ref="A443:A445"/>
    <mergeCell ref="B443:B445"/>
    <mergeCell ref="C443:C445"/>
    <mergeCell ref="D443:F443"/>
    <mergeCell ref="G443:I443"/>
    <mergeCell ref="J443:J444"/>
    <mergeCell ref="A431:A433"/>
    <mergeCell ref="B431:B433"/>
    <mergeCell ref="C431:C433"/>
    <mergeCell ref="D431:F431"/>
    <mergeCell ref="G431:I431"/>
    <mergeCell ref="J431:J432"/>
    <mergeCell ref="A422:A424"/>
    <mergeCell ref="B422:B424"/>
    <mergeCell ref="C422:C424"/>
    <mergeCell ref="D422:F422"/>
    <mergeCell ref="G422:I422"/>
    <mergeCell ref="J422:J423"/>
    <mergeCell ref="A394:A396"/>
    <mergeCell ref="B394:B396"/>
    <mergeCell ref="D394:F394"/>
    <mergeCell ref="G394:I394"/>
    <mergeCell ref="J394:J395"/>
    <mergeCell ref="A419:B419"/>
    <mergeCell ref="A381:A383"/>
    <mergeCell ref="B381:B383"/>
    <mergeCell ref="C381:C383"/>
    <mergeCell ref="D381:F381"/>
    <mergeCell ref="G381:I381"/>
    <mergeCell ref="J381:J382"/>
    <mergeCell ref="K340:K342"/>
    <mergeCell ref="A372:A374"/>
    <mergeCell ref="B372:B374"/>
    <mergeCell ref="C372:C374"/>
    <mergeCell ref="D372:F372"/>
    <mergeCell ref="G372:I372"/>
    <mergeCell ref="J372:J373"/>
    <mergeCell ref="A340:A342"/>
    <mergeCell ref="B340:B342"/>
    <mergeCell ref="C340:C342"/>
    <mergeCell ref="D340:F340"/>
    <mergeCell ref="G340:I340"/>
    <mergeCell ref="J340:J341"/>
    <mergeCell ref="A328:A330"/>
    <mergeCell ref="B328:B330"/>
    <mergeCell ref="C328:C330"/>
    <mergeCell ref="D328:F328"/>
    <mergeCell ref="G328:I328"/>
    <mergeCell ref="J328:J329"/>
    <mergeCell ref="K293:K295"/>
    <mergeCell ref="A319:A321"/>
    <mergeCell ref="B319:B321"/>
    <mergeCell ref="C319:C321"/>
    <mergeCell ref="D319:F319"/>
    <mergeCell ref="G319:I319"/>
    <mergeCell ref="J319:J320"/>
    <mergeCell ref="A293:A295"/>
    <mergeCell ref="B293:B295"/>
    <mergeCell ref="C293:C295"/>
    <mergeCell ref="D293:F293"/>
    <mergeCell ref="G293:I293"/>
    <mergeCell ref="J293:J294"/>
    <mergeCell ref="J270:J271"/>
    <mergeCell ref="A279:A281"/>
    <mergeCell ref="B279:B281"/>
    <mergeCell ref="C279:C281"/>
    <mergeCell ref="D279:F279"/>
    <mergeCell ref="G279:I279"/>
    <mergeCell ref="J279:J280"/>
    <mergeCell ref="A246:A248"/>
    <mergeCell ref="B246:B248"/>
    <mergeCell ref="D246:F246"/>
    <mergeCell ref="G246:I246"/>
    <mergeCell ref="J246:J247"/>
    <mergeCell ref="A270:A272"/>
    <mergeCell ref="B270:B272"/>
    <mergeCell ref="C270:C272"/>
    <mergeCell ref="D270:F270"/>
    <mergeCell ref="G270:I270"/>
    <mergeCell ref="A233:A235"/>
    <mergeCell ref="B233:B235"/>
    <mergeCell ref="C233:C235"/>
    <mergeCell ref="D233:F233"/>
    <mergeCell ref="G233:I233"/>
    <mergeCell ref="J233:J234"/>
    <mergeCell ref="A223:A225"/>
    <mergeCell ref="B223:B225"/>
    <mergeCell ref="C223:C225"/>
    <mergeCell ref="D223:F223"/>
    <mergeCell ref="G223:I223"/>
    <mergeCell ref="J223:J224"/>
    <mergeCell ref="A195:A197"/>
    <mergeCell ref="B195:B197"/>
    <mergeCell ref="C195:C197"/>
    <mergeCell ref="D195:F195"/>
    <mergeCell ref="G195:I195"/>
    <mergeCell ref="J195:J196"/>
    <mergeCell ref="A183:A185"/>
    <mergeCell ref="B183:B185"/>
    <mergeCell ref="C183:C185"/>
    <mergeCell ref="D183:F183"/>
    <mergeCell ref="G183:I183"/>
    <mergeCell ref="J183:J184"/>
    <mergeCell ref="K147:K149"/>
    <mergeCell ref="A170:B170"/>
    <mergeCell ref="A173:A175"/>
    <mergeCell ref="B173:B175"/>
    <mergeCell ref="C173:C175"/>
    <mergeCell ref="D173:F173"/>
    <mergeCell ref="G173:I173"/>
    <mergeCell ref="J173:J174"/>
    <mergeCell ref="A144:C144"/>
    <mergeCell ref="A147:A149"/>
    <mergeCell ref="B147:B149"/>
    <mergeCell ref="D147:F147"/>
    <mergeCell ref="G147:I147"/>
    <mergeCell ref="J147:J148"/>
    <mergeCell ref="A98:C98"/>
    <mergeCell ref="A100:K100"/>
    <mergeCell ref="A101:K101"/>
    <mergeCell ref="A102:K102"/>
    <mergeCell ref="A103:A105"/>
    <mergeCell ref="B103:B105"/>
    <mergeCell ref="C103:C105"/>
    <mergeCell ref="D103:F103"/>
    <mergeCell ref="G103:I103"/>
    <mergeCell ref="J103:J104"/>
    <mergeCell ref="A1:K1"/>
    <mergeCell ref="A2:K2"/>
    <mergeCell ref="A3:K3"/>
    <mergeCell ref="A5:A7"/>
    <mergeCell ref="B5:B7"/>
    <mergeCell ref="C5:C7"/>
    <mergeCell ref="D5:F5"/>
    <mergeCell ref="G5:I5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20"/>
  <sheetViews>
    <sheetView topLeftCell="A19" workbookViewId="0">
      <selection activeCell="M41" sqref="M41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2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174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443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758" t="s">
        <v>1</v>
      </c>
      <c r="B4" s="758"/>
      <c r="C4" s="758"/>
      <c r="D4" s="758"/>
      <c r="E4" s="759"/>
      <c r="F4" s="759"/>
      <c r="G4" s="47"/>
      <c r="H4" s="759"/>
      <c r="I4" s="759"/>
      <c r="J4" s="758"/>
      <c r="K4" s="758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C10+C18+C41+C70+C80</f>
        <v>14447345902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200</v>
      </c>
      <c r="B10" s="692" t="s">
        <v>381</v>
      </c>
      <c r="C10" s="718">
        <f>C11+C14</f>
        <v>28296375</v>
      </c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201</v>
      </c>
      <c r="B11" s="719" t="s">
        <v>374</v>
      </c>
      <c r="C11" s="234">
        <f>SUM(C12:C13)</f>
        <v>3694750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x14ac:dyDescent="0.25">
      <c r="A12" s="49" t="s">
        <v>62</v>
      </c>
      <c r="B12" s="707" t="s">
        <v>334</v>
      </c>
      <c r="C12" s="701">
        <v>694750</v>
      </c>
      <c r="D12" s="200">
        <f>C12/C11*100</f>
        <v>18.803707964002978</v>
      </c>
      <c r="E12" s="134">
        <f>G12/C12*100</f>
        <v>100</v>
      </c>
      <c r="F12" s="134">
        <f>(D12*E12)/100</f>
        <v>18.803707964002978</v>
      </c>
      <c r="G12" s="6">
        <v>694750</v>
      </c>
      <c r="H12" s="134">
        <f>G12/C12*100</f>
        <v>100</v>
      </c>
      <c r="I12" s="134">
        <f>(D12*H12)/100</f>
        <v>18.803707964002978</v>
      </c>
      <c r="J12" s="56">
        <v>0</v>
      </c>
      <c r="K12" s="163"/>
      <c r="L12" s="4"/>
      <c r="M12" s="4"/>
      <c r="N12" s="4"/>
      <c r="O12" s="4"/>
      <c r="P12" s="4"/>
      <c r="Q12" s="4"/>
      <c r="R12" s="9"/>
    </row>
    <row r="13" spans="1:18" x14ac:dyDescent="0.25">
      <c r="A13" s="49" t="s">
        <v>391</v>
      </c>
      <c r="B13" s="218" t="s">
        <v>198</v>
      </c>
      <c r="C13" s="701">
        <v>3000000</v>
      </c>
      <c r="D13" s="200"/>
      <c r="E13" s="134"/>
      <c r="F13" s="134"/>
      <c r="G13" s="6">
        <v>3000000</v>
      </c>
      <c r="H13" s="134"/>
      <c r="I13" s="134"/>
      <c r="J13" s="56">
        <v>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205" t="s">
        <v>202</v>
      </c>
      <c r="B14" s="238" t="s">
        <v>196</v>
      </c>
      <c r="C14" s="239">
        <f>SUM(C15:C17)</f>
        <v>24601625</v>
      </c>
      <c r="D14" s="241"/>
      <c r="E14" s="242"/>
      <c r="F14" s="242"/>
      <c r="G14" s="236">
        <v>0</v>
      </c>
      <c r="H14" s="242"/>
      <c r="I14" s="242"/>
      <c r="J14" s="244"/>
      <c r="K14" s="237"/>
      <c r="L14" s="4"/>
      <c r="M14" s="4"/>
      <c r="N14" s="4"/>
      <c r="O14" s="4"/>
      <c r="P14" s="4"/>
      <c r="Q14" s="4"/>
      <c r="R14" s="9"/>
    </row>
    <row r="15" spans="1:18" x14ac:dyDescent="0.25">
      <c r="A15" s="49" t="s">
        <v>59</v>
      </c>
      <c r="B15" s="707" t="s">
        <v>197</v>
      </c>
      <c r="C15" s="56">
        <v>2314125</v>
      </c>
      <c r="D15" s="200">
        <f>C15/C14*100</f>
        <v>9.4063908380035866</v>
      </c>
      <c r="E15" s="134">
        <f>G15/C15*100</f>
        <v>99.994598390320306</v>
      </c>
      <c r="F15" s="134">
        <f t="shared" ref="F15:F17" si="0">(D15*E15)/100</f>
        <v>9.4058827414855717</v>
      </c>
      <c r="G15" s="6">
        <v>2314000</v>
      </c>
      <c r="H15" s="134">
        <f t="shared" ref="H15:H17" si="1">G15/C15*100</f>
        <v>99.994598390320306</v>
      </c>
      <c r="I15" s="134">
        <f t="shared" ref="I15:I17" si="2">(D15*H15)/100</f>
        <v>9.4058827414855717</v>
      </c>
      <c r="J15" s="56">
        <v>125</v>
      </c>
      <c r="K15" s="163"/>
      <c r="L15" s="4"/>
      <c r="M15" s="4"/>
      <c r="N15" s="4"/>
      <c r="O15" s="4"/>
      <c r="P15" s="4"/>
      <c r="Q15" s="4"/>
      <c r="R15" s="9"/>
    </row>
    <row r="16" spans="1:18" ht="16.5" customHeight="1" x14ac:dyDescent="0.25">
      <c r="A16" s="49" t="s">
        <v>62</v>
      </c>
      <c r="B16" s="721" t="s">
        <v>334</v>
      </c>
      <c r="C16" s="56">
        <v>9262500</v>
      </c>
      <c r="D16" s="200">
        <f>C16/C14*100</f>
        <v>37.649951984879046</v>
      </c>
      <c r="E16" s="134">
        <f>G16/C16*100</f>
        <v>95.514170040485837</v>
      </c>
      <c r="F16" s="134">
        <f t="shared" si="0"/>
        <v>35.961039158998645</v>
      </c>
      <c r="G16" s="6">
        <v>8847000</v>
      </c>
      <c r="H16" s="134">
        <f t="shared" si="1"/>
        <v>95.514170040485837</v>
      </c>
      <c r="I16" s="134">
        <f t="shared" si="2"/>
        <v>35.961039158998645</v>
      </c>
      <c r="J16" s="56">
        <v>415000</v>
      </c>
      <c r="K16" s="163"/>
      <c r="L16" s="4"/>
      <c r="M16" s="4"/>
      <c r="N16" s="4"/>
      <c r="O16" s="4"/>
      <c r="P16" s="4"/>
      <c r="Q16" s="4"/>
      <c r="R16" s="9"/>
    </row>
    <row r="17" spans="1:18" ht="15.75" thickBot="1" x14ac:dyDescent="0.3">
      <c r="A17" s="217" t="s">
        <v>77</v>
      </c>
      <c r="B17" s="218" t="s">
        <v>198</v>
      </c>
      <c r="C17" s="219">
        <v>13025000</v>
      </c>
      <c r="D17" s="200">
        <f>C17/C14*100</f>
        <v>52.943657177117366</v>
      </c>
      <c r="E17" s="134">
        <f>G17/C17*100</f>
        <v>99.846449136276391</v>
      </c>
      <c r="F17" s="134">
        <f t="shared" si="0"/>
        <v>52.862361734235037</v>
      </c>
      <c r="G17" s="6">
        <f>9600000+3405000</f>
        <v>13005000</v>
      </c>
      <c r="H17" s="134">
        <f t="shared" si="1"/>
        <v>99.846449136276391</v>
      </c>
      <c r="I17" s="134">
        <f t="shared" si="2"/>
        <v>52.862361734235037</v>
      </c>
      <c r="J17" s="56">
        <v>20000</v>
      </c>
      <c r="K17" s="163"/>
      <c r="L17" s="4"/>
      <c r="M17" s="4"/>
      <c r="N17" s="4"/>
      <c r="O17" s="4"/>
      <c r="P17" s="4"/>
      <c r="Q17" s="4"/>
      <c r="R17" s="9"/>
    </row>
    <row r="18" spans="1:18" ht="15.75" thickBot="1" x14ac:dyDescent="0.3">
      <c r="A18" s="220" t="s">
        <v>230</v>
      </c>
      <c r="B18" s="221" t="s">
        <v>24</v>
      </c>
      <c r="C18" s="222">
        <f>C19+C29+C37</f>
        <v>13364379945</v>
      </c>
      <c r="D18" s="216"/>
      <c r="E18" s="134"/>
      <c r="F18" s="134"/>
      <c r="G18" s="135"/>
      <c r="H18" s="134"/>
      <c r="I18" s="134"/>
      <c r="J18" s="56"/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233" t="s">
        <v>231</v>
      </c>
      <c r="B19" s="233" t="s">
        <v>25</v>
      </c>
      <c r="C19" s="234">
        <f>SUM(C20:C28)</f>
        <v>11570675945</v>
      </c>
      <c r="D19" s="241"/>
      <c r="E19" s="242"/>
      <c r="F19" s="242"/>
      <c r="G19" s="243"/>
      <c r="H19" s="242"/>
      <c r="I19" s="242"/>
      <c r="J19" s="244"/>
      <c r="K19" s="237"/>
      <c r="L19" s="4"/>
      <c r="M19" s="731"/>
      <c r="N19" s="4"/>
      <c r="O19" s="4"/>
      <c r="P19" s="4"/>
      <c r="Q19" s="9"/>
      <c r="R19" s="1"/>
    </row>
    <row r="20" spans="1:18" x14ac:dyDescent="0.25">
      <c r="A20" s="49" t="s">
        <v>26</v>
      </c>
      <c r="B20" s="74" t="s">
        <v>27</v>
      </c>
      <c r="C20" s="56">
        <v>4528224400</v>
      </c>
      <c r="D20" s="200">
        <f>C20/C19*100</f>
        <v>39.135348889939031</v>
      </c>
      <c r="E20" s="134">
        <f>G20/C20*100</f>
        <v>98.519940840387676</v>
      </c>
      <c r="F20" s="134">
        <f t="shared" ref="F20:F28" si="3">(D20*E20)/100</f>
        <v>38.556122574047251</v>
      </c>
      <c r="G20" s="6">
        <f>4461204000</f>
        <v>4461204000</v>
      </c>
      <c r="H20" s="134">
        <f>G20/C20*100</f>
        <v>98.519940840387676</v>
      </c>
      <c r="I20" s="134">
        <f t="shared" ref="I20:I28" si="4">(D20*H20)/100</f>
        <v>38.556122574047251</v>
      </c>
      <c r="J20" s="56">
        <v>66920400</v>
      </c>
      <c r="K20" s="163"/>
      <c r="L20" s="4"/>
      <c r="M20" s="4"/>
      <c r="N20" s="4"/>
      <c r="O20" s="4"/>
      <c r="P20" s="4"/>
      <c r="Q20" s="9"/>
      <c r="R20" s="1"/>
    </row>
    <row r="21" spans="1:18" x14ac:dyDescent="0.25">
      <c r="A21" s="49" t="s">
        <v>28</v>
      </c>
      <c r="B21" s="74" t="s">
        <v>29</v>
      </c>
      <c r="C21" s="201">
        <v>429242968</v>
      </c>
      <c r="D21" s="200">
        <f>C21/C19*100</f>
        <v>3.7097484195423123</v>
      </c>
      <c r="E21" s="134">
        <f t="shared" ref="E21:E28" si="5">G21/C21*100</f>
        <v>98.114448784633325</v>
      </c>
      <c r="F21" s="134">
        <f t="shared" si="3"/>
        <v>3.6397992131305865</v>
      </c>
      <c r="G21" s="6">
        <v>421149372</v>
      </c>
      <c r="H21" s="134">
        <f t="shared" ref="H21:H28" si="6">G21/C21*100</f>
        <v>98.114448784633325</v>
      </c>
      <c r="I21" s="134">
        <f t="shared" si="4"/>
        <v>3.6397992131305865</v>
      </c>
      <c r="J21" s="56">
        <v>8093596</v>
      </c>
      <c r="K21" s="163"/>
      <c r="L21" s="4"/>
      <c r="M21" s="4"/>
      <c r="N21" s="4"/>
      <c r="O21" s="4"/>
      <c r="P21" s="4"/>
      <c r="Q21" s="9"/>
      <c r="R21" s="1"/>
    </row>
    <row r="22" spans="1:18" x14ac:dyDescent="0.25">
      <c r="A22" s="49" t="s">
        <v>30</v>
      </c>
      <c r="B22" s="74" t="s">
        <v>31</v>
      </c>
      <c r="C22" s="201">
        <v>327880000</v>
      </c>
      <c r="D22" s="200">
        <f>C22/C19*100</f>
        <v>2.8337151741051549</v>
      </c>
      <c r="E22" s="134">
        <f t="shared" si="5"/>
        <v>99.081981212638766</v>
      </c>
      <c r="F22" s="134">
        <f t="shared" si="3"/>
        <v>2.8077011364265632</v>
      </c>
      <c r="G22" s="6">
        <v>324870000</v>
      </c>
      <c r="H22" s="134">
        <f t="shared" si="6"/>
        <v>99.081981212638766</v>
      </c>
      <c r="I22" s="134">
        <f t="shared" si="4"/>
        <v>2.8077011364265632</v>
      </c>
      <c r="J22" s="56">
        <v>3010000</v>
      </c>
      <c r="K22" s="163"/>
      <c r="L22" s="4"/>
      <c r="M22" s="4"/>
      <c r="N22" s="4"/>
      <c r="O22" s="4"/>
      <c r="P22" s="4"/>
      <c r="Q22" s="9"/>
      <c r="R22" s="1"/>
    </row>
    <row r="23" spans="1:18" x14ac:dyDescent="0.25">
      <c r="A23" s="49" t="s">
        <v>32</v>
      </c>
      <c r="B23" s="74" t="s">
        <v>33</v>
      </c>
      <c r="C23" s="202">
        <v>17640000</v>
      </c>
      <c r="D23" s="200">
        <f>C23/C19*100</f>
        <v>0.15245436034895368</v>
      </c>
      <c r="E23" s="134">
        <f t="shared" si="5"/>
        <v>100</v>
      </c>
      <c r="F23" s="134">
        <f t="shared" si="3"/>
        <v>0.15245436034895368</v>
      </c>
      <c r="G23" s="6">
        <v>17640000</v>
      </c>
      <c r="H23" s="134">
        <f t="shared" si="6"/>
        <v>100</v>
      </c>
      <c r="I23" s="134">
        <f t="shared" si="4"/>
        <v>0.15245436034895368</v>
      </c>
      <c r="J23" s="56">
        <v>0</v>
      </c>
      <c r="K23" s="163"/>
      <c r="L23" s="4"/>
      <c r="M23" s="4"/>
      <c r="N23" s="4"/>
      <c r="O23" s="4"/>
      <c r="P23" s="4"/>
      <c r="Q23" s="9"/>
      <c r="R23" s="1"/>
    </row>
    <row r="24" spans="1:18" x14ac:dyDescent="0.25">
      <c r="A24" s="49" t="s">
        <v>34</v>
      </c>
      <c r="B24" s="74" t="s">
        <v>35</v>
      </c>
      <c r="C24" s="202">
        <v>111930000</v>
      </c>
      <c r="D24" s="200">
        <f>C24/C19*100</f>
        <v>0.96735921507133693</v>
      </c>
      <c r="E24" s="134">
        <f t="shared" si="5"/>
        <v>97.860269811489317</v>
      </c>
      <c r="F24" s="134">
        <f t="shared" si="3"/>
        <v>0.9466603379151155</v>
      </c>
      <c r="G24" s="6">
        <v>109535000</v>
      </c>
      <c r="H24" s="134">
        <f>G24/C24*100</f>
        <v>97.860269811489317</v>
      </c>
      <c r="I24" s="134">
        <f t="shared" si="4"/>
        <v>0.9466603379151155</v>
      </c>
      <c r="J24" s="56">
        <v>2395000</v>
      </c>
      <c r="K24" s="163"/>
      <c r="L24" s="4"/>
      <c r="M24" s="4"/>
      <c r="N24" s="4"/>
      <c r="O24" s="4"/>
      <c r="P24" s="4"/>
      <c r="Q24" s="9"/>
      <c r="R24" s="1"/>
    </row>
    <row r="25" spans="1:18" x14ac:dyDescent="0.25">
      <c r="A25" s="49" t="s">
        <v>36</v>
      </c>
      <c r="B25" s="74" t="s">
        <v>37</v>
      </c>
      <c r="C25" s="201">
        <v>273747600</v>
      </c>
      <c r="D25" s="200">
        <f>C25/C19*100</f>
        <v>2.3658738806724053</v>
      </c>
      <c r="E25" s="134">
        <f t="shared" si="5"/>
        <v>98.994708994708986</v>
      </c>
      <c r="F25" s="134">
        <f t="shared" si="3"/>
        <v>2.3420899633534762</v>
      </c>
      <c r="G25" s="6">
        <v>270995640</v>
      </c>
      <c r="H25" s="134">
        <f t="shared" si="6"/>
        <v>98.994708994708986</v>
      </c>
      <c r="I25" s="134">
        <f t="shared" si="4"/>
        <v>2.3420899633534762</v>
      </c>
      <c r="J25" s="56">
        <v>2751960</v>
      </c>
      <c r="K25" s="163"/>
      <c r="L25" s="4"/>
      <c r="M25" s="4"/>
      <c r="N25" s="4"/>
      <c r="O25" s="4"/>
      <c r="P25" s="4"/>
      <c r="Q25" s="9"/>
      <c r="R25" s="1"/>
    </row>
    <row r="26" spans="1:18" x14ac:dyDescent="0.25">
      <c r="A26" s="49" t="s">
        <v>38</v>
      </c>
      <c r="B26" s="74" t="s">
        <v>39</v>
      </c>
      <c r="C26" s="201">
        <v>10000000</v>
      </c>
      <c r="D26" s="200">
        <f>C26/C19*100</f>
        <v>8.6425374347479406E-2</v>
      </c>
      <c r="E26" s="134">
        <f t="shared" si="5"/>
        <v>26.187949999999997</v>
      </c>
      <c r="F26" s="134">
        <f t="shared" si="3"/>
        <v>2.2633033821430733E-2</v>
      </c>
      <c r="G26" s="6">
        <v>2618795</v>
      </c>
      <c r="H26" s="134">
        <f t="shared" si="6"/>
        <v>26.187949999999997</v>
      </c>
      <c r="I26" s="134">
        <f t="shared" si="4"/>
        <v>2.2633033821430733E-2</v>
      </c>
      <c r="J26" s="56">
        <v>7381205</v>
      </c>
      <c r="K26" s="163"/>
      <c r="L26" s="4"/>
      <c r="M26" s="4"/>
      <c r="N26" s="4"/>
      <c r="O26" s="4"/>
      <c r="P26" s="4"/>
      <c r="Q26" s="9"/>
      <c r="R26" s="1"/>
    </row>
    <row r="27" spans="1:18" x14ac:dyDescent="0.25">
      <c r="A27" s="49" t="s">
        <v>40</v>
      </c>
      <c r="B27" s="74" t="s">
        <v>41</v>
      </c>
      <c r="C27" s="201">
        <v>55706</v>
      </c>
      <c r="D27" s="200">
        <f>C27/C19*100</f>
        <v>4.8144119034006878E-4</v>
      </c>
      <c r="E27" s="134">
        <f>G27/C27*100</f>
        <v>106.6043155135892</v>
      </c>
      <c r="F27" s="134">
        <f t="shared" si="3"/>
        <v>5.1323708556250645E-4</v>
      </c>
      <c r="G27" s="6">
        <v>59385</v>
      </c>
      <c r="H27" s="134">
        <f>G27/C27*100</f>
        <v>106.6043155135892</v>
      </c>
      <c r="I27" s="134">
        <f t="shared" si="4"/>
        <v>5.1323708556250645E-4</v>
      </c>
      <c r="J27" s="56">
        <v>96321</v>
      </c>
      <c r="K27" s="163"/>
      <c r="L27" s="4"/>
      <c r="M27" s="4"/>
      <c r="N27" s="4"/>
      <c r="O27" s="4"/>
      <c r="P27" s="4"/>
      <c r="Q27" s="9"/>
      <c r="R27" s="1"/>
    </row>
    <row r="28" spans="1:18" x14ac:dyDescent="0.25">
      <c r="A28" s="49" t="s">
        <v>232</v>
      </c>
      <c r="B28" s="74" t="s">
        <v>42</v>
      </c>
      <c r="C28" s="201">
        <v>5871955271</v>
      </c>
      <c r="D28" s="200">
        <f>C28/C19*100</f>
        <v>50.748593244782988</v>
      </c>
      <c r="E28" s="134">
        <f t="shared" si="5"/>
        <v>98.316525119184618</v>
      </c>
      <c r="F28" s="134">
        <f t="shared" si="3"/>
        <v>49.894253425139894</v>
      </c>
      <c r="G28" s="6">
        <v>5773102379</v>
      </c>
      <c r="H28" s="134">
        <f t="shared" si="6"/>
        <v>98.316525119184618</v>
      </c>
      <c r="I28" s="134">
        <f t="shared" si="4"/>
        <v>49.894253425139894</v>
      </c>
      <c r="J28" s="56">
        <v>98852892</v>
      </c>
      <c r="K28" s="163"/>
      <c r="L28" s="738"/>
      <c r="M28" s="4"/>
      <c r="N28" s="4"/>
      <c r="O28" s="4"/>
      <c r="P28" s="4"/>
      <c r="Q28" s="9"/>
      <c r="R28" s="1"/>
    </row>
    <row r="29" spans="1:18" x14ac:dyDescent="0.25">
      <c r="A29" s="238" t="s">
        <v>233</v>
      </c>
      <c r="B29" s="238" t="s">
        <v>390</v>
      </c>
      <c r="C29" s="239">
        <f>SUM(C30:C36)</f>
        <v>1779828000</v>
      </c>
      <c r="D29" s="241"/>
      <c r="E29" s="242"/>
      <c r="F29" s="242"/>
      <c r="G29" s="243"/>
      <c r="H29" s="242"/>
      <c r="I29" s="242"/>
      <c r="J29" s="244"/>
      <c r="K29" s="237"/>
      <c r="L29" s="4"/>
      <c r="M29" s="4"/>
      <c r="N29" s="4"/>
      <c r="O29" s="4"/>
      <c r="P29" s="4"/>
      <c r="Q29" s="9"/>
      <c r="R29" s="1"/>
    </row>
    <row r="30" spans="1:18" ht="15" customHeight="1" x14ac:dyDescent="0.25">
      <c r="A30" s="49" t="s">
        <v>44</v>
      </c>
      <c r="B30" s="707" t="s">
        <v>384</v>
      </c>
      <c r="C30" s="56">
        <v>50550000</v>
      </c>
      <c r="D30" s="200">
        <f>C30/C29*100</f>
        <v>2.8401620830776908</v>
      </c>
      <c r="E30" s="134">
        <f>G30/C30*100</f>
        <v>100</v>
      </c>
      <c r="F30" s="134">
        <f t="shared" ref="F30:F36" si="7">(D30*E30)/100</f>
        <v>2.8401620830776908</v>
      </c>
      <c r="G30" s="135">
        <v>50550000</v>
      </c>
      <c r="H30" s="134">
        <f t="shared" ref="H30:H36" si="8">G30/C30*100</f>
        <v>100</v>
      </c>
      <c r="I30" s="134">
        <f t="shared" ref="I30:I36" si="9">(D30*H30)/100</f>
        <v>2.8401620830776908</v>
      </c>
      <c r="J30" s="56">
        <v>0</v>
      </c>
      <c r="K30" s="163"/>
      <c r="L30" s="4"/>
      <c r="M30" s="4"/>
      <c r="N30" s="4"/>
      <c r="O30" s="4"/>
      <c r="P30" s="4"/>
      <c r="Q30" s="4"/>
      <c r="R30" s="9"/>
    </row>
    <row r="31" spans="1:18" ht="25.5" x14ac:dyDescent="0.25">
      <c r="A31" s="49" t="s">
        <v>106</v>
      </c>
      <c r="B31" s="316" t="s">
        <v>107</v>
      </c>
      <c r="C31" s="56">
        <v>9000000</v>
      </c>
      <c r="D31" s="200"/>
      <c r="E31" s="134"/>
      <c r="F31" s="134"/>
      <c r="G31" s="135">
        <v>9000000</v>
      </c>
      <c r="H31" s="134"/>
      <c r="I31" s="134"/>
      <c r="J31" s="56">
        <v>0</v>
      </c>
      <c r="K31" s="163"/>
      <c r="L31" s="4"/>
      <c r="M31" s="4"/>
      <c r="N31" s="4"/>
      <c r="O31" s="4"/>
      <c r="P31" s="4"/>
      <c r="Q31" s="4"/>
      <c r="R31" s="9"/>
    </row>
    <row r="32" spans="1:18" x14ac:dyDescent="0.25">
      <c r="A32" s="49" t="s">
        <v>46</v>
      </c>
      <c r="B32" s="78" t="s">
        <v>47</v>
      </c>
      <c r="C32" s="56">
        <v>1593683550</v>
      </c>
      <c r="D32" s="200">
        <f>C32/C29*100</f>
        <v>89.54143602640255</v>
      </c>
      <c r="E32" s="134">
        <f>G32/C32*100</f>
        <v>99.324925578857858</v>
      </c>
      <c r="F32" s="134">
        <f t="shared" si="7"/>
        <v>88.936964695464951</v>
      </c>
      <c r="G32" s="135">
        <v>1582925000</v>
      </c>
      <c r="H32" s="134">
        <f t="shared" si="8"/>
        <v>99.324925578857858</v>
      </c>
      <c r="I32" s="134">
        <f t="shared" si="9"/>
        <v>88.936964695464951</v>
      </c>
      <c r="J32" s="56">
        <v>10758550</v>
      </c>
      <c r="K32" s="163"/>
      <c r="L32" s="4"/>
      <c r="M32" s="4"/>
      <c r="N32" s="4"/>
      <c r="O32" s="4"/>
      <c r="P32" s="4"/>
      <c r="Q32" s="4"/>
      <c r="R32" s="9"/>
    </row>
    <row r="33" spans="1:18" x14ac:dyDescent="0.25">
      <c r="A33" s="49" t="s">
        <v>48</v>
      </c>
      <c r="B33" s="78" t="s">
        <v>49</v>
      </c>
      <c r="C33" s="56">
        <v>0</v>
      </c>
      <c r="D33" s="200">
        <f>C33/C29*100</f>
        <v>0</v>
      </c>
      <c r="E33" s="134">
        <v>0</v>
      </c>
      <c r="F33" s="134">
        <f t="shared" si="7"/>
        <v>0</v>
      </c>
      <c r="G33" s="135">
        <v>0</v>
      </c>
      <c r="H33" s="134">
        <v>0</v>
      </c>
      <c r="I33" s="134">
        <f t="shared" si="9"/>
        <v>0</v>
      </c>
      <c r="J33" s="56">
        <v>0</v>
      </c>
      <c r="K33" s="163"/>
      <c r="L33" s="4"/>
      <c r="M33" s="4"/>
      <c r="N33" s="4"/>
      <c r="O33" s="4"/>
      <c r="P33" s="4"/>
      <c r="Q33" s="4"/>
      <c r="R33" s="9"/>
    </row>
    <row r="34" spans="1:18" x14ac:dyDescent="0.25">
      <c r="A34" s="49" t="s">
        <v>50</v>
      </c>
      <c r="B34" s="78" t="s">
        <v>51</v>
      </c>
      <c r="C34" s="56">
        <v>118647000</v>
      </c>
      <c r="D34" s="200">
        <f>C34/C29*100</f>
        <v>6.6662059479904805</v>
      </c>
      <c r="E34" s="134">
        <f t="shared" ref="E34:E36" si="10">G34/C34*100</f>
        <v>88.136619552116784</v>
      </c>
      <c r="F34" s="134">
        <f t="shared" si="7"/>
        <v>5.8753685749409499</v>
      </c>
      <c r="G34" s="135">
        <v>104571455</v>
      </c>
      <c r="H34" s="134">
        <f t="shared" si="8"/>
        <v>88.136619552116784</v>
      </c>
      <c r="I34" s="134">
        <f t="shared" si="9"/>
        <v>5.8753685749409499</v>
      </c>
      <c r="J34" s="56">
        <v>14075545</v>
      </c>
      <c r="K34" s="163"/>
      <c r="L34" s="4"/>
      <c r="M34" s="4"/>
      <c r="N34" s="4"/>
      <c r="O34" s="4"/>
      <c r="P34" s="4"/>
      <c r="Q34" s="4"/>
      <c r="R34" s="9"/>
    </row>
    <row r="35" spans="1:18" x14ac:dyDescent="0.25">
      <c r="A35" s="49" t="s">
        <v>234</v>
      </c>
      <c r="B35" s="78" t="s">
        <v>203</v>
      </c>
      <c r="C35" s="56">
        <v>3532200</v>
      </c>
      <c r="D35" s="200">
        <f>C35/C29*100</f>
        <v>0.19845737902763638</v>
      </c>
      <c r="E35" s="134">
        <f t="shared" si="10"/>
        <v>96.803125530830641</v>
      </c>
      <c r="F35" s="134">
        <f t="shared" si="7"/>
        <v>0.1921129457453192</v>
      </c>
      <c r="G35" s="135">
        <v>3419280</v>
      </c>
      <c r="H35" s="134">
        <f t="shared" si="8"/>
        <v>96.803125530830641</v>
      </c>
      <c r="I35" s="134">
        <f t="shared" si="9"/>
        <v>0.1921129457453192</v>
      </c>
      <c r="J35" s="56">
        <v>112920</v>
      </c>
      <c r="K35" s="163"/>
      <c r="L35" s="4"/>
      <c r="M35" s="4"/>
      <c r="N35" s="4"/>
      <c r="O35" s="4"/>
      <c r="P35" s="4"/>
      <c r="Q35" s="4"/>
      <c r="R35" s="9"/>
    </row>
    <row r="36" spans="1:18" x14ac:dyDescent="0.25">
      <c r="A36" s="49" t="s">
        <v>235</v>
      </c>
      <c r="B36" s="78" t="s">
        <v>204</v>
      </c>
      <c r="C36" s="56">
        <v>4415250</v>
      </c>
      <c r="D36" s="200">
        <f>C36/C29*100</f>
        <v>0.24807172378454545</v>
      </c>
      <c r="E36" s="134">
        <f t="shared" si="10"/>
        <v>96.803125530830641</v>
      </c>
      <c r="F36" s="134">
        <f t="shared" si="7"/>
        <v>0.24014118218164898</v>
      </c>
      <c r="G36" s="135">
        <v>4274100</v>
      </c>
      <c r="H36" s="134">
        <f t="shared" si="8"/>
        <v>96.803125530830641</v>
      </c>
      <c r="I36" s="134">
        <f t="shared" si="9"/>
        <v>0.24014118218164898</v>
      </c>
      <c r="J36" s="56">
        <v>141150</v>
      </c>
      <c r="K36" s="163"/>
      <c r="L36" s="4"/>
      <c r="M36" s="4"/>
      <c r="N36" s="4"/>
      <c r="O36" s="4"/>
      <c r="P36" s="4"/>
      <c r="Q36" s="4"/>
      <c r="R36" s="9"/>
    </row>
    <row r="37" spans="1:18" ht="16.5" customHeight="1" x14ac:dyDescent="0.25">
      <c r="A37" s="238" t="s">
        <v>236</v>
      </c>
      <c r="B37" s="706" t="s">
        <v>205</v>
      </c>
      <c r="C37" s="239">
        <f>SUM(C38:C40)</f>
        <v>13876000</v>
      </c>
      <c r="D37" s="241"/>
      <c r="E37" s="242"/>
      <c r="F37" s="242"/>
      <c r="G37" s="243"/>
      <c r="H37" s="242"/>
      <c r="I37" s="242"/>
      <c r="J37" s="244"/>
      <c r="K37" s="237"/>
      <c r="L37" s="4"/>
      <c r="M37" s="4"/>
      <c r="N37" s="4"/>
      <c r="O37" s="4"/>
      <c r="P37" s="4"/>
      <c r="Q37" s="4"/>
      <c r="R37" s="9"/>
    </row>
    <row r="38" spans="1:18" x14ac:dyDescent="0.25">
      <c r="A38" s="49" t="s">
        <v>59</v>
      </c>
      <c r="B38" s="707" t="s">
        <v>197</v>
      </c>
      <c r="C38" s="56">
        <v>3496000</v>
      </c>
      <c r="D38" s="200">
        <f>C38/C37*100</f>
        <v>25.194580570769677</v>
      </c>
      <c r="E38" s="134">
        <f t="shared" ref="E38:E40" si="11">G38/C38*100</f>
        <v>100</v>
      </c>
      <c r="F38" s="134">
        <f t="shared" ref="F38:F40" si="12">(D38*E38)/100</f>
        <v>25.194580570769677</v>
      </c>
      <c r="G38" s="135">
        <v>3496000</v>
      </c>
      <c r="H38" s="134">
        <f t="shared" ref="H38:H40" si="13">G38/C38*100</f>
        <v>100</v>
      </c>
      <c r="I38" s="134">
        <f t="shared" ref="I38:I40" si="14">(D38*H38)/100</f>
        <v>25.194580570769677</v>
      </c>
      <c r="J38" s="56">
        <v>0</v>
      </c>
      <c r="K38" s="163"/>
      <c r="L38" s="4"/>
      <c r="M38" s="4"/>
      <c r="N38" s="4"/>
      <c r="O38" s="4"/>
      <c r="P38" s="4"/>
      <c r="Q38" s="4"/>
      <c r="R38" s="9"/>
    </row>
    <row r="39" spans="1:18" x14ac:dyDescent="0.25">
      <c r="A39" s="49" t="s">
        <v>62</v>
      </c>
      <c r="B39" s="707" t="s">
        <v>334</v>
      </c>
      <c r="C39" s="56">
        <v>2340000</v>
      </c>
      <c r="D39" s="200">
        <f>C39/C37*100</f>
        <v>16.863649466705102</v>
      </c>
      <c r="E39" s="134">
        <f t="shared" si="11"/>
        <v>100</v>
      </c>
      <c r="F39" s="134">
        <f t="shared" si="12"/>
        <v>16.863649466705102</v>
      </c>
      <c r="G39" s="135">
        <v>2340000</v>
      </c>
      <c r="H39" s="134">
        <f t="shared" si="13"/>
        <v>100</v>
      </c>
      <c r="I39" s="134">
        <f t="shared" si="14"/>
        <v>16.863649466705102</v>
      </c>
      <c r="J39" s="56">
        <v>0</v>
      </c>
      <c r="K39" s="163"/>
      <c r="L39" s="4"/>
      <c r="M39" s="4"/>
      <c r="N39" s="4"/>
      <c r="O39" s="4"/>
      <c r="P39" s="4"/>
      <c r="Q39" s="4"/>
      <c r="R39" s="9"/>
    </row>
    <row r="40" spans="1:18" ht="15.75" thickBot="1" x14ac:dyDescent="0.3">
      <c r="A40" s="217" t="s">
        <v>77</v>
      </c>
      <c r="B40" s="218" t="s">
        <v>198</v>
      </c>
      <c r="C40" s="219">
        <v>8040000</v>
      </c>
      <c r="D40" s="200">
        <f>C40/C37*100</f>
        <v>57.941769962525228</v>
      </c>
      <c r="E40" s="134">
        <f t="shared" si="11"/>
        <v>100</v>
      </c>
      <c r="F40" s="134">
        <f t="shared" si="12"/>
        <v>57.941769962525228</v>
      </c>
      <c r="G40" s="135">
        <v>8040000</v>
      </c>
      <c r="H40" s="134">
        <f t="shared" si="13"/>
        <v>100</v>
      </c>
      <c r="I40" s="134">
        <f t="shared" si="14"/>
        <v>57.941769962525228</v>
      </c>
      <c r="J40" s="56">
        <v>0</v>
      </c>
      <c r="K40" s="163"/>
      <c r="L40" s="4"/>
      <c r="M40" s="4"/>
      <c r="N40" s="4"/>
      <c r="O40" s="4"/>
      <c r="P40" s="4"/>
      <c r="Q40" s="4"/>
      <c r="R40" s="9"/>
    </row>
    <row r="41" spans="1:18" ht="15.75" thickBot="1" x14ac:dyDescent="0.3">
      <c r="A41" s="220" t="s">
        <v>237</v>
      </c>
      <c r="B41" s="225" t="s">
        <v>52</v>
      </c>
      <c r="C41" s="222">
        <f>C42+C44+C62+C65+C67</f>
        <v>458152100</v>
      </c>
      <c r="D41" s="216"/>
      <c r="E41" s="134"/>
      <c r="F41" s="134"/>
      <c r="G41" s="135"/>
      <c r="H41" s="134"/>
      <c r="I41" s="134"/>
      <c r="J41" s="56"/>
      <c r="K41" s="163"/>
      <c r="L41" s="4"/>
      <c r="M41" s="4"/>
      <c r="N41" s="4"/>
      <c r="O41" s="4"/>
      <c r="P41" s="4"/>
      <c r="Q41" s="4"/>
      <c r="R41" s="9"/>
    </row>
    <row r="42" spans="1:18" ht="26.25" x14ac:dyDescent="0.25">
      <c r="A42" s="233" t="s">
        <v>238</v>
      </c>
      <c r="B42" s="691" t="s">
        <v>382</v>
      </c>
      <c r="C42" s="234">
        <v>13476500</v>
      </c>
      <c r="D42" s="241"/>
      <c r="E42" s="242"/>
      <c r="F42" s="242"/>
      <c r="G42" s="243"/>
      <c r="H42" s="242"/>
      <c r="I42" s="242"/>
      <c r="J42" s="244"/>
      <c r="K42" s="237"/>
      <c r="L42" s="4"/>
      <c r="M42" s="4"/>
      <c r="N42" s="4"/>
      <c r="O42" s="713"/>
      <c r="P42" s="4"/>
      <c r="Q42" s="4"/>
      <c r="R42" s="9"/>
    </row>
    <row r="43" spans="1:18" x14ac:dyDescent="0.25">
      <c r="A43" s="49" t="s">
        <v>54</v>
      </c>
      <c r="B43" s="78" t="s">
        <v>55</v>
      </c>
      <c r="C43" s="56">
        <v>13476500</v>
      </c>
      <c r="D43" s="200">
        <f>C43/C42*100</f>
        <v>100</v>
      </c>
      <c r="E43" s="134">
        <f>G43/C43*100</f>
        <v>71.5496902014618</v>
      </c>
      <c r="F43" s="134">
        <f t="shared" ref="F43:F64" si="15">(D43*E43)/100</f>
        <v>71.5496902014618</v>
      </c>
      <c r="G43" s="135">
        <f>6765894+2876500</f>
        <v>9642394</v>
      </c>
      <c r="H43" s="134">
        <f>G43/C43*100</f>
        <v>71.5496902014618</v>
      </c>
      <c r="I43" s="134">
        <f>(D43*H43)/100</f>
        <v>71.5496902014618</v>
      </c>
      <c r="J43" s="56">
        <v>3834106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238" t="s">
        <v>239</v>
      </c>
      <c r="B44" s="238" t="s">
        <v>56</v>
      </c>
      <c r="C44" s="239">
        <f>SUM(C45:C61)</f>
        <v>233362000</v>
      </c>
      <c r="D44" s="241"/>
      <c r="E44" s="242"/>
      <c r="F44" s="242"/>
      <c r="G44" s="243"/>
      <c r="H44" s="242"/>
      <c r="I44" s="242"/>
      <c r="J44" s="244"/>
      <c r="K44" s="237"/>
      <c r="L44" s="4"/>
      <c r="M44" s="4"/>
      <c r="N44" s="4"/>
      <c r="O44" s="4"/>
      <c r="P44" s="4"/>
      <c r="Q44" s="4"/>
      <c r="R44" s="9"/>
    </row>
    <row r="45" spans="1:18" x14ac:dyDescent="0.25">
      <c r="A45" s="124" t="s">
        <v>398</v>
      </c>
      <c r="B45" s="124" t="s">
        <v>397</v>
      </c>
      <c r="C45" s="743">
        <v>10000000</v>
      </c>
      <c r="D45" s="741"/>
      <c r="E45" s="742"/>
      <c r="F45" s="742"/>
      <c r="G45" s="135">
        <v>9000000</v>
      </c>
      <c r="H45" s="742"/>
      <c r="I45" s="742"/>
      <c r="J45" s="743">
        <v>1000000</v>
      </c>
      <c r="K45" s="744"/>
      <c r="L45" s="4"/>
      <c r="M45" s="4"/>
      <c r="N45" s="4"/>
      <c r="O45" s="4"/>
      <c r="P45" s="4"/>
      <c r="Q45" s="4"/>
      <c r="R45" s="9"/>
    </row>
    <row r="46" spans="1:18" x14ac:dyDescent="0.25">
      <c r="A46" s="124" t="s">
        <v>289</v>
      </c>
      <c r="B46" s="124" t="s">
        <v>399</v>
      </c>
      <c r="C46" s="743">
        <v>3900000</v>
      </c>
      <c r="D46" s="741"/>
      <c r="E46" s="742"/>
      <c r="F46" s="742"/>
      <c r="G46" s="135">
        <v>3900000</v>
      </c>
      <c r="H46" s="742"/>
      <c r="I46" s="742"/>
      <c r="J46" s="743">
        <v>0</v>
      </c>
      <c r="K46" s="744"/>
      <c r="L46" s="4"/>
      <c r="M46" s="4"/>
      <c r="N46" s="4"/>
      <c r="O46" s="4"/>
      <c r="P46" s="4"/>
      <c r="Q46" s="4"/>
      <c r="R46" s="9"/>
    </row>
    <row r="47" spans="1:18" x14ac:dyDescent="0.25">
      <c r="A47" s="49" t="s">
        <v>240</v>
      </c>
      <c r="B47" s="78" t="s">
        <v>206</v>
      </c>
      <c r="C47" s="56">
        <v>6000000</v>
      </c>
      <c r="D47" s="200">
        <f>C47/C44*100</f>
        <v>2.5711126918692844</v>
      </c>
      <c r="E47" s="134">
        <f t="shared" ref="E47:E60" si="16">G47/C47*100</f>
        <v>100</v>
      </c>
      <c r="F47" s="134">
        <f t="shared" si="15"/>
        <v>2.5711126918692844</v>
      </c>
      <c r="G47" s="135">
        <v>6000000</v>
      </c>
      <c r="H47" s="134">
        <f t="shared" ref="H47:H60" si="17">G47/C47*100</f>
        <v>100</v>
      </c>
      <c r="I47" s="134">
        <f t="shared" ref="I47:I61" si="18">(D47*H47)/100</f>
        <v>2.5711126918692844</v>
      </c>
      <c r="J47" s="56">
        <v>0</v>
      </c>
      <c r="K47" s="163"/>
      <c r="L47" s="4"/>
      <c r="M47" s="4"/>
      <c r="N47" s="4"/>
      <c r="O47" s="4"/>
      <c r="P47" s="4"/>
      <c r="Q47" s="4"/>
      <c r="R47" s="9"/>
    </row>
    <row r="48" spans="1:18" x14ac:dyDescent="0.25">
      <c r="A48" s="49" t="s">
        <v>241</v>
      </c>
      <c r="B48" s="78" t="s">
        <v>207</v>
      </c>
      <c r="C48" s="56">
        <v>59678000</v>
      </c>
      <c r="D48" s="200">
        <f>C48/C44*100</f>
        <v>25.573143870895858</v>
      </c>
      <c r="E48" s="134">
        <f t="shared" si="16"/>
        <v>99.534166694594333</v>
      </c>
      <c r="F48" s="134">
        <f t="shared" si="15"/>
        <v>25.454015649505919</v>
      </c>
      <c r="G48" s="135">
        <f>59400000</f>
        <v>59400000</v>
      </c>
      <c r="H48" s="134">
        <f t="shared" si="17"/>
        <v>99.534166694594333</v>
      </c>
      <c r="I48" s="134">
        <f t="shared" si="18"/>
        <v>25.454015649505919</v>
      </c>
      <c r="J48" s="56">
        <v>378000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400</v>
      </c>
      <c r="B49" s="78" t="s">
        <v>401</v>
      </c>
      <c r="C49" s="56">
        <v>2800000</v>
      </c>
      <c r="D49" s="200"/>
      <c r="E49" s="134">
        <f t="shared" si="16"/>
        <v>100</v>
      </c>
      <c r="F49" s="134">
        <f t="shared" si="15"/>
        <v>0</v>
      </c>
      <c r="G49" s="135">
        <v>2800000</v>
      </c>
      <c r="H49" s="134">
        <f t="shared" si="17"/>
        <v>100</v>
      </c>
      <c r="I49" s="134">
        <f t="shared" si="18"/>
        <v>0</v>
      </c>
      <c r="J49" s="56">
        <v>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403</v>
      </c>
      <c r="B50" s="78" t="s">
        <v>402</v>
      </c>
      <c r="C50" s="56">
        <v>4500000</v>
      </c>
      <c r="D50" s="200"/>
      <c r="E50" s="134">
        <f t="shared" si="16"/>
        <v>100</v>
      </c>
      <c r="F50" s="134">
        <f t="shared" si="15"/>
        <v>0</v>
      </c>
      <c r="G50" s="135">
        <v>4500000</v>
      </c>
      <c r="H50" s="134">
        <f t="shared" si="17"/>
        <v>100</v>
      </c>
      <c r="I50" s="134">
        <f t="shared" si="18"/>
        <v>0</v>
      </c>
      <c r="J50" s="56">
        <v>0</v>
      </c>
      <c r="K50" s="163"/>
      <c r="L50" s="4"/>
      <c r="M50" s="4"/>
      <c r="N50" s="4"/>
      <c r="O50" s="4"/>
      <c r="P50" s="4"/>
      <c r="Q50" s="4"/>
      <c r="R50" s="9"/>
    </row>
    <row r="51" spans="1:18" x14ac:dyDescent="0.25">
      <c r="A51" s="49" t="s">
        <v>121</v>
      </c>
      <c r="B51" s="80" t="s">
        <v>211</v>
      </c>
      <c r="C51" s="56">
        <v>2700000</v>
      </c>
      <c r="D51" s="200">
        <f>C51/C44*100</f>
        <v>1.157000711341178</v>
      </c>
      <c r="E51" s="134">
        <f t="shared" si="16"/>
        <v>100</v>
      </c>
      <c r="F51" s="134">
        <f t="shared" si="15"/>
        <v>1.157000711341178</v>
      </c>
      <c r="G51" s="135">
        <v>2700000</v>
      </c>
      <c r="H51" s="134">
        <f t="shared" si="17"/>
        <v>100</v>
      </c>
      <c r="I51" s="134">
        <f t="shared" si="18"/>
        <v>1.157000711341178</v>
      </c>
      <c r="J51" s="56">
        <v>0</v>
      </c>
      <c r="K51" s="163"/>
      <c r="L51" s="4"/>
      <c r="M51" s="4"/>
      <c r="N51" s="4"/>
      <c r="O51" s="4"/>
      <c r="P51" s="4"/>
      <c r="Q51" s="4"/>
      <c r="R51" s="9"/>
    </row>
    <row r="52" spans="1:18" x14ac:dyDescent="0.25">
      <c r="A52" s="49" t="s">
        <v>242</v>
      </c>
      <c r="B52" s="80" t="s">
        <v>208</v>
      </c>
      <c r="C52" s="56">
        <v>4500000</v>
      </c>
      <c r="D52" s="200">
        <f>C52/C44*100</f>
        <v>1.9283345189019634</v>
      </c>
      <c r="E52" s="134">
        <f t="shared" si="16"/>
        <v>100</v>
      </c>
      <c r="F52" s="134">
        <f t="shared" si="15"/>
        <v>1.9283345189019634</v>
      </c>
      <c r="G52" s="135">
        <f>4500000</f>
        <v>4500000</v>
      </c>
      <c r="H52" s="134">
        <f t="shared" si="17"/>
        <v>100</v>
      </c>
      <c r="I52" s="134">
        <f t="shared" si="18"/>
        <v>1.9283345189019634</v>
      </c>
      <c r="J52" s="56">
        <v>0</v>
      </c>
      <c r="K52" s="163"/>
      <c r="L52" s="4"/>
      <c r="M52" s="4"/>
      <c r="N52" s="4"/>
      <c r="O52" s="4"/>
      <c r="P52" s="4"/>
      <c r="Q52" s="4"/>
      <c r="R52" s="9"/>
    </row>
    <row r="53" spans="1:18" x14ac:dyDescent="0.25">
      <c r="A53" s="49" t="s">
        <v>297</v>
      </c>
      <c r="B53" s="78" t="s">
        <v>404</v>
      </c>
      <c r="C53" s="56">
        <v>3500000</v>
      </c>
      <c r="D53" s="200"/>
      <c r="E53" s="134"/>
      <c r="F53" s="134"/>
      <c r="G53" s="135">
        <v>3500000</v>
      </c>
      <c r="H53" s="134"/>
      <c r="I53" s="134"/>
      <c r="J53" s="56">
        <v>0</v>
      </c>
      <c r="K53" s="163"/>
      <c r="L53" s="4"/>
      <c r="M53" s="4"/>
      <c r="N53" s="4"/>
      <c r="O53" s="4"/>
      <c r="P53" s="4"/>
      <c r="Q53" s="4"/>
      <c r="R53" s="9"/>
    </row>
    <row r="54" spans="1:18" x14ac:dyDescent="0.25">
      <c r="A54" s="49" t="s">
        <v>407</v>
      </c>
      <c r="B54" s="78" t="s">
        <v>405</v>
      </c>
      <c r="C54" s="56">
        <v>4000000</v>
      </c>
      <c r="D54" s="200">
        <f>C54/C44*100</f>
        <v>1.7140751279128563</v>
      </c>
      <c r="E54" s="134">
        <f>G54/C54*100</f>
        <v>100</v>
      </c>
      <c r="F54" s="134">
        <f t="shared" si="15"/>
        <v>1.7140751279128563</v>
      </c>
      <c r="G54" s="135">
        <v>4000000</v>
      </c>
      <c r="H54" s="134">
        <f t="shared" si="17"/>
        <v>100</v>
      </c>
      <c r="I54" s="134">
        <f t="shared" si="18"/>
        <v>1.7140751279128563</v>
      </c>
      <c r="J54" s="56">
        <v>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49" t="s">
        <v>243</v>
      </c>
      <c r="B55" s="78" t="s">
        <v>406</v>
      </c>
      <c r="C55" s="56">
        <v>0</v>
      </c>
      <c r="D55" s="200">
        <f t="shared" ref="D55:D59" si="19">C55/C45*100</f>
        <v>0</v>
      </c>
      <c r="E55" s="134">
        <v>0</v>
      </c>
      <c r="F55" s="134"/>
      <c r="G55" s="135">
        <v>0</v>
      </c>
      <c r="H55" s="134">
        <v>0</v>
      </c>
      <c r="I55" s="134">
        <f t="shared" si="18"/>
        <v>0</v>
      </c>
      <c r="J55" s="56">
        <v>0</v>
      </c>
      <c r="K55" s="163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299</v>
      </c>
      <c r="B56" s="78" t="s">
        <v>408</v>
      </c>
      <c r="C56" s="56">
        <v>8000000</v>
      </c>
      <c r="D56" s="200">
        <v>0</v>
      </c>
      <c r="E56" s="134">
        <f t="shared" ref="E56:E59" si="20">G56/C56*100</f>
        <v>100</v>
      </c>
      <c r="F56" s="134"/>
      <c r="G56" s="135">
        <v>8000000</v>
      </c>
      <c r="H56" s="134">
        <f t="shared" si="17"/>
        <v>100</v>
      </c>
      <c r="I56" s="134">
        <f t="shared" si="18"/>
        <v>0</v>
      </c>
      <c r="J56" s="56">
        <v>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301</v>
      </c>
      <c r="B57" s="78" t="s">
        <v>409</v>
      </c>
      <c r="C57" s="56">
        <v>74975000</v>
      </c>
      <c r="D57" s="200">
        <v>0</v>
      </c>
      <c r="E57" s="134">
        <f t="shared" si="20"/>
        <v>96.69889963321107</v>
      </c>
      <c r="F57" s="134"/>
      <c r="G57" s="135">
        <v>72500000</v>
      </c>
      <c r="H57" s="134">
        <f t="shared" si="17"/>
        <v>96.69889963321107</v>
      </c>
      <c r="I57" s="134">
        <f t="shared" si="18"/>
        <v>0</v>
      </c>
      <c r="J57" s="56">
        <v>2475000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49" t="s">
        <v>411</v>
      </c>
      <c r="B58" s="78" t="s">
        <v>410</v>
      </c>
      <c r="C58" s="56">
        <v>12000000</v>
      </c>
      <c r="D58" s="200">
        <f t="shared" si="19"/>
        <v>20.10791246355441</v>
      </c>
      <c r="E58" s="134">
        <f t="shared" si="20"/>
        <v>100</v>
      </c>
      <c r="F58" s="134"/>
      <c r="G58" s="135">
        <v>12000000</v>
      </c>
      <c r="H58" s="134">
        <f t="shared" si="17"/>
        <v>100</v>
      </c>
      <c r="I58" s="134">
        <f t="shared" si="18"/>
        <v>20.10791246355441</v>
      </c>
      <c r="J58" s="56">
        <v>0</v>
      </c>
      <c r="K58" s="163"/>
      <c r="L58" s="4"/>
      <c r="M58" s="4"/>
      <c r="N58" s="4"/>
      <c r="O58" s="4"/>
      <c r="P58" s="4"/>
      <c r="Q58" s="4"/>
      <c r="R58" s="9"/>
    </row>
    <row r="59" spans="1:18" x14ac:dyDescent="0.25">
      <c r="A59" s="49" t="s">
        <v>275</v>
      </c>
      <c r="B59" s="78" t="s">
        <v>412</v>
      </c>
      <c r="C59" s="56">
        <v>8550000</v>
      </c>
      <c r="D59" s="200">
        <f t="shared" si="19"/>
        <v>305.35714285714283</v>
      </c>
      <c r="E59" s="134">
        <f t="shared" si="20"/>
        <v>100</v>
      </c>
      <c r="F59" s="134"/>
      <c r="G59" s="135">
        <v>8550000</v>
      </c>
      <c r="H59" s="134">
        <f t="shared" si="17"/>
        <v>100</v>
      </c>
      <c r="I59" s="134">
        <f t="shared" si="18"/>
        <v>305.35714285714283</v>
      </c>
      <c r="J59" s="56">
        <v>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122</v>
      </c>
      <c r="B60" s="78" t="s">
        <v>209</v>
      </c>
      <c r="C60" s="56">
        <v>28259000</v>
      </c>
      <c r="D60" s="200">
        <f>C60/C44*100</f>
        <v>12.109512259922353</v>
      </c>
      <c r="E60" s="134">
        <f t="shared" si="16"/>
        <v>98.949007395873878</v>
      </c>
      <c r="F60" s="134">
        <f t="shared" si="15"/>
        <v>11.982242181674822</v>
      </c>
      <c r="G60" s="135">
        <v>27962000</v>
      </c>
      <c r="H60" s="134">
        <f t="shared" si="17"/>
        <v>98.949007395873878</v>
      </c>
      <c r="I60" s="134">
        <f t="shared" si="18"/>
        <v>11.982242181674822</v>
      </c>
      <c r="J60" s="56">
        <v>297000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244</v>
      </c>
      <c r="B61" s="78" t="s">
        <v>210</v>
      </c>
      <c r="C61" s="56">
        <v>0</v>
      </c>
      <c r="D61" s="200">
        <v>0</v>
      </c>
      <c r="E61" s="134">
        <v>0</v>
      </c>
      <c r="F61" s="134">
        <f t="shared" si="15"/>
        <v>0</v>
      </c>
      <c r="G61" s="135">
        <v>0</v>
      </c>
      <c r="H61" s="134">
        <v>0</v>
      </c>
      <c r="I61" s="134">
        <f t="shared" si="18"/>
        <v>0</v>
      </c>
      <c r="J61" s="56">
        <v>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238" t="s">
        <v>245</v>
      </c>
      <c r="B62" s="238" t="s">
        <v>58</v>
      </c>
      <c r="C62" s="239">
        <f>SUM(C63:C64)</f>
        <v>17999800</v>
      </c>
      <c r="D62" s="241"/>
      <c r="E62" s="242"/>
      <c r="F62" s="242"/>
      <c r="G62" s="243"/>
      <c r="H62" s="242"/>
      <c r="I62" s="242"/>
      <c r="J62" s="244">
        <v>0</v>
      </c>
      <c r="K62" s="237"/>
      <c r="L62" s="4"/>
      <c r="M62" s="4"/>
      <c r="N62" s="4"/>
      <c r="O62" s="4"/>
      <c r="P62" s="4"/>
      <c r="Q62" s="4"/>
      <c r="R62" s="9"/>
    </row>
    <row r="63" spans="1:18" x14ac:dyDescent="0.25">
      <c r="A63" s="49" t="s">
        <v>59</v>
      </c>
      <c r="B63" s="707" t="s">
        <v>197</v>
      </c>
      <c r="C63" s="56">
        <v>6240000</v>
      </c>
      <c r="D63" s="200">
        <f>C63/C62*100</f>
        <v>34.667051856131735</v>
      </c>
      <c r="E63" s="134">
        <f t="shared" ref="E63:E64" si="21">G63/C63*100</f>
        <v>99.408653846153854</v>
      </c>
      <c r="F63" s="134">
        <f t="shared" si="15"/>
        <v>34.462049578328653</v>
      </c>
      <c r="G63" s="135">
        <v>6203100</v>
      </c>
      <c r="H63" s="134">
        <f t="shared" ref="H63:H65" si="22">G63/C63*100</f>
        <v>99.408653846153854</v>
      </c>
      <c r="I63" s="134">
        <f t="shared" ref="I63:I64" si="23">(D63*H63)/100</f>
        <v>34.462049578328653</v>
      </c>
      <c r="J63" s="56">
        <v>36900</v>
      </c>
      <c r="K63" s="163"/>
      <c r="L63" s="4"/>
      <c r="M63" s="4"/>
      <c r="N63" s="4"/>
      <c r="O63" s="4"/>
      <c r="P63" s="4"/>
      <c r="Q63" s="4"/>
      <c r="R63" s="9"/>
    </row>
    <row r="64" spans="1:18" x14ac:dyDescent="0.25">
      <c r="A64" s="49" t="s">
        <v>62</v>
      </c>
      <c r="B64" s="707" t="s">
        <v>334</v>
      </c>
      <c r="C64" s="56">
        <v>11759800</v>
      </c>
      <c r="D64" s="200">
        <f>C64/C62*100</f>
        <v>65.332948143868265</v>
      </c>
      <c r="E64" s="134">
        <f t="shared" si="21"/>
        <v>99.980441844249057</v>
      </c>
      <c r="F64" s="134">
        <f t="shared" si="15"/>
        <v>65.32017022411361</v>
      </c>
      <c r="G64" s="135">
        <f>10760000+997500</f>
        <v>11757500</v>
      </c>
      <c r="H64" s="134">
        <f t="shared" si="22"/>
        <v>99.980441844249057</v>
      </c>
      <c r="I64" s="134">
        <f t="shared" si="23"/>
        <v>65.32017022411361</v>
      </c>
      <c r="J64" s="56">
        <v>2300</v>
      </c>
      <c r="K64" s="163"/>
      <c r="L64" s="4"/>
      <c r="M64" s="4"/>
      <c r="N64" s="4"/>
      <c r="O64" s="4"/>
      <c r="P64" s="4"/>
      <c r="Q64" s="4"/>
      <c r="R64" s="9"/>
    </row>
    <row r="65" spans="1:18" x14ac:dyDescent="0.25">
      <c r="A65" s="238" t="s">
        <v>246</v>
      </c>
      <c r="B65" s="238" t="s">
        <v>61</v>
      </c>
      <c r="C65" s="239">
        <v>44599800</v>
      </c>
      <c r="D65" s="241"/>
      <c r="E65" s="242"/>
      <c r="F65" s="242"/>
      <c r="G65" s="243"/>
      <c r="H65" s="242">
        <f t="shared" si="22"/>
        <v>0</v>
      </c>
      <c r="I65" s="242"/>
      <c r="J65" s="244">
        <v>0</v>
      </c>
      <c r="K65" s="237"/>
      <c r="L65" s="4"/>
      <c r="M65" s="4"/>
      <c r="N65" s="4"/>
      <c r="O65" s="4"/>
      <c r="P65" s="4"/>
      <c r="Q65" s="4"/>
      <c r="R65" s="9"/>
    </row>
    <row r="66" spans="1:18" x14ac:dyDescent="0.25">
      <c r="A66" s="49" t="s">
        <v>62</v>
      </c>
      <c r="B66" s="707" t="s">
        <v>334</v>
      </c>
      <c r="C66" s="56">
        <v>44599800</v>
      </c>
      <c r="D66" s="200">
        <f>C66/C65*100</f>
        <v>100</v>
      </c>
      <c r="E66" s="134">
        <f>G66/C66*100</f>
        <v>99.605267288194128</v>
      </c>
      <c r="F66" s="134">
        <f t="shared" ref="F66:F69" si="24">(D66*E66)/100</f>
        <v>99.605267288194142</v>
      </c>
      <c r="G66" s="135">
        <f>20532500+23891250</f>
        <v>44423750</v>
      </c>
      <c r="H66" s="134">
        <f>G66/C66*100</f>
        <v>99.605267288194128</v>
      </c>
      <c r="I66" s="134">
        <f>(D66*H66)/100</f>
        <v>99.605267288194142</v>
      </c>
      <c r="J66" s="56">
        <v>176050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238" t="s">
        <v>247</v>
      </c>
      <c r="B67" s="238" t="s">
        <v>64</v>
      </c>
      <c r="C67" s="239">
        <f>SUM(C68:C69)</f>
        <v>148714000</v>
      </c>
      <c r="D67" s="241"/>
      <c r="E67" s="242"/>
      <c r="F67" s="242"/>
      <c r="G67" s="243"/>
      <c r="H67" s="242"/>
      <c r="I67" s="242"/>
      <c r="J67" s="244">
        <v>0</v>
      </c>
      <c r="K67" s="237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65</v>
      </c>
      <c r="B68" s="78" t="s">
        <v>23</v>
      </c>
      <c r="C68" s="56">
        <v>145914000</v>
      </c>
      <c r="D68" s="200">
        <f>C68/C67*100</f>
        <v>98.117191387495467</v>
      </c>
      <c r="E68" s="134">
        <f t="shared" ref="E68:E69" si="25">G68/C68*100</f>
        <v>97.997109256137165</v>
      </c>
      <c r="F68" s="134">
        <f t="shared" si="24"/>
        <v>96.152011243057132</v>
      </c>
      <c r="G68" s="135">
        <v>142991502</v>
      </c>
      <c r="H68" s="134">
        <f t="shared" ref="H68:H69" si="26">G68/C68*100</f>
        <v>97.997109256137165</v>
      </c>
      <c r="I68" s="134">
        <f t="shared" ref="I68:I69" si="27">(D68*H68)/100</f>
        <v>96.152011243057132</v>
      </c>
      <c r="J68" s="56">
        <v>2922498</v>
      </c>
      <c r="K68" s="163"/>
      <c r="L68" s="4"/>
      <c r="M68" s="4"/>
      <c r="N68" s="4"/>
      <c r="O68" s="4"/>
      <c r="P68" s="4"/>
      <c r="Q68" s="4"/>
      <c r="R68" s="9"/>
    </row>
    <row r="69" spans="1:18" ht="15.75" thickBot="1" x14ac:dyDescent="0.3">
      <c r="A69" s="217" t="s">
        <v>66</v>
      </c>
      <c r="B69" s="218" t="s">
        <v>67</v>
      </c>
      <c r="C69" s="219">
        <v>2800000</v>
      </c>
      <c r="D69" s="200">
        <f>C69/C67*100</f>
        <v>1.8828086125045389</v>
      </c>
      <c r="E69" s="134">
        <f t="shared" si="25"/>
        <v>0</v>
      </c>
      <c r="F69" s="134">
        <f t="shared" si="24"/>
        <v>0</v>
      </c>
      <c r="G69" s="135">
        <v>0</v>
      </c>
      <c r="H69" s="134">
        <f t="shared" si="26"/>
        <v>0</v>
      </c>
      <c r="I69" s="134">
        <f t="shared" si="27"/>
        <v>0</v>
      </c>
      <c r="J69" s="56">
        <v>2800000</v>
      </c>
      <c r="K69" s="163"/>
      <c r="L69" s="4"/>
      <c r="M69" s="4"/>
      <c r="N69" s="4"/>
      <c r="O69" s="694"/>
      <c r="P69" s="4"/>
      <c r="Q69" s="4"/>
      <c r="R69" s="9"/>
    </row>
    <row r="70" spans="1:18" ht="15.75" thickBot="1" x14ac:dyDescent="0.3">
      <c r="A70" s="689" t="s">
        <v>248</v>
      </c>
      <c r="B70" s="708" t="s">
        <v>68</v>
      </c>
      <c r="C70" s="690">
        <f>C71+C76</f>
        <v>360645500</v>
      </c>
      <c r="D70" s="216"/>
      <c r="E70" s="134"/>
      <c r="F70" s="134"/>
      <c r="G70" s="135"/>
      <c r="H70" s="134"/>
      <c r="I70" s="134"/>
      <c r="J70" s="56"/>
      <c r="K70" s="163"/>
      <c r="L70" s="4"/>
      <c r="M70" s="4"/>
      <c r="N70" s="4"/>
      <c r="O70" s="4"/>
      <c r="P70" s="4"/>
      <c r="Q70" s="4"/>
      <c r="R70" s="9"/>
    </row>
    <row r="71" spans="1:18" x14ac:dyDescent="0.25">
      <c r="A71" s="233" t="s">
        <v>249</v>
      </c>
      <c r="B71" s="696" t="s">
        <v>387</v>
      </c>
      <c r="C71" s="234">
        <f>SUM(C72:C75)</f>
        <v>237367500</v>
      </c>
      <c r="D71" s="241"/>
      <c r="E71" s="242"/>
      <c r="F71" s="242"/>
      <c r="G71" s="243">
        <v>0</v>
      </c>
      <c r="H71" s="242"/>
      <c r="I71" s="242"/>
      <c r="J71" s="244"/>
      <c r="K71" s="237"/>
      <c r="L71" s="4"/>
      <c r="M71" s="4"/>
      <c r="N71" s="4"/>
      <c r="O71" s="713"/>
      <c r="P71" s="4"/>
      <c r="Q71" s="4"/>
      <c r="R71" s="9"/>
    </row>
    <row r="72" spans="1:18" x14ac:dyDescent="0.25">
      <c r="A72" s="49" t="s">
        <v>70</v>
      </c>
      <c r="B72" s="78" t="s">
        <v>388</v>
      </c>
      <c r="C72" s="56">
        <v>53184980</v>
      </c>
      <c r="D72" s="200">
        <f>C72/C71*100</f>
        <v>22.4061760771799</v>
      </c>
      <c r="E72" s="134">
        <f t="shared" ref="E72:E74" si="28">G72/C72*100</f>
        <v>76.943311814726627</v>
      </c>
      <c r="F72" s="134">
        <f t="shared" ref="F72:F74" si="29">(D72*E72)/100</f>
        <v>17.240053924821215</v>
      </c>
      <c r="G72" s="135">
        <v>40922285</v>
      </c>
      <c r="H72" s="134">
        <f t="shared" ref="H72:H79" si="30">G72/C72*100</f>
        <v>76.943311814726627</v>
      </c>
      <c r="I72" s="134">
        <f t="shared" ref="I72:I74" si="31">(D72*H72)/100</f>
        <v>17.240053924821215</v>
      </c>
      <c r="J72" s="56">
        <v>12262695</v>
      </c>
      <c r="K72" s="163"/>
      <c r="L72" s="4"/>
      <c r="M72" s="730"/>
      <c r="N72" s="4"/>
      <c r="O72" s="4"/>
      <c r="P72" s="4"/>
      <c r="Q72" s="4"/>
      <c r="R72" s="9"/>
    </row>
    <row r="73" spans="1:18" x14ac:dyDescent="0.25">
      <c r="A73" s="49" t="s">
        <v>72</v>
      </c>
      <c r="B73" s="78" t="s">
        <v>73</v>
      </c>
      <c r="C73" s="56">
        <v>41818820</v>
      </c>
      <c r="D73" s="200">
        <f>C73/C71*100</f>
        <v>17.617753062234719</v>
      </c>
      <c r="E73" s="134">
        <f t="shared" si="28"/>
        <v>43.658479603202579</v>
      </c>
      <c r="F73" s="134">
        <f t="shared" si="29"/>
        <v>7.6916431272183425</v>
      </c>
      <c r="G73" s="135">
        <f>18257461</f>
        <v>18257461</v>
      </c>
      <c r="H73" s="134">
        <f t="shared" si="30"/>
        <v>43.658479603202579</v>
      </c>
      <c r="I73" s="134">
        <f t="shared" si="31"/>
        <v>7.6916431272183425</v>
      </c>
      <c r="J73" s="56">
        <v>23561359</v>
      </c>
      <c r="K73" s="163"/>
      <c r="L73" s="4"/>
      <c r="M73" s="730"/>
      <c r="N73" s="4"/>
      <c r="O73" s="4"/>
      <c r="P73" s="4"/>
      <c r="Q73" s="4"/>
      <c r="R73" s="9"/>
    </row>
    <row r="74" spans="1:18" x14ac:dyDescent="0.25">
      <c r="A74" s="49" t="s">
        <v>74</v>
      </c>
      <c r="B74" s="78" t="s">
        <v>75</v>
      </c>
      <c r="C74" s="56">
        <v>132900000</v>
      </c>
      <c r="D74" s="200">
        <f>C74/C71*100</f>
        <v>55.98913077822364</v>
      </c>
      <c r="E74" s="134">
        <f t="shared" si="28"/>
        <v>90.905053423626796</v>
      </c>
      <c r="F74" s="134">
        <f t="shared" si="29"/>
        <v>50.896949245368468</v>
      </c>
      <c r="G74" s="135">
        <f>111321185+9491631</f>
        <v>120812816</v>
      </c>
      <c r="H74" s="134">
        <f t="shared" si="30"/>
        <v>90.905053423626796</v>
      </c>
      <c r="I74" s="134">
        <f t="shared" si="31"/>
        <v>50.896949245368468</v>
      </c>
      <c r="J74" s="56">
        <v>12087184</v>
      </c>
      <c r="K74" s="163"/>
      <c r="L74" s="4"/>
      <c r="M74" s="4"/>
      <c r="N74" s="4"/>
      <c r="O74" s="4"/>
      <c r="P74" s="4"/>
      <c r="Q74" s="4"/>
      <c r="R74" s="9"/>
    </row>
    <row r="75" spans="1:18" x14ac:dyDescent="0.25">
      <c r="A75" s="49" t="s">
        <v>394</v>
      </c>
      <c r="B75" s="78" t="s">
        <v>395</v>
      </c>
      <c r="C75" s="56">
        <v>9463700</v>
      </c>
      <c r="D75" s="200"/>
      <c r="E75" s="134"/>
      <c r="F75" s="134"/>
      <c r="G75" s="135">
        <v>0</v>
      </c>
      <c r="H75" s="134"/>
      <c r="I75" s="134"/>
      <c r="J75" s="56">
        <v>9463700</v>
      </c>
      <c r="K75" s="163"/>
      <c r="L75" s="4"/>
      <c r="M75" s="4"/>
      <c r="N75" s="4"/>
      <c r="O75" s="4"/>
      <c r="P75" s="4"/>
      <c r="Q75" s="4"/>
      <c r="R75" s="9"/>
    </row>
    <row r="76" spans="1:18" x14ac:dyDescent="0.25">
      <c r="A76" s="238" t="s">
        <v>250</v>
      </c>
      <c r="B76" s="238" t="s">
        <v>76</v>
      </c>
      <c r="C76" s="239">
        <f>SUM(C77:C79)</f>
        <v>123278000</v>
      </c>
      <c r="D76" s="241"/>
      <c r="E76" s="242"/>
      <c r="F76" s="242"/>
      <c r="G76" s="243"/>
      <c r="H76" s="242"/>
      <c r="I76" s="242"/>
      <c r="J76" s="244">
        <v>0</v>
      </c>
      <c r="K76" s="237"/>
      <c r="L76" s="4"/>
      <c r="M76" s="4"/>
      <c r="N76" s="4"/>
      <c r="O76" s="4"/>
      <c r="P76" s="4"/>
      <c r="Q76" s="4"/>
      <c r="R76" s="9"/>
    </row>
    <row r="77" spans="1:18" ht="14.25" customHeight="1" x14ac:dyDescent="0.25">
      <c r="A77" s="49" t="s">
        <v>44</v>
      </c>
      <c r="B77" s="707" t="s">
        <v>384</v>
      </c>
      <c r="C77" s="56">
        <v>111810000</v>
      </c>
      <c r="D77" s="200">
        <f>C77/C76*100</f>
        <v>90.697448044257683</v>
      </c>
      <c r="E77" s="134">
        <f t="shared" ref="E77:E79" si="32">G77/C77*100</f>
        <v>97.71040157409891</v>
      </c>
      <c r="F77" s="134">
        <f t="shared" ref="F77:F79" si="33">(D77*E77)/100</f>
        <v>88.620840701503894</v>
      </c>
      <c r="G77" s="135">
        <f>109250000</f>
        <v>109250000</v>
      </c>
      <c r="H77" s="134">
        <f t="shared" si="30"/>
        <v>97.71040157409891</v>
      </c>
      <c r="I77" s="134">
        <f t="shared" ref="I77:I79" si="34">(D77*H77)/100</f>
        <v>88.620840701503894</v>
      </c>
      <c r="J77" s="56">
        <v>2560000</v>
      </c>
      <c r="K77" s="163"/>
      <c r="L77" s="4"/>
      <c r="M77" s="4"/>
      <c r="N77" s="4"/>
      <c r="O77" s="4"/>
      <c r="P77" s="4"/>
      <c r="Q77" s="4"/>
      <c r="R77" s="9"/>
    </row>
    <row r="78" spans="1:18" ht="14.25" customHeight="1" x14ac:dyDescent="0.25">
      <c r="A78" s="217" t="s">
        <v>396</v>
      </c>
      <c r="B78" s="740" t="s">
        <v>439</v>
      </c>
      <c r="C78" s="219">
        <v>4760000</v>
      </c>
      <c r="D78" s="200"/>
      <c r="E78" s="134"/>
      <c r="F78" s="134"/>
      <c r="G78" s="135">
        <v>4760000</v>
      </c>
      <c r="H78" s="134"/>
      <c r="I78" s="134"/>
      <c r="J78" s="56">
        <v>0</v>
      </c>
      <c r="K78" s="163"/>
      <c r="L78" s="4"/>
      <c r="M78" s="4"/>
      <c r="N78" s="4"/>
      <c r="O78" s="4"/>
      <c r="P78" s="4"/>
      <c r="Q78" s="4"/>
      <c r="R78" s="9"/>
    </row>
    <row r="79" spans="1:18" ht="15.75" thickBot="1" x14ac:dyDescent="0.3">
      <c r="A79" s="217" t="s">
        <v>77</v>
      </c>
      <c r="B79" s="218" t="s">
        <v>22</v>
      </c>
      <c r="C79" s="219">
        <v>6708000</v>
      </c>
      <c r="D79" s="200">
        <f>C79/C76*100</f>
        <v>5.4413601778095035</v>
      </c>
      <c r="E79" s="134">
        <f t="shared" si="32"/>
        <v>81.033094812164578</v>
      </c>
      <c r="F79" s="134">
        <f t="shared" si="33"/>
        <v>4.4093025519557418</v>
      </c>
      <c r="G79" s="135">
        <v>5435700</v>
      </c>
      <c r="H79" s="134">
        <f t="shared" si="30"/>
        <v>81.033094812164578</v>
      </c>
      <c r="I79" s="134">
        <f t="shared" si="34"/>
        <v>4.4093025519557418</v>
      </c>
      <c r="J79" s="56">
        <v>1272300</v>
      </c>
      <c r="K79" s="163"/>
      <c r="L79" s="4"/>
      <c r="M79" s="4"/>
      <c r="N79" s="4"/>
      <c r="O79" s="4"/>
      <c r="P79" s="4"/>
      <c r="Q79" s="4"/>
      <c r="R79" s="9"/>
    </row>
    <row r="80" spans="1:18" ht="26.25" thickBot="1" x14ac:dyDescent="0.3">
      <c r="A80" s="689" t="s">
        <v>252</v>
      </c>
      <c r="B80" s="692" t="s">
        <v>377</v>
      </c>
      <c r="C80" s="690">
        <f>C81+C86+C88</f>
        <v>235871982</v>
      </c>
      <c r="D80" s="216"/>
      <c r="E80" s="134"/>
      <c r="F80" s="134"/>
      <c r="G80" s="135"/>
      <c r="H80" s="134"/>
      <c r="I80" s="134"/>
      <c r="J80" s="56">
        <v>0</v>
      </c>
      <c r="K80" s="163"/>
      <c r="L80" s="4"/>
      <c r="M80" s="4"/>
      <c r="N80" s="4"/>
      <c r="O80" s="694"/>
      <c r="P80" s="4"/>
      <c r="Q80" s="4"/>
      <c r="R80" s="9"/>
    </row>
    <row r="81" spans="1:18" ht="26.25" x14ac:dyDescent="0.25">
      <c r="A81" s="693" t="s">
        <v>251</v>
      </c>
      <c r="B81" s="691" t="s">
        <v>277</v>
      </c>
      <c r="C81" s="234">
        <f>SUM(C82:C85)</f>
        <v>109243982</v>
      </c>
      <c r="D81" s="241"/>
      <c r="E81" s="242"/>
      <c r="F81" s="242"/>
      <c r="G81" s="243"/>
      <c r="H81" s="242"/>
      <c r="I81" s="242"/>
      <c r="J81" s="244">
        <v>0</v>
      </c>
      <c r="K81" s="244"/>
      <c r="L81" s="4"/>
      <c r="M81" s="4"/>
      <c r="N81" s="4"/>
      <c r="O81" s="4"/>
      <c r="P81" s="4"/>
      <c r="Q81" s="4"/>
      <c r="R81" s="9"/>
    </row>
    <row r="82" spans="1:18" x14ac:dyDescent="0.25">
      <c r="A82" s="224" t="s">
        <v>80</v>
      </c>
      <c r="B82" s="78" t="s">
        <v>81</v>
      </c>
      <c r="C82" s="56">
        <v>53484000</v>
      </c>
      <c r="D82" s="200">
        <f>C82/C81*100</f>
        <v>48.95830325921294</v>
      </c>
      <c r="E82" s="134">
        <f t="shared" ref="E82:E85" si="35">G82/C82*100</f>
        <v>99.787538329219956</v>
      </c>
      <c r="F82" s="134">
        <f t="shared" ref="F82:F85" si="36">(D82*E82)/100</f>
        <v>48.85428563012286</v>
      </c>
      <c r="G82" s="135">
        <v>53370367</v>
      </c>
      <c r="H82" s="134">
        <f t="shared" ref="H82:H87" si="37">G82/C82*100</f>
        <v>99.787538329219956</v>
      </c>
      <c r="I82" s="134">
        <f t="shared" ref="I82:I85" si="38">(D82*H82)/100</f>
        <v>48.85428563012286</v>
      </c>
      <c r="J82" s="56">
        <v>113633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82</v>
      </c>
      <c r="B83" s="78" t="s">
        <v>83</v>
      </c>
      <c r="C83" s="56">
        <v>29603000</v>
      </c>
      <c r="D83" s="200">
        <f>C83/C81*100</f>
        <v>27.098060193375229</v>
      </c>
      <c r="E83" s="134">
        <f t="shared" si="35"/>
        <v>100</v>
      </c>
      <c r="F83" s="134">
        <f t="shared" si="36"/>
        <v>27.098060193375225</v>
      </c>
      <c r="G83" s="135">
        <f>19296000+10307000</f>
        <v>29603000</v>
      </c>
      <c r="H83" s="134">
        <f t="shared" si="37"/>
        <v>100</v>
      </c>
      <c r="I83" s="134">
        <f t="shared" si="38"/>
        <v>27.098060193375225</v>
      </c>
      <c r="J83" s="56">
        <v>0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84</v>
      </c>
      <c r="B84" s="78" t="s">
        <v>85</v>
      </c>
      <c r="C84" s="56">
        <v>6656982</v>
      </c>
      <c r="D84" s="200">
        <f>C84/C81*100</f>
        <v>6.0936830369292103</v>
      </c>
      <c r="E84" s="134">
        <f t="shared" si="35"/>
        <v>59.988355083429703</v>
      </c>
      <c r="F84" s="134">
        <f t="shared" si="36"/>
        <v>3.6555002178518174</v>
      </c>
      <c r="G84" s="135">
        <f>3993414</f>
        <v>3993414</v>
      </c>
      <c r="H84" s="134">
        <f t="shared" si="37"/>
        <v>59.988355083429703</v>
      </c>
      <c r="I84" s="134">
        <f t="shared" si="38"/>
        <v>3.6555002178518174</v>
      </c>
      <c r="J84" s="56">
        <v>2663568</v>
      </c>
      <c r="K84" s="56"/>
      <c r="L84" s="4"/>
      <c r="M84" s="4"/>
      <c r="N84" s="4"/>
      <c r="O84" s="713"/>
      <c r="P84" s="4"/>
      <c r="Q84" s="4"/>
      <c r="R84" s="9"/>
    </row>
    <row r="85" spans="1:18" ht="25.5" x14ac:dyDescent="0.25">
      <c r="A85" s="49" t="s">
        <v>86</v>
      </c>
      <c r="B85" s="77" t="s">
        <v>87</v>
      </c>
      <c r="C85" s="56">
        <v>19500000</v>
      </c>
      <c r="D85" s="200">
        <f>C85/C81*100</f>
        <v>17.849953510482621</v>
      </c>
      <c r="E85" s="134">
        <f t="shared" si="35"/>
        <v>99.999487179487176</v>
      </c>
      <c r="F85" s="134">
        <f t="shared" si="36"/>
        <v>17.84986197225949</v>
      </c>
      <c r="G85" s="135">
        <f>11354000+8145900</f>
        <v>19499900</v>
      </c>
      <c r="H85" s="134">
        <f t="shared" si="37"/>
        <v>99.999487179487176</v>
      </c>
      <c r="I85" s="134">
        <f t="shared" si="38"/>
        <v>17.84986197225949</v>
      </c>
      <c r="J85" s="56">
        <v>100</v>
      </c>
      <c r="K85" s="56"/>
      <c r="L85" s="4"/>
      <c r="M85" s="4"/>
      <c r="N85" s="4"/>
      <c r="O85" s="4"/>
      <c r="P85" s="4"/>
      <c r="Q85" s="4"/>
      <c r="R85" s="9"/>
    </row>
    <row r="86" spans="1:18" ht="25.5" x14ac:dyDescent="0.25">
      <c r="A86" s="238" t="s">
        <v>253</v>
      </c>
      <c r="B86" s="240" t="s">
        <v>383</v>
      </c>
      <c r="C86" s="239">
        <v>79618000</v>
      </c>
      <c r="D86" s="241"/>
      <c r="E86" s="242"/>
      <c r="F86" s="242"/>
      <c r="G86" s="243"/>
      <c r="H86" s="242"/>
      <c r="I86" s="242"/>
      <c r="J86" s="244"/>
      <c r="K86" s="244"/>
      <c r="L86" s="4"/>
      <c r="M86" s="4"/>
      <c r="N86" s="4"/>
      <c r="O86" s="4"/>
      <c r="P86" s="4"/>
      <c r="Q86" s="4"/>
      <c r="R86" s="9"/>
    </row>
    <row r="87" spans="1:18" ht="26.25" x14ac:dyDescent="0.25">
      <c r="A87" s="49" t="s">
        <v>118</v>
      </c>
      <c r="B87" s="354" t="s">
        <v>89</v>
      </c>
      <c r="C87" s="56">
        <v>79618000</v>
      </c>
      <c r="D87" s="200">
        <f>C87/C86*100</f>
        <v>100</v>
      </c>
      <c r="E87" s="134">
        <f>G87/C87*100</f>
        <v>99.746170463965427</v>
      </c>
      <c r="F87" s="134">
        <f t="shared" ref="F87" si="39">(D87*E87)/100</f>
        <v>99.746170463965427</v>
      </c>
      <c r="G87" s="135">
        <f>64509945+14905961</f>
        <v>79415906</v>
      </c>
      <c r="H87" s="134">
        <f t="shared" si="37"/>
        <v>99.746170463965427</v>
      </c>
      <c r="I87" s="134">
        <f>(D87*H87)/100</f>
        <v>99.746170463965427</v>
      </c>
      <c r="J87" s="56">
        <v>202094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238" t="s">
        <v>254</v>
      </c>
      <c r="B88" s="240" t="s">
        <v>90</v>
      </c>
      <c r="C88" s="239">
        <v>47010000</v>
      </c>
      <c r="D88" s="241"/>
      <c r="E88" s="242"/>
      <c r="F88" s="242"/>
      <c r="G88" s="243"/>
      <c r="H88" s="242"/>
      <c r="I88" s="242"/>
      <c r="J88" s="244"/>
      <c r="K88" s="244"/>
      <c r="L88" s="4"/>
      <c r="M88" s="4"/>
      <c r="N88" s="4"/>
      <c r="O88" s="4"/>
      <c r="P88" s="4"/>
      <c r="Q88" s="4"/>
      <c r="R88" s="9"/>
    </row>
    <row r="89" spans="1:18" ht="25.5" x14ac:dyDescent="0.25">
      <c r="A89" s="49" t="s">
        <v>91</v>
      </c>
      <c r="B89" s="316" t="s">
        <v>373</v>
      </c>
      <c r="C89" s="56">
        <v>20000000</v>
      </c>
      <c r="D89" s="200">
        <f>C89/C88*100</f>
        <v>42.544139544777707</v>
      </c>
      <c r="E89" s="134">
        <f t="shared" ref="E89:E90" si="40">G89/C89*100</f>
        <v>90.717500000000001</v>
      </c>
      <c r="F89" s="134">
        <f t="shared" ref="F89:F90" si="41">(D89*E89)/100</f>
        <v>38.594979791533717</v>
      </c>
      <c r="G89" s="135">
        <v>18143500</v>
      </c>
      <c r="H89" s="134">
        <f t="shared" ref="H89:H90" si="42">G89/C89*100</f>
        <v>90.717500000000001</v>
      </c>
      <c r="I89" s="134">
        <f t="shared" ref="I89:I90" si="43">(D89*H89)/100</f>
        <v>38.594979791533717</v>
      </c>
      <c r="J89" s="56">
        <v>1856500</v>
      </c>
      <c r="K89" s="56"/>
      <c r="L89" s="4"/>
      <c r="M89" s="4"/>
      <c r="N89" s="4"/>
      <c r="O89" s="4"/>
      <c r="P89" s="4"/>
      <c r="Q89" s="4"/>
      <c r="R89" s="9"/>
    </row>
    <row r="90" spans="1:18" ht="25.5" x14ac:dyDescent="0.25">
      <c r="A90" s="49" t="s">
        <v>93</v>
      </c>
      <c r="B90" s="77" t="s">
        <v>378</v>
      </c>
      <c r="C90" s="56">
        <v>27010000</v>
      </c>
      <c r="D90" s="200">
        <f>C90/C88*100</f>
        <v>57.455860455222293</v>
      </c>
      <c r="E90" s="134">
        <f t="shared" si="40"/>
        <v>93.844346538319144</v>
      </c>
      <c r="F90" s="134">
        <f t="shared" si="41"/>
        <v>53.919076792171879</v>
      </c>
      <c r="G90" s="135">
        <v>25347358</v>
      </c>
      <c r="H90" s="134">
        <f t="shared" si="42"/>
        <v>93.844346538319144</v>
      </c>
      <c r="I90" s="134">
        <f t="shared" si="43"/>
        <v>53.919076792171879</v>
      </c>
      <c r="J90" s="56">
        <v>1662642</v>
      </c>
      <c r="K90" s="56"/>
      <c r="L90" s="4"/>
      <c r="M90" s="695"/>
      <c r="N90" s="4"/>
      <c r="O90" s="4"/>
      <c r="P90" s="4"/>
      <c r="Q90" s="4"/>
      <c r="R90" s="9"/>
    </row>
    <row r="91" spans="1:18" x14ac:dyDescent="0.25">
      <c r="A91" s="1045" t="s">
        <v>95</v>
      </c>
      <c r="B91" s="1046"/>
      <c r="C91" s="1047"/>
      <c r="D91" s="81"/>
      <c r="E91" s="134"/>
      <c r="F91" s="134"/>
      <c r="G91" s="768">
        <f>SUM(G8:G90)</f>
        <v>14150793109</v>
      </c>
      <c r="H91" s="134"/>
      <c r="I91" s="134"/>
      <c r="J91" s="781">
        <v>296552793</v>
      </c>
      <c r="K91" s="130"/>
      <c r="L91" s="1"/>
      <c r="M91" s="1"/>
      <c r="N91" s="1"/>
      <c r="O91" s="1"/>
      <c r="P91" s="1"/>
      <c r="Q91" s="1"/>
      <c r="R91" s="1"/>
    </row>
    <row r="92" spans="1:18" x14ac:dyDescent="0.25">
      <c r="A92" s="50"/>
      <c r="B92" s="5"/>
      <c r="C92" s="50"/>
      <c r="D92" s="9"/>
      <c r="E92" s="23"/>
      <c r="F92" s="23"/>
      <c r="G92" s="11"/>
      <c r="H92" s="23"/>
      <c r="I92" s="23"/>
      <c r="J92" s="4"/>
      <c r="K92" s="9"/>
      <c r="L92" s="1"/>
      <c r="M92" s="1"/>
      <c r="N92" s="1"/>
      <c r="O92" s="1"/>
      <c r="P92" s="1"/>
      <c r="Q92" s="1"/>
      <c r="R92" s="1"/>
    </row>
    <row r="93" spans="1:18" x14ac:dyDescent="0.25">
      <c r="A93" s="1036" t="s">
        <v>0</v>
      </c>
      <c r="B93" s="1036"/>
      <c r="C93" s="1036"/>
      <c r="D93" s="1036"/>
      <c r="E93" s="1037"/>
      <c r="F93" s="1037"/>
      <c r="G93" s="1038"/>
      <c r="H93" s="1037"/>
      <c r="I93" s="1037"/>
      <c r="J93" s="1036"/>
      <c r="K93" s="1036"/>
      <c r="L93" s="1"/>
      <c r="M93" s="1"/>
      <c r="N93" s="1"/>
      <c r="O93" s="1"/>
      <c r="P93" s="1"/>
      <c r="Q93" s="1"/>
      <c r="R93" s="1"/>
    </row>
    <row r="94" spans="1:18" x14ac:dyDescent="0.25">
      <c r="A94" s="1036" t="s">
        <v>174</v>
      </c>
      <c r="B94" s="1036"/>
      <c r="C94" s="1036"/>
      <c r="D94" s="1036"/>
      <c r="E94" s="1037"/>
      <c r="F94" s="1037"/>
      <c r="G94" s="1038"/>
      <c r="H94" s="1037"/>
      <c r="I94" s="1037"/>
      <c r="J94" s="1036"/>
      <c r="K94" s="1036"/>
      <c r="L94" s="9"/>
      <c r="M94" s="9"/>
      <c r="N94" s="9"/>
      <c r="O94" s="9"/>
      <c r="P94" s="9"/>
      <c r="Q94" s="9"/>
      <c r="R94" s="9"/>
    </row>
    <row r="95" spans="1:18" x14ac:dyDescent="0.25">
      <c r="A95" s="1036" t="s">
        <v>444</v>
      </c>
      <c r="B95" s="1036"/>
      <c r="C95" s="1036"/>
      <c r="D95" s="1036"/>
      <c r="E95" s="1037"/>
      <c r="F95" s="1037"/>
      <c r="G95" s="1038"/>
      <c r="H95" s="1037"/>
      <c r="I95" s="1037"/>
      <c r="J95" s="1036"/>
      <c r="K95" s="1036"/>
      <c r="L95" s="9"/>
      <c r="M95" s="9"/>
      <c r="N95" s="9"/>
      <c r="O95" s="9"/>
      <c r="P95" s="9"/>
      <c r="Q95" s="9"/>
      <c r="R95" s="9"/>
    </row>
    <row r="96" spans="1:18" x14ac:dyDescent="0.25">
      <c r="A96" s="1048" t="s">
        <v>2</v>
      </c>
      <c r="B96" s="1051" t="s">
        <v>3</v>
      </c>
      <c r="C96" s="1048" t="s">
        <v>4</v>
      </c>
      <c r="D96" s="1054" t="s">
        <v>5</v>
      </c>
      <c r="E96" s="1055"/>
      <c r="F96" s="1055"/>
      <c r="G96" s="1044" t="s">
        <v>6</v>
      </c>
      <c r="H96" s="1055"/>
      <c r="I96" s="1055"/>
      <c r="J96" s="1048" t="s">
        <v>7</v>
      </c>
      <c r="K96" s="213" t="s">
        <v>8</v>
      </c>
      <c r="L96" s="9"/>
      <c r="M96" s="9"/>
      <c r="N96" s="9"/>
      <c r="O96" s="9"/>
      <c r="P96" s="9"/>
      <c r="Q96" s="9"/>
      <c r="R96" s="9"/>
    </row>
    <row r="97" spans="1:18" x14ac:dyDescent="0.25">
      <c r="A97" s="1049"/>
      <c r="B97" s="1052"/>
      <c r="C97" s="1049"/>
      <c r="D97" s="209" t="s">
        <v>9</v>
      </c>
      <c r="E97" s="214" t="s">
        <v>10</v>
      </c>
      <c r="F97" s="214" t="s">
        <v>11</v>
      </c>
      <c r="G97" s="209" t="s">
        <v>12</v>
      </c>
      <c r="H97" s="214" t="s">
        <v>13</v>
      </c>
      <c r="I97" s="214" t="s">
        <v>11</v>
      </c>
      <c r="J97" s="1049"/>
      <c r="K97" s="209"/>
      <c r="L97" s="1"/>
      <c r="M97" s="1"/>
      <c r="N97" s="1"/>
      <c r="O97" s="1"/>
      <c r="P97" s="1"/>
      <c r="Q97" s="1"/>
      <c r="R97" s="1"/>
    </row>
    <row r="98" spans="1:18" x14ac:dyDescent="0.25">
      <c r="A98" s="1050"/>
      <c r="B98" s="1053"/>
      <c r="C98" s="1050"/>
      <c r="D98" s="212" t="s">
        <v>14</v>
      </c>
      <c r="E98" s="215" t="s">
        <v>14</v>
      </c>
      <c r="F98" s="215" t="s">
        <v>14</v>
      </c>
      <c r="G98" s="212" t="s">
        <v>15</v>
      </c>
      <c r="H98" s="215" t="s">
        <v>14</v>
      </c>
      <c r="I98" s="215" t="s">
        <v>14</v>
      </c>
      <c r="J98" s="212" t="s">
        <v>15</v>
      </c>
      <c r="K98" s="212"/>
      <c r="L98" s="1"/>
      <c r="M98" s="1"/>
      <c r="N98" s="1"/>
      <c r="O98" s="1"/>
      <c r="P98" s="1"/>
      <c r="Q98" s="1"/>
      <c r="R98" s="1"/>
    </row>
    <row r="99" spans="1:18" ht="26.25" thickBot="1" x14ac:dyDescent="0.3">
      <c r="A99" s="227" t="s">
        <v>220</v>
      </c>
      <c r="B99" s="704" t="s">
        <v>212</v>
      </c>
      <c r="C99" s="245">
        <f>SUM(C102:C128)</f>
        <v>1080472190</v>
      </c>
      <c r="D99" s="6"/>
      <c r="E99" s="203"/>
      <c r="F99" s="204"/>
      <c r="G99" s="6"/>
      <c r="H99" s="204"/>
      <c r="I99" s="204"/>
      <c r="J99" s="6"/>
      <c r="K99" s="6"/>
      <c r="L99" s="1"/>
      <c r="M99" s="1"/>
      <c r="N99" s="1"/>
      <c r="O99" s="714"/>
      <c r="P99" s="1"/>
      <c r="Q99" s="1"/>
      <c r="R99" s="1"/>
    </row>
    <row r="100" spans="1:18" ht="26.25" thickBot="1" x14ac:dyDescent="0.3">
      <c r="A100" s="703" t="s">
        <v>180</v>
      </c>
      <c r="B100" s="705" t="s">
        <v>379</v>
      </c>
      <c r="C100" s="702">
        <f>SUM(C102:C128)</f>
        <v>1080472190</v>
      </c>
      <c r="D100" s="226"/>
      <c r="E100" s="204"/>
      <c r="F100" s="204"/>
      <c r="G100" s="6"/>
      <c r="H100" s="204"/>
      <c r="I100" s="204"/>
      <c r="J100" s="6"/>
      <c r="K100" s="6"/>
      <c r="L100" s="1"/>
      <c r="M100" s="1"/>
      <c r="N100" s="1"/>
      <c r="O100" s="1"/>
      <c r="P100" s="1"/>
      <c r="Q100" s="1"/>
      <c r="R100" s="1"/>
    </row>
    <row r="101" spans="1:18" ht="25.5" x14ac:dyDescent="0.25">
      <c r="A101" s="698" t="s">
        <v>181</v>
      </c>
      <c r="B101" s="706" t="s">
        <v>380</v>
      </c>
      <c r="C101" s="246">
        <f>SUM(C102:C128)</f>
        <v>1080472190</v>
      </c>
      <c r="D101" s="236"/>
      <c r="E101" s="278"/>
      <c r="F101" s="278"/>
      <c r="G101" s="236"/>
      <c r="H101" s="278"/>
      <c r="I101" s="278"/>
      <c r="J101" s="236"/>
      <c r="K101" s="236"/>
      <c r="L101" s="1"/>
      <c r="M101" s="1"/>
      <c r="N101" s="1"/>
      <c r="O101" s="715"/>
      <c r="P101" s="1"/>
      <c r="Q101" s="1"/>
      <c r="R101" s="1"/>
    </row>
    <row r="102" spans="1:18" ht="15" customHeight="1" x14ac:dyDescent="0.25">
      <c r="A102" s="315" t="s">
        <v>44</v>
      </c>
      <c r="B102" s="707" t="s">
        <v>384</v>
      </c>
      <c r="C102" s="722">
        <v>49890000</v>
      </c>
      <c r="D102" s="722">
        <f>C102/C100*100</f>
        <v>4.6174256460964536</v>
      </c>
      <c r="E102" s="134">
        <f t="shared" ref="E102:E128" si="44">G102/C102*100</f>
        <v>84.205251553417511</v>
      </c>
      <c r="F102" s="134">
        <f t="shared" ref="F102:F128" si="45">(D102*E102)/100</f>
        <v>3.8881148805875325</v>
      </c>
      <c r="G102" s="6">
        <f>42010000</f>
        <v>42010000</v>
      </c>
      <c r="H102" s="134">
        <f t="shared" ref="H102:H128" si="46">G102/C102*100</f>
        <v>84.205251553417511</v>
      </c>
      <c r="I102" s="134">
        <f t="shared" ref="I102:I128" si="47">(D102*H102)/100</f>
        <v>3.8881148805875325</v>
      </c>
      <c r="J102" s="56">
        <f>7880000</f>
        <v>7880000</v>
      </c>
      <c r="K102" s="6"/>
      <c r="L102" s="1"/>
      <c r="M102" s="1"/>
      <c r="N102" s="1"/>
      <c r="O102" s="1"/>
      <c r="P102" s="1"/>
      <c r="Q102" s="1"/>
      <c r="R102" s="1"/>
    </row>
    <row r="103" spans="1:18" x14ac:dyDescent="0.25">
      <c r="A103" s="315" t="s">
        <v>221</v>
      </c>
      <c r="B103" s="78" t="s">
        <v>213</v>
      </c>
      <c r="C103" s="247">
        <v>7000000</v>
      </c>
      <c r="D103" s="251">
        <f>C103/C100*100</f>
        <v>0.64786489321858431</v>
      </c>
      <c r="E103" s="134">
        <f t="shared" si="44"/>
        <v>100</v>
      </c>
      <c r="F103" s="134">
        <f t="shared" si="45"/>
        <v>0.6478648932185842</v>
      </c>
      <c r="G103" s="6">
        <f>7000000</f>
        <v>7000000</v>
      </c>
      <c r="H103" s="134">
        <f t="shared" si="46"/>
        <v>100</v>
      </c>
      <c r="I103" s="134">
        <f t="shared" si="47"/>
        <v>0.6478648932185842</v>
      </c>
      <c r="J103" s="56">
        <v>0</v>
      </c>
      <c r="K103" s="6"/>
      <c r="L103" s="1"/>
      <c r="M103" s="1"/>
      <c r="N103" s="1"/>
      <c r="O103" s="1"/>
      <c r="P103" s="1"/>
      <c r="Q103" s="1"/>
      <c r="R103" s="1"/>
    </row>
    <row r="104" spans="1:18" x14ac:dyDescent="0.25">
      <c r="A104" s="315" t="s">
        <v>78</v>
      </c>
      <c r="B104" s="78" t="s">
        <v>99</v>
      </c>
      <c r="C104" s="247">
        <v>5050000</v>
      </c>
      <c r="D104" s="279">
        <f>C104/C100*100</f>
        <v>0.46738824439340726</v>
      </c>
      <c r="E104" s="134">
        <f t="shared" si="44"/>
        <v>100</v>
      </c>
      <c r="F104" s="134">
        <f t="shared" si="45"/>
        <v>0.46738824439340726</v>
      </c>
      <c r="G104" s="6">
        <f>4050000+1000000</f>
        <v>5050000</v>
      </c>
      <c r="H104" s="134">
        <f t="shared" si="46"/>
        <v>100</v>
      </c>
      <c r="I104" s="134">
        <f t="shared" si="47"/>
        <v>0.46738824439340726</v>
      </c>
      <c r="J104" s="56">
        <v>0</v>
      </c>
      <c r="K104" s="6"/>
      <c r="L104" s="1"/>
      <c r="M104" s="1"/>
      <c r="N104" s="1"/>
      <c r="O104" s="1"/>
      <c r="P104" s="1"/>
      <c r="Q104" s="1"/>
      <c r="R104" s="1"/>
    </row>
    <row r="105" spans="1:18" x14ac:dyDescent="0.25">
      <c r="A105" s="315" t="s">
        <v>222</v>
      </c>
      <c r="B105" s="78" t="s">
        <v>214</v>
      </c>
      <c r="C105" s="247">
        <v>35000000</v>
      </c>
      <c r="D105" s="279">
        <f>C105/C100*100</f>
        <v>3.2393244660929215</v>
      </c>
      <c r="E105" s="134">
        <f t="shared" si="44"/>
        <v>100</v>
      </c>
      <c r="F105" s="134">
        <f t="shared" si="45"/>
        <v>3.2393244660929215</v>
      </c>
      <c r="G105" s="6">
        <f>35000000</f>
        <v>35000000</v>
      </c>
      <c r="H105" s="134">
        <f t="shared" si="46"/>
        <v>100</v>
      </c>
      <c r="I105" s="134">
        <f t="shared" si="47"/>
        <v>3.2393244660929215</v>
      </c>
      <c r="J105" s="56">
        <v>0</v>
      </c>
      <c r="K105" s="6"/>
      <c r="L105" s="1"/>
      <c r="M105" s="1"/>
      <c r="N105" s="1"/>
      <c r="O105" s="1"/>
      <c r="P105" s="1"/>
      <c r="Q105" s="1"/>
      <c r="R105" s="1"/>
    </row>
    <row r="106" spans="1:18" x14ac:dyDescent="0.25">
      <c r="A106" s="315" t="s">
        <v>223</v>
      </c>
      <c r="B106" s="78" t="s">
        <v>215</v>
      </c>
      <c r="C106" s="247">
        <v>0</v>
      </c>
      <c r="D106" s="279">
        <f>C106/C100*100</f>
        <v>0</v>
      </c>
      <c r="E106" s="134">
        <v>0</v>
      </c>
      <c r="F106" s="134">
        <f t="shared" si="45"/>
        <v>0</v>
      </c>
      <c r="G106" s="6"/>
      <c r="H106" s="134">
        <v>0</v>
      </c>
      <c r="I106" s="134">
        <f t="shared" si="47"/>
        <v>0</v>
      </c>
      <c r="J106" s="56">
        <v>0</v>
      </c>
      <c r="K106" s="6"/>
      <c r="L106" s="1"/>
      <c r="M106" s="1"/>
    </row>
    <row r="107" spans="1:18" x14ac:dyDescent="0.25">
      <c r="A107" s="315" t="s">
        <v>59</v>
      </c>
      <c r="B107" s="707" t="s">
        <v>197</v>
      </c>
      <c r="C107" s="247">
        <v>53039690</v>
      </c>
      <c r="D107" s="279">
        <f>C107/C100*100</f>
        <v>4.9089361568852592</v>
      </c>
      <c r="E107" s="134">
        <f t="shared" si="44"/>
        <v>101.45912428975359</v>
      </c>
      <c r="F107" s="134">
        <f t="shared" si="45"/>
        <v>4.9805636367188688</v>
      </c>
      <c r="G107" s="6">
        <f>48143880+5669725</f>
        <v>53813605</v>
      </c>
      <c r="H107" s="134">
        <f t="shared" si="46"/>
        <v>101.45912428975359</v>
      </c>
      <c r="I107" s="134">
        <f t="shared" si="47"/>
        <v>4.9805636367188688</v>
      </c>
      <c r="J107" s="56">
        <v>226085</v>
      </c>
      <c r="K107" s="6"/>
      <c r="L107" s="1"/>
      <c r="M107" s="25"/>
    </row>
    <row r="108" spans="1:18" x14ac:dyDescent="0.25">
      <c r="A108" s="228" t="s">
        <v>62</v>
      </c>
      <c r="B108" s="707" t="s">
        <v>334</v>
      </c>
      <c r="C108" s="247">
        <v>43150000</v>
      </c>
      <c r="D108" s="279">
        <f>C108/C100*100</f>
        <v>3.9936243060545591</v>
      </c>
      <c r="E108" s="134">
        <f t="shared" si="44"/>
        <v>98.44837775202781</v>
      </c>
      <c r="F108" s="134">
        <f t="shared" si="45"/>
        <v>3.9316583428213914</v>
      </c>
      <c r="G108" s="6">
        <f>41645475+835000</f>
        <v>42480475</v>
      </c>
      <c r="H108" s="134">
        <f t="shared" si="46"/>
        <v>98.44837775202781</v>
      </c>
      <c r="I108" s="134">
        <f t="shared" si="47"/>
        <v>3.9316583428213914</v>
      </c>
      <c r="J108" s="56">
        <v>669525</v>
      </c>
      <c r="K108" s="6"/>
      <c r="L108" s="1"/>
      <c r="M108" s="1"/>
      <c r="O108" s="716"/>
    </row>
    <row r="109" spans="1:18" x14ac:dyDescent="0.25">
      <c r="A109" s="315" t="s">
        <v>54</v>
      </c>
      <c r="B109" s="707" t="s">
        <v>386</v>
      </c>
      <c r="C109" s="248">
        <v>14782000</v>
      </c>
      <c r="D109" s="279">
        <f>C109/C100*100</f>
        <v>1.3681055502224448</v>
      </c>
      <c r="E109" s="134">
        <f t="shared" si="44"/>
        <v>100</v>
      </c>
      <c r="F109" s="134">
        <f t="shared" si="45"/>
        <v>1.3681055502224446</v>
      </c>
      <c r="G109" s="6">
        <f>12753400+2028600</f>
        <v>14782000</v>
      </c>
      <c r="H109" s="134">
        <f t="shared" si="46"/>
        <v>100</v>
      </c>
      <c r="I109" s="134">
        <f t="shared" si="47"/>
        <v>1.3681055502224446</v>
      </c>
      <c r="J109" s="56">
        <v>0</v>
      </c>
      <c r="K109" s="6"/>
      <c r="L109" s="1"/>
      <c r="M109" s="1"/>
    </row>
    <row r="110" spans="1:18" ht="25.5" x14ac:dyDescent="0.25">
      <c r="A110" s="315" t="s">
        <v>193</v>
      </c>
      <c r="B110" s="316" t="s">
        <v>372</v>
      </c>
      <c r="C110" s="732">
        <v>3000000</v>
      </c>
      <c r="D110" s="279">
        <f>C110/C100*100</f>
        <v>0.27765638280796473</v>
      </c>
      <c r="E110" s="134">
        <f t="shared" si="44"/>
        <v>100</v>
      </c>
      <c r="F110" s="134">
        <f t="shared" si="45"/>
        <v>0.27765638280796473</v>
      </c>
      <c r="G110" s="6">
        <f>3000000</f>
        <v>3000000</v>
      </c>
      <c r="H110" s="134">
        <f t="shared" si="46"/>
        <v>100</v>
      </c>
      <c r="I110" s="134">
        <f t="shared" si="47"/>
        <v>0.27765638280796473</v>
      </c>
      <c r="J110" s="56">
        <v>0</v>
      </c>
      <c r="K110" s="6"/>
      <c r="L110" s="1"/>
      <c r="M110" s="716"/>
    </row>
    <row r="111" spans="1:18" x14ac:dyDescent="0.25">
      <c r="A111" s="315" t="s">
        <v>224</v>
      </c>
      <c r="B111" s="315" t="s">
        <v>216</v>
      </c>
      <c r="C111" s="248">
        <v>0</v>
      </c>
      <c r="D111" s="279">
        <f>C111/C100*100</f>
        <v>0</v>
      </c>
      <c r="E111" s="134">
        <v>0</v>
      </c>
      <c r="F111" s="134">
        <f t="shared" si="45"/>
        <v>0</v>
      </c>
      <c r="G111" s="6"/>
      <c r="H111" s="134">
        <v>0</v>
      </c>
      <c r="I111" s="134">
        <f t="shared" si="47"/>
        <v>0</v>
      </c>
      <c r="J111" s="56">
        <v>0</v>
      </c>
      <c r="K111" s="6"/>
      <c r="L111" s="1"/>
      <c r="M111" s="1"/>
    </row>
    <row r="112" spans="1:18" x14ac:dyDescent="0.25">
      <c r="A112" s="228" t="s">
        <v>77</v>
      </c>
      <c r="B112" s="315" t="s">
        <v>103</v>
      </c>
      <c r="C112" s="247">
        <v>266850000</v>
      </c>
      <c r="D112" s="279">
        <f>C112/C100*100</f>
        <v>24.697535250768464</v>
      </c>
      <c r="E112" s="134">
        <f t="shared" si="44"/>
        <v>100.94772344013492</v>
      </c>
      <c r="F112" s="134">
        <f t="shared" si="45"/>
        <v>24.931599581475581</v>
      </c>
      <c r="G112" s="135">
        <f>258519000+10860000</f>
        <v>269379000</v>
      </c>
      <c r="H112" s="134">
        <f t="shared" si="46"/>
        <v>100.94772344013492</v>
      </c>
      <c r="I112" s="134">
        <f t="shared" si="47"/>
        <v>24.931599581475581</v>
      </c>
      <c r="J112" s="56">
        <v>421000</v>
      </c>
      <c r="K112" s="6"/>
      <c r="L112" s="1"/>
      <c r="M112" s="1"/>
    </row>
    <row r="113" spans="1:13" x14ac:dyDescent="0.25">
      <c r="A113" s="228" t="s">
        <v>225</v>
      </c>
      <c r="B113" s="315" t="s">
        <v>217</v>
      </c>
      <c r="C113" s="247">
        <v>15000000</v>
      </c>
      <c r="D113" s="279">
        <f>C113/C100*100</f>
        <v>1.3882819140398235</v>
      </c>
      <c r="E113" s="134">
        <f t="shared" si="44"/>
        <v>100</v>
      </c>
      <c r="F113" s="134">
        <f t="shared" si="45"/>
        <v>1.3882819140398235</v>
      </c>
      <c r="G113" s="6">
        <v>15000000</v>
      </c>
      <c r="H113" s="134">
        <f t="shared" si="46"/>
        <v>100</v>
      </c>
      <c r="I113" s="134">
        <f t="shared" si="47"/>
        <v>1.3882819140398235</v>
      </c>
      <c r="J113" s="56">
        <v>295000</v>
      </c>
      <c r="K113" s="6"/>
      <c r="L113" s="1"/>
      <c r="M113" s="1"/>
    </row>
    <row r="114" spans="1:13" x14ac:dyDescent="0.25">
      <c r="A114" s="228" t="s">
        <v>226</v>
      </c>
      <c r="B114" s="315" t="s">
        <v>172</v>
      </c>
      <c r="C114" s="247">
        <v>13900000</v>
      </c>
      <c r="D114" s="279">
        <f>C114/C100*100</f>
        <v>1.2864745736769034</v>
      </c>
      <c r="E114" s="134">
        <f t="shared" si="44"/>
        <v>97.877697841726615</v>
      </c>
      <c r="F114" s="134">
        <f t="shared" si="45"/>
        <v>1.2591716960341202</v>
      </c>
      <c r="G114" s="135">
        <f>13605000</f>
        <v>13605000</v>
      </c>
      <c r="H114" s="134">
        <f t="shared" si="46"/>
        <v>97.877697841726615</v>
      </c>
      <c r="I114" s="134">
        <f t="shared" si="47"/>
        <v>1.2591716960341202</v>
      </c>
      <c r="J114" s="56">
        <v>0</v>
      </c>
      <c r="K114" s="6"/>
      <c r="L114" s="1"/>
      <c r="M114" s="1"/>
    </row>
    <row r="115" spans="1:13" x14ac:dyDescent="0.25">
      <c r="A115" s="228" t="s">
        <v>104</v>
      </c>
      <c r="B115" s="315" t="s">
        <v>105</v>
      </c>
      <c r="C115" s="249">
        <v>39500000</v>
      </c>
      <c r="D115" s="279">
        <f>C115/C100*100</f>
        <v>3.6558090403048684</v>
      </c>
      <c r="E115" s="134">
        <f t="shared" si="44"/>
        <v>100</v>
      </c>
      <c r="F115" s="134">
        <f t="shared" si="45"/>
        <v>3.6558090403048684</v>
      </c>
      <c r="G115" s="6">
        <f>38250000+1250000</f>
        <v>39500000</v>
      </c>
      <c r="H115" s="134">
        <f t="shared" si="46"/>
        <v>100</v>
      </c>
      <c r="I115" s="134">
        <f t="shared" si="47"/>
        <v>3.6558090403048684</v>
      </c>
      <c r="J115" s="56">
        <v>0</v>
      </c>
      <c r="K115" s="6"/>
      <c r="L115" s="1"/>
      <c r="M115" s="1"/>
    </row>
    <row r="116" spans="1:13" x14ac:dyDescent="0.25">
      <c r="A116" s="228" t="s">
        <v>130</v>
      </c>
      <c r="B116" s="315" t="s">
        <v>392</v>
      </c>
      <c r="C116" s="249">
        <v>8250000</v>
      </c>
      <c r="D116" s="279"/>
      <c r="E116" s="134"/>
      <c r="F116" s="134"/>
      <c r="G116" s="6">
        <f>8250000</f>
        <v>8250000</v>
      </c>
      <c r="H116" s="134"/>
      <c r="I116" s="134"/>
      <c r="J116" s="56"/>
      <c r="K116" s="6"/>
      <c r="L116" s="1"/>
      <c r="M116" s="1"/>
    </row>
    <row r="117" spans="1:13" ht="25.5" x14ac:dyDescent="0.25">
      <c r="A117" s="228" t="s">
        <v>106</v>
      </c>
      <c r="B117" s="316" t="s">
        <v>107</v>
      </c>
      <c r="C117" s="251">
        <v>189600000</v>
      </c>
      <c r="D117" s="279">
        <f>C117/C100*100</f>
        <v>17.547883393463369</v>
      </c>
      <c r="E117" s="134">
        <f t="shared" si="44"/>
        <v>90.374472573839654</v>
      </c>
      <c r="F117" s="134">
        <f t="shared" si="45"/>
        <v>15.858807064714915</v>
      </c>
      <c r="G117" s="135">
        <f>171350000</f>
        <v>171350000</v>
      </c>
      <c r="H117" s="134">
        <f t="shared" si="46"/>
        <v>90.374472573839654</v>
      </c>
      <c r="I117" s="134">
        <f t="shared" si="47"/>
        <v>15.858807064714915</v>
      </c>
      <c r="J117" s="56">
        <v>15800000</v>
      </c>
      <c r="K117" s="6"/>
      <c r="L117" s="1"/>
      <c r="M117" s="1"/>
    </row>
    <row r="118" spans="1:13" x14ac:dyDescent="0.25">
      <c r="A118" s="228" t="s">
        <v>227</v>
      </c>
      <c r="B118" s="315" t="s">
        <v>218</v>
      </c>
      <c r="C118" s="250">
        <v>128000000</v>
      </c>
      <c r="D118" s="279">
        <f>C118/C100*100</f>
        <v>11.846672333139828</v>
      </c>
      <c r="E118" s="134">
        <f t="shared" si="44"/>
        <v>90.625</v>
      </c>
      <c r="F118" s="134">
        <f t="shared" si="45"/>
        <v>10.736046801907969</v>
      </c>
      <c r="G118" s="135">
        <f>116000000</f>
        <v>116000000</v>
      </c>
      <c r="H118" s="134">
        <f t="shared" si="46"/>
        <v>90.625</v>
      </c>
      <c r="I118" s="134">
        <f t="shared" si="47"/>
        <v>10.736046801907969</v>
      </c>
      <c r="J118" s="56">
        <f>12000000</f>
        <v>12000000</v>
      </c>
      <c r="K118" s="6"/>
      <c r="L118" s="1"/>
      <c r="M118" s="1"/>
    </row>
    <row r="119" spans="1:13" x14ac:dyDescent="0.25">
      <c r="A119" s="315" t="s">
        <v>108</v>
      </c>
      <c r="B119" s="315" t="s">
        <v>109</v>
      </c>
      <c r="C119" s="250">
        <v>1200000</v>
      </c>
      <c r="D119" s="279">
        <f>C119/C100*100</f>
        <v>0.11106255312318589</v>
      </c>
      <c r="E119" s="134">
        <f t="shared" si="44"/>
        <v>0</v>
      </c>
      <c r="F119" s="134">
        <f t="shared" si="45"/>
        <v>0</v>
      </c>
      <c r="G119" s="6"/>
      <c r="H119" s="134">
        <f t="shared" si="46"/>
        <v>0</v>
      </c>
      <c r="I119" s="134">
        <f t="shared" si="47"/>
        <v>0</v>
      </c>
      <c r="J119" s="56">
        <f>1200000</f>
        <v>1200000</v>
      </c>
      <c r="K119" s="6"/>
      <c r="L119" s="1"/>
      <c r="M119" s="1"/>
    </row>
    <row r="120" spans="1:13" x14ac:dyDescent="0.25">
      <c r="A120" s="83" t="s">
        <v>228</v>
      </c>
      <c r="B120" s="315" t="s">
        <v>111</v>
      </c>
      <c r="C120" s="250">
        <v>800000</v>
      </c>
      <c r="D120" s="279">
        <f>C120/C100*100</f>
        <v>7.4041702082123934E-2</v>
      </c>
      <c r="E120" s="134">
        <f t="shared" si="44"/>
        <v>0</v>
      </c>
      <c r="F120" s="134">
        <f t="shared" si="45"/>
        <v>0</v>
      </c>
      <c r="G120" s="6"/>
      <c r="H120" s="134">
        <f t="shared" si="46"/>
        <v>0</v>
      </c>
      <c r="I120" s="134">
        <f t="shared" si="47"/>
        <v>0</v>
      </c>
      <c r="J120" s="56">
        <v>800000</v>
      </c>
      <c r="K120" s="6"/>
      <c r="L120" s="1"/>
      <c r="M120" s="1"/>
    </row>
    <row r="121" spans="1:13" x14ac:dyDescent="0.25">
      <c r="A121" s="315" t="s">
        <v>112</v>
      </c>
      <c r="B121" s="315" t="s">
        <v>113</v>
      </c>
      <c r="C121" s="250">
        <v>4000000</v>
      </c>
      <c r="D121" s="279">
        <f>C121/C100*100</f>
        <v>0.37020851041061964</v>
      </c>
      <c r="E121" s="134">
        <f t="shared" si="44"/>
        <v>0</v>
      </c>
      <c r="F121" s="134">
        <f t="shared" si="45"/>
        <v>0</v>
      </c>
      <c r="G121" s="6"/>
      <c r="H121" s="134">
        <f t="shared" si="46"/>
        <v>0</v>
      </c>
      <c r="I121" s="134">
        <f t="shared" si="47"/>
        <v>0</v>
      </c>
      <c r="J121" s="56">
        <v>4000000</v>
      </c>
      <c r="K121" s="6"/>
      <c r="L121" s="1"/>
      <c r="M121" s="1"/>
    </row>
    <row r="122" spans="1:13" x14ac:dyDescent="0.25">
      <c r="A122" s="7" t="s">
        <v>114</v>
      </c>
      <c r="B122" s="315" t="s">
        <v>115</v>
      </c>
      <c r="C122" s="163">
        <v>1000000</v>
      </c>
      <c r="D122" s="279">
        <f>C122/C100*100</f>
        <v>9.255212760265491E-2</v>
      </c>
      <c r="E122" s="134">
        <f t="shared" si="44"/>
        <v>0</v>
      </c>
      <c r="F122" s="134">
        <f t="shared" si="45"/>
        <v>0</v>
      </c>
      <c r="G122" s="6"/>
      <c r="H122" s="134">
        <f t="shared" si="46"/>
        <v>0</v>
      </c>
      <c r="I122" s="134">
        <f t="shared" si="47"/>
        <v>0</v>
      </c>
      <c r="J122" s="56">
        <v>1000000</v>
      </c>
      <c r="K122" s="6"/>
      <c r="L122" s="1"/>
      <c r="M122" s="1"/>
    </row>
    <row r="123" spans="1:13" x14ac:dyDescent="0.25">
      <c r="A123" s="315" t="s">
        <v>229</v>
      </c>
      <c r="B123" s="315" t="s">
        <v>219</v>
      </c>
      <c r="C123" s="163">
        <v>0</v>
      </c>
      <c r="D123" s="279">
        <f>C123/C100*100</f>
        <v>0</v>
      </c>
      <c r="E123" s="134">
        <v>0</v>
      </c>
      <c r="F123" s="134">
        <f t="shared" si="45"/>
        <v>0</v>
      </c>
      <c r="G123" s="6"/>
      <c r="H123" s="134">
        <v>0</v>
      </c>
      <c r="I123" s="134">
        <f t="shared" si="47"/>
        <v>0</v>
      </c>
      <c r="J123" s="56">
        <v>0</v>
      </c>
      <c r="K123" s="6"/>
      <c r="L123" s="1"/>
      <c r="M123" s="1"/>
    </row>
    <row r="124" spans="1:13" ht="25.5" x14ac:dyDescent="0.25">
      <c r="A124" s="228" t="s">
        <v>116</v>
      </c>
      <c r="B124" s="316" t="s">
        <v>117</v>
      </c>
      <c r="C124" s="251">
        <v>10455500</v>
      </c>
      <c r="D124" s="279">
        <f>C124/C100*100</f>
        <v>0.9676787701495585</v>
      </c>
      <c r="E124" s="134">
        <f t="shared" si="44"/>
        <v>85.050451915259913</v>
      </c>
      <c r="F124" s="134">
        <f t="shared" si="45"/>
        <v>0.82301516710022882</v>
      </c>
      <c r="G124" s="135">
        <f>4193050+4699400</f>
        <v>8892450</v>
      </c>
      <c r="H124" s="134">
        <f t="shared" si="46"/>
        <v>85.050451915259913</v>
      </c>
      <c r="I124" s="134">
        <f t="shared" si="47"/>
        <v>0.82301516710022882</v>
      </c>
      <c r="J124" s="56">
        <f>1563050</f>
        <v>1563050</v>
      </c>
      <c r="K124" s="6"/>
      <c r="L124" s="1"/>
      <c r="M124" s="25"/>
    </row>
    <row r="125" spans="1:13" ht="25.5" x14ac:dyDescent="0.25">
      <c r="A125" s="228" t="s">
        <v>118</v>
      </c>
      <c r="B125" s="316" t="s">
        <v>119</v>
      </c>
      <c r="C125" s="251">
        <v>94380000</v>
      </c>
      <c r="D125" s="279">
        <f>C125/C100*100</f>
        <v>8.7350698031385701</v>
      </c>
      <c r="E125" s="134">
        <f t="shared" si="44"/>
        <v>100</v>
      </c>
      <c r="F125" s="134">
        <f>(D125*E125)/100</f>
        <v>8.7350698031385701</v>
      </c>
      <c r="G125" s="135">
        <f>94380000</f>
        <v>94380000</v>
      </c>
      <c r="H125" s="134">
        <f t="shared" si="46"/>
        <v>100</v>
      </c>
      <c r="I125" s="134">
        <f t="shared" si="47"/>
        <v>8.7350698031385701</v>
      </c>
      <c r="J125" s="56">
        <v>0</v>
      </c>
      <c r="K125" s="6"/>
    </row>
    <row r="126" spans="1:13" x14ac:dyDescent="0.25">
      <c r="A126" s="228" t="s">
        <v>65</v>
      </c>
      <c r="B126" s="315" t="s">
        <v>393</v>
      </c>
      <c r="C126" s="251">
        <v>30500000</v>
      </c>
      <c r="D126" s="279">
        <f>C126/C101*100</f>
        <v>2.8228398918809749</v>
      </c>
      <c r="E126" s="134">
        <f t="shared" si="44"/>
        <v>99.016393442622956</v>
      </c>
      <c r="F126" s="134">
        <f t="shared" ref="F126:F127" si="48">(D126*E126)/100</f>
        <v>2.7950742536001787</v>
      </c>
      <c r="G126" s="6">
        <f>30200000</f>
        <v>30200000</v>
      </c>
      <c r="H126" s="134">
        <f t="shared" si="46"/>
        <v>99.016393442622956</v>
      </c>
      <c r="I126" s="134">
        <f t="shared" si="47"/>
        <v>2.7950742536001787</v>
      </c>
      <c r="J126" s="56">
        <v>300000</v>
      </c>
      <c r="K126" s="6"/>
    </row>
    <row r="127" spans="1:13" x14ac:dyDescent="0.25">
      <c r="A127" s="228" t="s">
        <v>66</v>
      </c>
      <c r="B127" s="315" t="s">
        <v>120</v>
      </c>
      <c r="C127" s="251">
        <v>46125000</v>
      </c>
      <c r="D127" s="279">
        <f>C127/C102*100</f>
        <v>92.453397474443776</v>
      </c>
      <c r="E127" s="134">
        <f t="shared" si="44"/>
        <v>69.376693766937663</v>
      </c>
      <c r="F127" s="134">
        <f t="shared" si="48"/>
        <v>64.141110442974536</v>
      </c>
      <c r="G127" s="6">
        <f>29550000+2450000</f>
        <v>32000000</v>
      </c>
      <c r="H127" s="134">
        <v>0</v>
      </c>
      <c r="I127" s="134">
        <v>0</v>
      </c>
      <c r="J127" s="56">
        <f>12625000</f>
        <v>12625000</v>
      </c>
      <c r="K127" s="6"/>
    </row>
    <row r="128" spans="1:13" x14ac:dyDescent="0.25">
      <c r="A128" s="315" t="s">
        <v>287</v>
      </c>
      <c r="B128" s="315" t="s">
        <v>191</v>
      </c>
      <c r="C128" s="250">
        <v>20000000</v>
      </c>
      <c r="D128" s="279">
        <f>C128/C100*100</f>
        <v>1.8510425520530984</v>
      </c>
      <c r="E128" s="134">
        <f t="shared" si="44"/>
        <v>75</v>
      </c>
      <c r="F128" s="134">
        <f t="shared" si="45"/>
        <v>1.3882819140398237</v>
      </c>
      <c r="G128" s="6">
        <f>15000000</f>
        <v>15000000</v>
      </c>
      <c r="H128" s="134">
        <f t="shared" si="46"/>
        <v>75</v>
      </c>
      <c r="I128" s="134">
        <f t="shared" si="47"/>
        <v>1.3882819140398237</v>
      </c>
      <c r="J128" s="56">
        <v>5000000</v>
      </c>
      <c r="K128" s="6"/>
    </row>
    <row r="129" spans="1:15" x14ac:dyDescent="0.25">
      <c r="A129" s="1066" t="s">
        <v>95</v>
      </c>
      <c r="B129" s="1067"/>
      <c r="C129" s="1068"/>
      <c r="D129" s="277"/>
      <c r="E129" s="134"/>
      <c r="F129" s="134"/>
      <c r="G129" s="26">
        <f>SUM(G102:G128)</f>
        <v>1016692530</v>
      </c>
      <c r="H129" s="134"/>
      <c r="I129" s="134"/>
      <c r="J129" s="734">
        <f>SUM(J102:J128)</f>
        <v>63779660</v>
      </c>
      <c r="K129" s="26">
        <v>0</v>
      </c>
    </row>
    <row r="130" spans="1:15" x14ac:dyDescent="0.25">
      <c r="A130" s="52"/>
      <c r="B130" s="8"/>
      <c r="C130" s="52"/>
      <c r="D130" s="27"/>
      <c r="E130" s="28"/>
      <c r="F130" s="23"/>
      <c r="G130" s="11"/>
      <c r="H130" s="23"/>
      <c r="I130" s="23"/>
      <c r="J130" s="9"/>
      <c r="K130" s="9"/>
    </row>
    <row r="131" spans="1:15" x14ac:dyDescent="0.25">
      <c r="A131" s="50"/>
      <c r="B131" s="5"/>
      <c r="C131" s="50"/>
      <c r="D131" s="9"/>
      <c r="E131" s="23"/>
      <c r="F131" s="23"/>
      <c r="G131" s="11"/>
      <c r="H131" s="23"/>
      <c r="I131" s="23"/>
      <c r="J131" s="9"/>
      <c r="K131" s="9"/>
    </row>
    <row r="132" spans="1:15" x14ac:dyDescent="0.25">
      <c r="A132" s="1069" t="s">
        <v>2</v>
      </c>
      <c r="B132" s="1069" t="s">
        <v>123</v>
      </c>
      <c r="C132" s="761"/>
      <c r="D132" s="1063" t="s">
        <v>5</v>
      </c>
      <c r="E132" s="1064"/>
      <c r="F132" s="1064"/>
      <c r="G132" s="1065" t="s">
        <v>6</v>
      </c>
      <c r="H132" s="1064"/>
      <c r="I132" s="1064"/>
      <c r="J132" s="1056" t="s">
        <v>7</v>
      </c>
      <c r="K132" s="1056" t="s">
        <v>8</v>
      </c>
    </row>
    <row r="133" spans="1:15" x14ac:dyDescent="0.25">
      <c r="A133" s="1070"/>
      <c r="B133" s="1070"/>
      <c r="C133" s="762" t="s">
        <v>124</v>
      </c>
      <c r="D133" s="89" t="s">
        <v>9</v>
      </c>
      <c r="E133" s="90" t="s">
        <v>10</v>
      </c>
      <c r="F133" s="90" t="s">
        <v>11</v>
      </c>
      <c r="G133" s="91" t="s">
        <v>12</v>
      </c>
      <c r="H133" s="90" t="s">
        <v>13</v>
      </c>
      <c r="I133" s="90" t="s">
        <v>11</v>
      </c>
      <c r="J133" s="1057"/>
      <c r="K133" s="1057"/>
      <c r="O133" s="713"/>
    </row>
    <row r="134" spans="1:15" x14ac:dyDescent="0.25">
      <c r="A134" s="1071"/>
      <c r="B134" s="1071"/>
      <c r="C134" s="762"/>
      <c r="D134" s="92" t="s">
        <v>14</v>
      </c>
      <c r="E134" s="93" t="s">
        <v>14</v>
      </c>
      <c r="F134" s="93" t="s">
        <v>14</v>
      </c>
      <c r="G134" s="94" t="s">
        <v>15</v>
      </c>
      <c r="H134" s="93" t="s">
        <v>14</v>
      </c>
      <c r="I134" s="93" t="s">
        <v>14</v>
      </c>
      <c r="J134" s="92" t="s">
        <v>15</v>
      </c>
      <c r="K134" s="1058"/>
    </row>
    <row r="135" spans="1:15" ht="25.5" x14ac:dyDescent="0.25">
      <c r="A135" s="139" t="s">
        <v>180</v>
      </c>
      <c r="B135" s="696" t="s">
        <v>379</v>
      </c>
      <c r="C135" s="58"/>
      <c r="D135" s="38"/>
      <c r="E135" s="134"/>
      <c r="F135" s="134"/>
      <c r="G135" s="135"/>
      <c r="H135" s="134"/>
      <c r="I135" s="134"/>
      <c r="J135" s="38"/>
      <c r="K135" s="10"/>
    </row>
    <row r="136" spans="1:15" ht="25.5" x14ac:dyDescent="0.25">
      <c r="A136" s="176" t="s">
        <v>181</v>
      </c>
      <c r="B136" s="697" t="s">
        <v>380</v>
      </c>
      <c r="C136" s="86">
        <f>SUM(C137:C144)</f>
        <v>100000000</v>
      </c>
      <c r="D136" s="179"/>
      <c r="E136" s="180"/>
      <c r="F136" s="180"/>
      <c r="G136" s="181"/>
      <c r="H136" s="180"/>
      <c r="I136" s="180"/>
      <c r="J136" s="179"/>
      <c r="K136" s="167"/>
    </row>
    <row r="137" spans="1:15" ht="25.5" x14ac:dyDescent="0.25">
      <c r="A137" s="170" t="s">
        <v>44</v>
      </c>
      <c r="B137" s="707" t="s">
        <v>384</v>
      </c>
      <c r="C137" s="58">
        <v>5430000</v>
      </c>
      <c r="D137" s="180">
        <f>C137/C136*100</f>
        <v>5.43</v>
      </c>
      <c r="E137" s="134">
        <f t="shared" ref="E137:E143" si="49">G137/C137*100</f>
        <v>100</v>
      </c>
      <c r="F137" s="134">
        <f t="shared" ref="F137:F143" si="50">(D137*E137)/100</f>
        <v>5.43</v>
      </c>
      <c r="G137" s="181">
        <f>5430000</f>
        <v>5430000</v>
      </c>
      <c r="H137" s="134">
        <f t="shared" ref="H137:H143" si="51">G137/C137*100</f>
        <v>100</v>
      </c>
      <c r="I137" s="134">
        <f t="shared" ref="I137:I143" si="52">(D137*H137)/100</f>
        <v>5.43</v>
      </c>
      <c r="J137" s="56">
        <v>0</v>
      </c>
      <c r="K137" s="167"/>
    </row>
    <row r="138" spans="1:15" x14ac:dyDescent="0.25">
      <c r="A138" s="170" t="s">
        <v>59</v>
      </c>
      <c r="B138" s="707" t="s">
        <v>197</v>
      </c>
      <c r="C138" s="58">
        <v>7259750</v>
      </c>
      <c r="D138" s="180">
        <f>C138/C136*100</f>
        <v>7.2597499999999995</v>
      </c>
      <c r="E138" s="134">
        <f t="shared" si="49"/>
        <v>100</v>
      </c>
      <c r="F138" s="134">
        <f t="shared" si="50"/>
        <v>7.2597499999999995</v>
      </c>
      <c r="G138" s="181">
        <f>7259750</f>
        <v>7259750</v>
      </c>
      <c r="H138" s="134">
        <f t="shared" si="51"/>
        <v>100</v>
      </c>
      <c r="I138" s="134">
        <f t="shared" si="52"/>
        <v>7.2597499999999995</v>
      </c>
      <c r="J138" s="56">
        <v>0</v>
      </c>
      <c r="K138" s="167"/>
    </row>
    <row r="139" spans="1:15" x14ac:dyDescent="0.25">
      <c r="A139" s="170" t="s">
        <v>62</v>
      </c>
      <c r="B139" s="707" t="s">
        <v>334</v>
      </c>
      <c r="C139" s="58">
        <v>5190000</v>
      </c>
      <c r="D139" s="180">
        <v>2.34</v>
      </c>
      <c r="E139" s="134">
        <f t="shared" si="49"/>
        <v>100</v>
      </c>
      <c r="F139" s="134">
        <f t="shared" si="50"/>
        <v>2.34</v>
      </c>
      <c r="G139" s="181">
        <f>5190000</f>
        <v>5190000</v>
      </c>
      <c r="H139" s="134">
        <f t="shared" si="51"/>
        <v>100</v>
      </c>
      <c r="I139" s="134">
        <f t="shared" si="52"/>
        <v>2.34</v>
      </c>
      <c r="J139" s="56">
        <v>0</v>
      </c>
      <c r="K139" s="167"/>
    </row>
    <row r="140" spans="1:15" x14ac:dyDescent="0.25">
      <c r="A140" s="170" t="s">
        <v>77</v>
      </c>
      <c r="B140" s="170" t="s">
        <v>127</v>
      </c>
      <c r="C140" s="58">
        <v>30585000</v>
      </c>
      <c r="D140" s="180">
        <f>C140/C136*100</f>
        <v>30.585000000000001</v>
      </c>
      <c r="E140" s="134">
        <f t="shared" si="49"/>
        <v>100</v>
      </c>
      <c r="F140" s="134">
        <f t="shared" si="50"/>
        <v>30.585000000000001</v>
      </c>
      <c r="G140" s="181">
        <f>30585000</f>
        <v>30585000</v>
      </c>
      <c r="H140" s="134">
        <f t="shared" si="51"/>
        <v>100</v>
      </c>
      <c r="I140" s="134">
        <f t="shared" si="52"/>
        <v>30.585000000000001</v>
      </c>
      <c r="J140" s="56">
        <v>0</v>
      </c>
      <c r="K140" s="167"/>
    </row>
    <row r="141" spans="1:15" x14ac:dyDescent="0.25">
      <c r="A141" s="170" t="s">
        <v>183</v>
      </c>
      <c r="B141" s="170" t="s">
        <v>178</v>
      </c>
      <c r="C141" s="58">
        <v>21500000</v>
      </c>
      <c r="D141" s="180">
        <f>C141/C136*100</f>
        <v>21.5</v>
      </c>
      <c r="E141" s="134">
        <f t="shared" si="49"/>
        <v>100</v>
      </c>
      <c r="F141" s="134">
        <f t="shared" si="50"/>
        <v>21.5</v>
      </c>
      <c r="G141" s="181">
        <f>21500000</f>
        <v>21500000</v>
      </c>
      <c r="H141" s="134">
        <f t="shared" si="51"/>
        <v>100</v>
      </c>
      <c r="I141" s="134">
        <f t="shared" si="52"/>
        <v>21.5</v>
      </c>
      <c r="J141" s="56">
        <v>0</v>
      </c>
      <c r="K141" s="167"/>
    </row>
    <row r="142" spans="1:15" x14ac:dyDescent="0.25">
      <c r="A142" s="170" t="s">
        <v>104</v>
      </c>
      <c r="B142" s="170" t="s">
        <v>182</v>
      </c>
      <c r="C142" s="58">
        <v>14750000</v>
      </c>
      <c r="D142" s="180">
        <f>C142/C136*100</f>
        <v>14.75</v>
      </c>
      <c r="E142" s="134">
        <f t="shared" si="49"/>
        <v>100</v>
      </c>
      <c r="F142" s="134">
        <f t="shared" si="50"/>
        <v>14.75</v>
      </c>
      <c r="G142" s="181">
        <f>14750000</f>
        <v>14750000</v>
      </c>
      <c r="H142" s="134">
        <f t="shared" si="51"/>
        <v>100</v>
      </c>
      <c r="I142" s="134">
        <f t="shared" si="52"/>
        <v>14.75</v>
      </c>
      <c r="J142" s="56">
        <v>0</v>
      </c>
      <c r="K142" s="167"/>
    </row>
    <row r="143" spans="1:15" ht="25.5" x14ac:dyDescent="0.25">
      <c r="A143" s="170" t="s">
        <v>106</v>
      </c>
      <c r="B143" s="316" t="s">
        <v>375</v>
      </c>
      <c r="C143" s="58">
        <v>11550000</v>
      </c>
      <c r="D143" s="180">
        <f>C143/C136*100</f>
        <v>11.55</v>
      </c>
      <c r="E143" s="134">
        <f t="shared" si="49"/>
        <v>100</v>
      </c>
      <c r="F143" s="134">
        <f t="shared" si="50"/>
        <v>11.55</v>
      </c>
      <c r="G143" s="181">
        <f>11550000</f>
        <v>11550000</v>
      </c>
      <c r="H143" s="134">
        <f t="shared" si="51"/>
        <v>100</v>
      </c>
      <c r="I143" s="134">
        <f t="shared" si="52"/>
        <v>11.55</v>
      </c>
      <c r="J143" s="56">
        <v>0</v>
      </c>
      <c r="K143" s="167"/>
    </row>
    <row r="144" spans="1:15" ht="25.5" x14ac:dyDescent="0.25">
      <c r="A144" s="747" t="s">
        <v>116</v>
      </c>
      <c r="B144" s="316" t="s">
        <v>420</v>
      </c>
      <c r="C144" s="58">
        <v>3735250</v>
      </c>
      <c r="D144" s="180"/>
      <c r="E144" s="134"/>
      <c r="F144" s="134"/>
      <c r="G144" s="181">
        <f>3735250</f>
        <v>3735250</v>
      </c>
      <c r="H144" s="134"/>
      <c r="I144" s="134"/>
      <c r="J144" s="56"/>
      <c r="K144" s="167"/>
    </row>
    <row r="145" spans="1:14" x14ac:dyDescent="0.25">
      <c r="A145" s="1059" t="s">
        <v>128</v>
      </c>
      <c r="B145" s="1060"/>
      <c r="C145" s="58"/>
      <c r="D145" s="276">
        <f>SUM(D137:D143)</f>
        <v>93.414749999999998</v>
      </c>
      <c r="E145" s="134"/>
      <c r="F145" s="134"/>
      <c r="G145" s="42">
        <f>SUM(G137:G144)</f>
        <v>100000000</v>
      </c>
      <c r="H145" s="134"/>
      <c r="I145" s="134"/>
      <c r="J145" s="56">
        <v>0</v>
      </c>
      <c r="K145" s="3"/>
    </row>
    <row r="146" spans="1:14" x14ac:dyDescent="0.25">
      <c r="A146" s="54"/>
      <c r="B146" s="54"/>
      <c r="C146" s="59"/>
      <c r="D146" s="182"/>
      <c r="E146" s="183"/>
      <c r="F146" s="183"/>
      <c r="G146" s="184"/>
      <c r="H146" s="183"/>
      <c r="I146" s="183"/>
      <c r="J146" s="185"/>
      <c r="K146" s="37"/>
    </row>
    <row r="147" spans="1:14" ht="31.5" x14ac:dyDescent="0.25">
      <c r="A147" s="55"/>
      <c r="B147" s="46" t="s">
        <v>145</v>
      </c>
      <c r="C147" s="155"/>
      <c r="D147" s="44"/>
      <c r="E147" s="45"/>
      <c r="F147" s="45"/>
      <c r="G147" s="48"/>
      <c r="H147" s="45"/>
      <c r="I147" s="45"/>
      <c r="J147" s="44"/>
      <c r="K147" s="44"/>
      <c r="L147" s="1"/>
      <c r="M147" s="1"/>
      <c r="N147" s="1"/>
    </row>
    <row r="148" spans="1:14" x14ac:dyDescent="0.25">
      <c r="A148" s="1061" t="s">
        <v>2</v>
      </c>
      <c r="B148" s="1062" t="s">
        <v>176</v>
      </c>
      <c r="C148" s="1061" t="s">
        <v>4</v>
      </c>
      <c r="D148" s="1063" t="s">
        <v>5</v>
      </c>
      <c r="E148" s="1064"/>
      <c r="F148" s="1064"/>
      <c r="G148" s="1065" t="s">
        <v>6</v>
      </c>
      <c r="H148" s="1064"/>
      <c r="I148" s="1064"/>
      <c r="J148" s="1061" t="s">
        <v>7</v>
      </c>
      <c r="K148" s="281" t="s">
        <v>8</v>
      </c>
      <c r="L148" s="1"/>
      <c r="M148" s="1"/>
      <c r="N148" s="1"/>
    </row>
    <row r="149" spans="1:14" x14ac:dyDescent="0.25">
      <c r="A149" s="1061"/>
      <c r="B149" s="1062"/>
      <c r="C149" s="1061"/>
      <c r="D149" s="281" t="s">
        <v>9</v>
      </c>
      <c r="E149" s="292" t="s">
        <v>10</v>
      </c>
      <c r="F149" s="292" t="s">
        <v>11</v>
      </c>
      <c r="G149" s="293" t="s">
        <v>12</v>
      </c>
      <c r="H149" s="292" t="s">
        <v>13</v>
      </c>
      <c r="I149" s="292" t="s">
        <v>11</v>
      </c>
      <c r="J149" s="1056"/>
      <c r="K149" s="89"/>
    </row>
    <row r="150" spans="1:14" x14ac:dyDescent="0.25">
      <c r="A150" s="1061"/>
      <c r="B150" s="1062"/>
      <c r="C150" s="1061"/>
      <c r="D150" s="92" t="s">
        <v>14</v>
      </c>
      <c r="E150" s="93" t="s">
        <v>14</v>
      </c>
      <c r="F150" s="93" t="s">
        <v>14</v>
      </c>
      <c r="G150" s="94" t="s">
        <v>15</v>
      </c>
      <c r="H150" s="93" t="s">
        <v>14</v>
      </c>
      <c r="I150" s="93" t="s">
        <v>14</v>
      </c>
      <c r="J150" s="92" t="s">
        <v>15</v>
      </c>
      <c r="K150" s="92"/>
    </row>
    <row r="151" spans="1:14" x14ac:dyDescent="0.25">
      <c r="A151" s="79" t="s">
        <v>185</v>
      </c>
      <c r="B151" s="199" t="s">
        <v>146</v>
      </c>
      <c r="C151" s="24"/>
      <c r="D151" s="10"/>
      <c r="E151" s="34"/>
      <c r="F151" s="34"/>
      <c r="G151" s="6"/>
      <c r="H151" s="34"/>
      <c r="I151" s="34"/>
      <c r="J151" s="10"/>
      <c r="K151" s="10"/>
    </row>
    <row r="152" spans="1:14" x14ac:dyDescent="0.25">
      <c r="A152" s="125" t="s">
        <v>184</v>
      </c>
      <c r="B152" s="280" t="s">
        <v>147</v>
      </c>
      <c r="C152" s="252">
        <f>SUM(C153:C154)</f>
        <v>2552533500</v>
      </c>
      <c r="D152" s="10"/>
      <c r="E152" s="34"/>
      <c r="F152" s="34"/>
      <c r="G152" s="6"/>
      <c r="H152" s="34"/>
      <c r="I152" s="34"/>
      <c r="J152" s="10"/>
      <c r="K152" s="10"/>
    </row>
    <row r="153" spans="1:14" ht="25.5" x14ac:dyDescent="0.25">
      <c r="A153" s="154" t="s">
        <v>44</v>
      </c>
      <c r="B153" s="707" t="s">
        <v>384</v>
      </c>
      <c r="C153" s="253">
        <v>31982500</v>
      </c>
      <c r="D153" s="134">
        <f>C153/C152*100</f>
        <v>1.2529708229098659</v>
      </c>
      <c r="E153" s="134">
        <f t="shared" ref="E153:E154" si="53">G153/C153*100</f>
        <v>100</v>
      </c>
      <c r="F153" s="134">
        <f t="shared" ref="F153:F154" si="54">(D153*E153)/100</f>
        <v>1.2529708229098659</v>
      </c>
      <c r="G153" s="6">
        <f>31982500</f>
        <v>31982500</v>
      </c>
      <c r="H153" s="134">
        <f t="shared" ref="H153:H154" si="55">G153/C153*100</f>
        <v>100</v>
      </c>
      <c r="I153" s="134">
        <f t="shared" ref="I153:I154" si="56">(D153*H153)/100</f>
        <v>1.2529708229098659</v>
      </c>
      <c r="J153" s="56">
        <v>0</v>
      </c>
      <c r="K153" s="10"/>
    </row>
    <row r="154" spans="1:14" ht="25.5" x14ac:dyDescent="0.25">
      <c r="A154" s="124" t="s">
        <v>148</v>
      </c>
      <c r="B154" s="133" t="s">
        <v>149</v>
      </c>
      <c r="C154" s="253">
        <v>2520551000</v>
      </c>
      <c r="D154" s="134">
        <f>C154/C152*100</f>
        <v>98.747029177090127</v>
      </c>
      <c r="E154" s="134">
        <f t="shared" si="53"/>
        <v>99.997806035267686</v>
      </c>
      <c r="F154" s="134">
        <f t="shared" si="54"/>
        <v>98.744862702095773</v>
      </c>
      <c r="G154" s="6">
        <f>412558700+2107937000</f>
        <v>2520495700</v>
      </c>
      <c r="H154" s="134">
        <f t="shared" si="55"/>
        <v>99.997806035267686</v>
      </c>
      <c r="I154" s="134">
        <f t="shared" si="56"/>
        <v>98.744862702095773</v>
      </c>
      <c r="J154" s="56">
        <f>55300</f>
        <v>55300</v>
      </c>
      <c r="K154" s="10"/>
    </row>
    <row r="155" spans="1:14" x14ac:dyDescent="0.25">
      <c r="A155" s="70"/>
      <c r="B155" s="129" t="s">
        <v>95</v>
      </c>
      <c r="C155" s="51"/>
      <c r="D155" s="271">
        <f>SUM(D153:D154)</f>
        <v>100</v>
      </c>
      <c r="E155" s="134"/>
      <c r="F155" s="134"/>
      <c r="G155" s="137">
        <f>SUM(G153:G154)</f>
        <v>2552478200</v>
      </c>
      <c r="H155" s="134"/>
      <c r="I155" s="134"/>
      <c r="J155" s="734">
        <f>55300</f>
        <v>55300</v>
      </c>
      <c r="K155" s="130"/>
    </row>
    <row r="156" spans="1:14" x14ac:dyDescent="0.25">
      <c r="A156" s="54"/>
      <c r="B156" s="2"/>
      <c r="C156" s="59"/>
      <c r="D156" s="29"/>
      <c r="E156" s="31"/>
      <c r="F156" s="31"/>
      <c r="G156" s="36"/>
      <c r="H156" s="31"/>
      <c r="I156" s="31"/>
      <c r="J156" s="15"/>
      <c r="K156" s="37"/>
    </row>
    <row r="157" spans="1:14" x14ac:dyDescent="0.25">
      <c r="A157" s="50"/>
      <c r="B157" s="5"/>
      <c r="C157" s="50"/>
      <c r="D157" s="29"/>
      <c r="E157" s="30"/>
      <c r="F157" s="31"/>
      <c r="G157" s="36"/>
      <c r="H157" s="32"/>
      <c r="I157" s="31"/>
      <c r="J157" s="36"/>
      <c r="K157" s="37"/>
    </row>
    <row r="158" spans="1:14" x14ac:dyDescent="0.25">
      <c r="A158" s="1061" t="s">
        <v>2</v>
      </c>
      <c r="B158" s="1062" t="s">
        <v>176</v>
      </c>
      <c r="C158" s="1061" t="s">
        <v>4</v>
      </c>
      <c r="D158" s="1063" t="s">
        <v>5</v>
      </c>
      <c r="E158" s="1064"/>
      <c r="F158" s="1064"/>
      <c r="G158" s="1065" t="s">
        <v>6</v>
      </c>
      <c r="H158" s="1064"/>
      <c r="I158" s="1064"/>
      <c r="J158" s="1061" t="s">
        <v>7</v>
      </c>
      <c r="K158" s="281" t="s">
        <v>8</v>
      </c>
    </row>
    <row r="159" spans="1:14" x14ac:dyDescent="0.25">
      <c r="A159" s="1061"/>
      <c r="B159" s="1062"/>
      <c r="C159" s="1061"/>
      <c r="D159" s="281" t="s">
        <v>9</v>
      </c>
      <c r="E159" s="292" t="s">
        <v>10</v>
      </c>
      <c r="F159" s="292" t="s">
        <v>11</v>
      </c>
      <c r="G159" s="293" t="s">
        <v>12</v>
      </c>
      <c r="H159" s="292" t="s">
        <v>13</v>
      </c>
      <c r="I159" s="292" t="s">
        <v>11</v>
      </c>
      <c r="J159" s="1056"/>
      <c r="K159" s="89"/>
    </row>
    <row r="160" spans="1:14" x14ac:dyDescent="0.25">
      <c r="A160" s="1061"/>
      <c r="B160" s="1062"/>
      <c r="C160" s="1061"/>
      <c r="D160" s="92" t="s">
        <v>14</v>
      </c>
      <c r="E160" s="93" t="s">
        <v>14</v>
      </c>
      <c r="F160" s="93" t="s">
        <v>14</v>
      </c>
      <c r="G160" s="94" t="s">
        <v>15</v>
      </c>
      <c r="H160" s="93" t="s">
        <v>14</v>
      </c>
      <c r="I160" s="93" t="s">
        <v>14</v>
      </c>
      <c r="J160" s="92" t="s">
        <v>15</v>
      </c>
      <c r="K160" s="92"/>
    </row>
    <row r="161" spans="1:11" x14ac:dyDescent="0.25">
      <c r="A161" s="79" t="s">
        <v>185</v>
      </c>
      <c r="B161" s="199" t="s">
        <v>146</v>
      </c>
      <c r="C161" s="153"/>
      <c r="D161" s="150"/>
      <c r="E161" s="151"/>
      <c r="F161" s="151"/>
      <c r="G161" s="152"/>
      <c r="H161" s="151"/>
      <c r="I161" s="151"/>
      <c r="J161" s="150"/>
      <c r="K161" s="150"/>
    </row>
    <row r="162" spans="1:11" x14ac:dyDescent="0.25">
      <c r="A162" s="125" t="s">
        <v>184</v>
      </c>
      <c r="B162" s="280" t="s">
        <v>150</v>
      </c>
      <c r="C162" s="254">
        <f>SUM(C163:C165)</f>
        <v>2211920000</v>
      </c>
      <c r="D162" s="10"/>
      <c r="E162" s="34"/>
      <c r="F162" s="34"/>
      <c r="G162" s="6"/>
      <c r="H162" s="34"/>
      <c r="I162" s="34"/>
      <c r="J162" s="10"/>
      <c r="K162" s="10"/>
    </row>
    <row r="163" spans="1:11" ht="25.5" x14ac:dyDescent="0.25">
      <c r="A163" s="38" t="s">
        <v>44</v>
      </c>
      <c r="B163" s="707" t="s">
        <v>384</v>
      </c>
      <c r="C163" s="255">
        <v>27920000</v>
      </c>
      <c r="D163" s="134">
        <f>C163/C162*100</f>
        <v>1.2622517993417484</v>
      </c>
      <c r="E163" s="134">
        <f t="shared" ref="E163:E165" si="57">G163/C163*100</f>
        <v>100</v>
      </c>
      <c r="F163" s="134">
        <f t="shared" ref="F163:F165" si="58">(D163*E163)/100</f>
        <v>1.2622517993417484</v>
      </c>
      <c r="G163" s="135">
        <f>27920000</f>
        <v>27920000</v>
      </c>
      <c r="H163" s="134">
        <f t="shared" ref="H163:H165" si="59">G163/C163*100</f>
        <v>100</v>
      </c>
      <c r="I163" s="134">
        <f t="shared" ref="I163:I165" si="60">(D163*H163)/100</f>
        <v>1.2622517993417484</v>
      </c>
      <c r="J163" s="56">
        <v>0</v>
      </c>
      <c r="K163" s="10"/>
    </row>
    <row r="164" spans="1:11" ht="25.5" x14ac:dyDescent="0.25">
      <c r="A164" s="49" t="s">
        <v>148</v>
      </c>
      <c r="B164" s="133" t="s">
        <v>151</v>
      </c>
      <c r="C164" s="256">
        <v>1680000000</v>
      </c>
      <c r="D164" s="134">
        <f>C164/C162*100</f>
        <v>75.952114000506342</v>
      </c>
      <c r="E164" s="134">
        <f t="shared" si="57"/>
        <v>99.999988095238095</v>
      </c>
      <c r="F164" s="134">
        <f t="shared" si="58"/>
        <v>75.952104958588009</v>
      </c>
      <c r="G164" s="135">
        <f>180463800+1499536000</f>
        <v>1679999800</v>
      </c>
      <c r="H164" s="134">
        <f t="shared" si="59"/>
        <v>99.999988095238095</v>
      </c>
      <c r="I164" s="134">
        <f t="shared" si="60"/>
        <v>75.952104958588009</v>
      </c>
      <c r="J164" s="56">
        <f>1180</f>
        <v>1180</v>
      </c>
      <c r="K164" s="10"/>
    </row>
    <row r="165" spans="1:11" s="84" customFormat="1" ht="25.5" x14ac:dyDescent="0.25">
      <c r="A165" s="49" t="s">
        <v>152</v>
      </c>
      <c r="B165" s="133" t="s">
        <v>153</v>
      </c>
      <c r="C165" s="256">
        <v>504000000</v>
      </c>
      <c r="D165" s="134">
        <f>C165/C162*100</f>
        <v>22.785634200151904</v>
      </c>
      <c r="E165" s="134">
        <f t="shared" si="57"/>
        <v>100</v>
      </c>
      <c r="F165" s="134">
        <f t="shared" si="58"/>
        <v>22.785634200151904</v>
      </c>
      <c r="G165" s="135">
        <f>504000000</f>
        <v>504000000</v>
      </c>
      <c r="H165" s="134">
        <f t="shared" si="59"/>
        <v>100</v>
      </c>
      <c r="I165" s="134">
        <f t="shared" si="60"/>
        <v>22.785634200151904</v>
      </c>
      <c r="J165" s="56">
        <v>0</v>
      </c>
      <c r="K165" s="38"/>
    </row>
    <row r="166" spans="1:11" x14ac:dyDescent="0.25">
      <c r="A166" s="760"/>
      <c r="B166" s="129" t="s">
        <v>154</v>
      </c>
      <c r="C166" s="156"/>
      <c r="D166" s="272">
        <f>SUM(D163:D165)</f>
        <v>100</v>
      </c>
      <c r="E166" s="134"/>
      <c r="F166" s="134"/>
      <c r="G166" s="137">
        <f>SUM(G163:G165)</f>
        <v>2211919800</v>
      </c>
      <c r="H166" s="134"/>
      <c r="I166" s="134"/>
      <c r="J166" s="734">
        <f>1180</f>
        <v>1180</v>
      </c>
      <c r="K166" s="40"/>
    </row>
    <row r="167" spans="1:11" x14ac:dyDescent="0.25">
      <c r="A167" s="54"/>
      <c r="B167" s="54"/>
      <c r="C167" s="59"/>
      <c r="D167" s="182"/>
      <c r="E167" s="183"/>
      <c r="F167" s="183"/>
      <c r="G167" s="184"/>
      <c r="H167" s="183"/>
      <c r="I167" s="183"/>
      <c r="J167" s="185"/>
      <c r="K167" s="37"/>
    </row>
    <row r="168" spans="1:11" x14ac:dyDescent="0.25">
      <c r="A168" s="50"/>
      <c r="B168" s="5"/>
      <c r="C168" s="50"/>
      <c r="D168" s="9"/>
      <c r="E168" s="23"/>
      <c r="F168" s="23"/>
      <c r="G168" s="11"/>
      <c r="H168" s="23"/>
      <c r="I168" s="23"/>
      <c r="J168" s="9"/>
      <c r="K168" s="9"/>
    </row>
    <row r="169" spans="1:11" x14ac:dyDescent="0.25">
      <c r="A169" s="1072" t="s">
        <v>2</v>
      </c>
      <c r="B169" s="1072" t="s">
        <v>129</v>
      </c>
      <c r="C169" s="1072" t="s">
        <v>124</v>
      </c>
      <c r="D169" s="1075" t="s">
        <v>5</v>
      </c>
      <c r="E169" s="1076"/>
      <c r="F169" s="1076"/>
      <c r="G169" s="1077" t="s">
        <v>6</v>
      </c>
      <c r="H169" s="1076"/>
      <c r="I169" s="1076"/>
      <c r="J169" s="1078" t="s">
        <v>7</v>
      </c>
      <c r="K169" s="95" t="s">
        <v>8</v>
      </c>
    </row>
    <row r="170" spans="1:11" x14ac:dyDescent="0.25">
      <c r="A170" s="1073"/>
      <c r="B170" s="1073"/>
      <c r="C170" s="1073"/>
      <c r="D170" s="95" t="s">
        <v>9</v>
      </c>
      <c r="E170" s="294" t="s">
        <v>10</v>
      </c>
      <c r="F170" s="294" t="s">
        <v>11</v>
      </c>
      <c r="G170" s="96" t="s">
        <v>12</v>
      </c>
      <c r="H170" s="97" t="s">
        <v>13</v>
      </c>
      <c r="I170" s="97" t="s">
        <v>11</v>
      </c>
      <c r="J170" s="1079"/>
      <c r="K170" s="98"/>
    </row>
    <row r="171" spans="1:11" x14ac:dyDescent="0.25">
      <c r="A171" s="1074"/>
      <c r="B171" s="1074"/>
      <c r="C171" s="1074"/>
      <c r="D171" s="101" t="s">
        <v>14</v>
      </c>
      <c r="E171" s="100" t="s">
        <v>14</v>
      </c>
      <c r="F171" s="100" t="s">
        <v>14</v>
      </c>
      <c r="G171" s="99" t="s">
        <v>15</v>
      </c>
      <c r="H171" s="100" t="s">
        <v>14</v>
      </c>
      <c r="I171" s="100" t="s">
        <v>14</v>
      </c>
      <c r="J171" s="101" t="s">
        <v>15</v>
      </c>
      <c r="K171" s="101"/>
    </row>
    <row r="172" spans="1:11" ht="25.5" x14ac:dyDescent="0.25">
      <c r="A172" s="175" t="s">
        <v>180</v>
      </c>
      <c r="B172" s="696" t="s">
        <v>379</v>
      </c>
      <c r="C172" s="126"/>
      <c r="D172" s="121"/>
      <c r="E172" s="122"/>
      <c r="F172" s="122"/>
      <c r="G172" s="123"/>
      <c r="H172" s="122"/>
      <c r="I172" s="122"/>
      <c r="J172" s="121"/>
      <c r="K172" s="121"/>
    </row>
    <row r="173" spans="1:11" ht="25.5" x14ac:dyDescent="0.25">
      <c r="A173" s="176" t="s">
        <v>181</v>
      </c>
      <c r="B173" s="697" t="s">
        <v>380</v>
      </c>
      <c r="C173" s="86">
        <f>SUM(C174:C182)</f>
        <v>100000000</v>
      </c>
      <c r="D173" s="121"/>
      <c r="E173" s="122"/>
      <c r="F173" s="122"/>
      <c r="G173" s="123"/>
      <c r="H173" s="122"/>
      <c r="I173" s="122"/>
      <c r="J173" s="121"/>
      <c r="K173" s="121"/>
    </row>
    <row r="174" spans="1:11" ht="25.5" x14ac:dyDescent="0.25">
      <c r="A174" s="170" t="s">
        <v>44</v>
      </c>
      <c r="B174" s="707" t="s">
        <v>384</v>
      </c>
      <c r="C174" s="58">
        <v>6030000</v>
      </c>
      <c r="D174" s="134">
        <f>C174/C173*100</f>
        <v>6.03</v>
      </c>
      <c r="E174" s="134">
        <f t="shared" ref="E174:E181" si="61">G174/C174*100</f>
        <v>93.449419568822549</v>
      </c>
      <c r="F174" s="134">
        <f t="shared" ref="F174:F181" si="62">(D174*E174)/100</f>
        <v>5.6349999999999998</v>
      </c>
      <c r="G174" s="177">
        <f>5635000</f>
        <v>5635000</v>
      </c>
      <c r="H174" s="134">
        <f t="shared" ref="H174:H181" si="63">G174/C174*100</f>
        <v>93.449419568822549</v>
      </c>
      <c r="I174" s="134">
        <f t="shared" ref="I174:I181" si="64">(D174*H174)/100</f>
        <v>5.6349999999999998</v>
      </c>
      <c r="J174" s="56">
        <f>395000</f>
        <v>395000</v>
      </c>
      <c r="K174" s="121"/>
    </row>
    <row r="175" spans="1:11" x14ac:dyDescent="0.25">
      <c r="A175" s="170" t="s">
        <v>59</v>
      </c>
      <c r="B175" s="707" t="s">
        <v>197</v>
      </c>
      <c r="C175" s="58">
        <v>9719800</v>
      </c>
      <c r="D175" s="180">
        <f>C175/C173*100</f>
        <v>9.7198000000000011</v>
      </c>
      <c r="E175" s="134">
        <f t="shared" si="61"/>
        <v>100</v>
      </c>
      <c r="F175" s="134">
        <f t="shared" si="62"/>
        <v>9.7198000000000011</v>
      </c>
      <c r="G175" s="169">
        <f>9719800</f>
        <v>9719800</v>
      </c>
      <c r="H175" s="134">
        <f t="shared" si="63"/>
        <v>100</v>
      </c>
      <c r="I175" s="134">
        <f t="shared" si="64"/>
        <v>9.7198000000000011</v>
      </c>
      <c r="J175" s="56">
        <v>0</v>
      </c>
      <c r="K175" s="167"/>
    </row>
    <row r="176" spans="1:11" ht="25.5" x14ac:dyDescent="0.25">
      <c r="A176" s="170" t="s">
        <v>62</v>
      </c>
      <c r="B176" s="707" t="s">
        <v>385</v>
      </c>
      <c r="C176" s="58">
        <v>2600000</v>
      </c>
      <c r="D176" s="726">
        <f>C176/C173*100</f>
        <v>2.6</v>
      </c>
      <c r="E176" s="134">
        <f t="shared" si="61"/>
        <v>100</v>
      </c>
      <c r="F176" s="134">
        <f t="shared" si="62"/>
        <v>2.6</v>
      </c>
      <c r="G176" s="181">
        <f>2600000</f>
        <v>2600000</v>
      </c>
      <c r="H176" s="134">
        <f t="shared" si="63"/>
        <v>100</v>
      </c>
      <c r="I176" s="134">
        <f t="shared" si="64"/>
        <v>2.6</v>
      </c>
      <c r="J176" s="56">
        <v>0</v>
      </c>
      <c r="K176" s="167"/>
    </row>
    <row r="177" spans="1:15" x14ac:dyDescent="0.25">
      <c r="A177" s="170" t="s">
        <v>77</v>
      </c>
      <c r="B177" s="170" t="s">
        <v>127</v>
      </c>
      <c r="C177" s="58">
        <v>29585000</v>
      </c>
      <c r="D177" s="726">
        <f>C177/C173*100</f>
        <v>29.585000000000001</v>
      </c>
      <c r="E177" s="134">
        <f t="shared" si="61"/>
        <v>100</v>
      </c>
      <c r="F177" s="134">
        <f t="shared" si="62"/>
        <v>29.585000000000001</v>
      </c>
      <c r="G177" s="169">
        <f>29585000</f>
        <v>29585000</v>
      </c>
      <c r="H177" s="134">
        <f t="shared" si="63"/>
        <v>100</v>
      </c>
      <c r="I177" s="134">
        <f t="shared" si="64"/>
        <v>29.585000000000001</v>
      </c>
      <c r="J177" s="56">
        <v>0</v>
      </c>
      <c r="K177" s="167"/>
      <c r="O177" s="190"/>
    </row>
    <row r="178" spans="1:15" x14ac:dyDescent="0.25">
      <c r="A178" s="170" t="s">
        <v>183</v>
      </c>
      <c r="B178" s="170" t="s">
        <v>178</v>
      </c>
      <c r="C178" s="58">
        <v>30370000</v>
      </c>
      <c r="D178" s="726">
        <f>C178/C173*100</f>
        <v>30.37</v>
      </c>
      <c r="E178" s="134">
        <f t="shared" si="61"/>
        <v>100</v>
      </c>
      <c r="F178" s="134">
        <f t="shared" si="62"/>
        <v>30.37</v>
      </c>
      <c r="G178" s="169">
        <f>30370000</f>
        <v>30370000</v>
      </c>
      <c r="H178" s="134">
        <f t="shared" si="63"/>
        <v>100</v>
      </c>
      <c r="I178" s="134">
        <f t="shared" si="64"/>
        <v>30.37</v>
      </c>
      <c r="J178" s="56">
        <v>0</v>
      </c>
      <c r="K178" s="167"/>
    </row>
    <row r="179" spans="1:15" x14ac:dyDescent="0.25">
      <c r="A179" s="170" t="s">
        <v>186</v>
      </c>
      <c r="B179" s="170" t="s">
        <v>179</v>
      </c>
      <c r="C179" s="58">
        <v>7500000</v>
      </c>
      <c r="D179" s="726">
        <f>C179/C173*100</f>
        <v>7.5</v>
      </c>
      <c r="E179" s="134">
        <f t="shared" si="61"/>
        <v>100</v>
      </c>
      <c r="F179" s="134">
        <f t="shared" si="62"/>
        <v>7.5</v>
      </c>
      <c r="G179" s="169">
        <f>7500000</f>
        <v>7500000</v>
      </c>
      <c r="H179" s="134">
        <f t="shared" si="63"/>
        <v>100</v>
      </c>
      <c r="I179" s="134">
        <f t="shared" si="64"/>
        <v>7.5</v>
      </c>
      <c r="J179" s="56">
        <v>0</v>
      </c>
      <c r="K179" s="167"/>
    </row>
    <row r="180" spans="1:15" ht="25.5" x14ac:dyDescent="0.25">
      <c r="A180" s="170" t="s">
        <v>106</v>
      </c>
      <c r="B180" s="316" t="s">
        <v>375</v>
      </c>
      <c r="C180" s="58">
        <v>9750000</v>
      </c>
      <c r="D180" s="726">
        <f>C180/C173*100</f>
        <v>9.75</v>
      </c>
      <c r="E180" s="134">
        <f t="shared" si="61"/>
        <v>100</v>
      </c>
      <c r="F180" s="134">
        <f t="shared" si="62"/>
        <v>9.75</v>
      </c>
      <c r="G180" s="169">
        <f>9750000</f>
        <v>9750000</v>
      </c>
      <c r="H180" s="134">
        <f t="shared" si="63"/>
        <v>100</v>
      </c>
      <c r="I180" s="134">
        <f t="shared" si="64"/>
        <v>9.75</v>
      </c>
      <c r="J180" s="56">
        <v>0</v>
      </c>
      <c r="K180" s="167"/>
    </row>
    <row r="181" spans="1:15" ht="25.5" x14ac:dyDescent="0.25">
      <c r="A181" s="170" t="s">
        <v>116</v>
      </c>
      <c r="B181" s="133" t="s">
        <v>371</v>
      </c>
      <c r="C181" s="178">
        <v>1595200</v>
      </c>
      <c r="D181" s="726">
        <f>C181/C173*100</f>
        <v>1.5952000000000002</v>
      </c>
      <c r="E181" s="134">
        <f t="shared" si="61"/>
        <v>96.708876629889673</v>
      </c>
      <c r="F181" s="134">
        <f t="shared" si="62"/>
        <v>1.5427000000000002</v>
      </c>
      <c r="G181" s="169">
        <f>1542700</f>
        <v>1542700</v>
      </c>
      <c r="H181" s="134">
        <f t="shared" si="63"/>
        <v>96.708876629889673</v>
      </c>
      <c r="I181" s="134">
        <f t="shared" si="64"/>
        <v>1.5427000000000002</v>
      </c>
      <c r="J181" s="56">
        <f>52500</f>
        <v>52500</v>
      </c>
      <c r="K181" s="167"/>
      <c r="M181" s="190"/>
    </row>
    <row r="182" spans="1:15" x14ac:dyDescent="0.25">
      <c r="A182" s="748" t="s">
        <v>275</v>
      </c>
      <c r="B182" s="133" t="s">
        <v>421</v>
      </c>
      <c r="C182" s="178">
        <v>2850000</v>
      </c>
      <c r="D182" s="726"/>
      <c r="E182" s="134"/>
      <c r="F182" s="134"/>
      <c r="G182" s="169">
        <f>2850000</f>
        <v>2850000</v>
      </c>
      <c r="H182" s="134"/>
      <c r="I182" s="134"/>
      <c r="J182" s="56"/>
      <c r="K182" s="167"/>
      <c r="M182" s="190"/>
    </row>
    <row r="183" spans="1:15" x14ac:dyDescent="0.25">
      <c r="A183" s="69"/>
      <c r="B183" s="67" t="s">
        <v>128</v>
      </c>
      <c r="C183" s="60"/>
      <c r="D183" s="275">
        <f>SUM(D174:D181)</f>
        <v>97.15</v>
      </c>
      <c r="E183" s="134"/>
      <c r="F183" s="134"/>
      <c r="G183" s="42">
        <f>SUM(G174:G182)</f>
        <v>99552500</v>
      </c>
      <c r="H183" s="134"/>
      <c r="I183" s="134"/>
      <c r="J183" s="734">
        <f>SUM(J174:J182)</f>
        <v>447500</v>
      </c>
      <c r="K183" s="38"/>
    </row>
    <row r="184" spans="1:15" x14ac:dyDescent="0.25">
      <c r="A184" s="186"/>
      <c r="B184" s="2"/>
      <c r="C184" s="187"/>
      <c r="D184" s="188"/>
      <c r="E184" s="183"/>
      <c r="F184" s="183"/>
      <c r="G184" s="184"/>
      <c r="H184" s="183"/>
      <c r="I184" s="183"/>
      <c r="J184" s="189"/>
      <c r="K184" s="53"/>
    </row>
    <row r="185" spans="1:15" ht="31.5" x14ac:dyDescent="0.25">
      <c r="A185" s="55"/>
      <c r="B185" s="46" t="s">
        <v>145</v>
      </c>
      <c r="C185" s="155"/>
      <c r="D185" s="44"/>
      <c r="E185" s="45"/>
      <c r="F185" s="45"/>
      <c r="G185" s="48"/>
      <c r="H185" s="45"/>
      <c r="I185" s="45"/>
      <c r="J185" s="44"/>
      <c r="K185" s="44"/>
      <c r="L185" s="1"/>
      <c r="M185" s="1"/>
      <c r="N185" s="1"/>
    </row>
    <row r="186" spans="1:15" x14ac:dyDescent="0.25">
      <c r="A186" s="1082" t="s">
        <v>2</v>
      </c>
      <c r="B186" s="1081" t="s">
        <v>168</v>
      </c>
      <c r="C186" s="1082" t="s">
        <v>4</v>
      </c>
      <c r="D186" s="1083" t="s">
        <v>5</v>
      </c>
      <c r="E186" s="1084"/>
      <c r="F186" s="1084"/>
      <c r="G186" s="1085" t="s">
        <v>6</v>
      </c>
      <c r="H186" s="1084"/>
      <c r="I186" s="1084"/>
      <c r="J186" s="1082" t="s">
        <v>7</v>
      </c>
      <c r="K186" s="283" t="s">
        <v>8</v>
      </c>
    </row>
    <row r="187" spans="1:15" x14ac:dyDescent="0.25">
      <c r="A187" s="1082"/>
      <c r="B187" s="1081"/>
      <c r="C187" s="1082"/>
      <c r="D187" s="283" t="s">
        <v>9</v>
      </c>
      <c r="E187" s="297" t="s">
        <v>10</v>
      </c>
      <c r="F187" s="297" t="s">
        <v>11</v>
      </c>
      <c r="G187" s="298" t="s">
        <v>12</v>
      </c>
      <c r="H187" s="297" t="s">
        <v>13</v>
      </c>
      <c r="I187" s="297" t="s">
        <v>11</v>
      </c>
      <c r="J187" s="1086"/>
      <c r="K187" s="284"/>
    </row>
    <row r="188" spans="1:15" x14ac:dyDescent="0.25">
      <c r="A188" s="1082"/>
      <c r="B188" s="1081"/>
      <c r="C188" s="1082"/>
      <c r="D188" s="282" t="s">
        <v>14</v>
      </c>
      <c r="E188" s="295" t="s">
        <v>14</v>
      </c>
      <c r="F188" s="295" t="s">
        <v>14</v>
      </c>
      <c r="G188" s="296" t="s">
        <v>15</v>
      </c>
      <c r="H188" s="295" t="s">
        <v>14</v>
      </c>
      <c r="I188" s="295" t="s">
        <v>14</v>
      </c>
      <c r="J188" s="282" t="s">
        <v>15</v>
      </c>
      <c r="K188" s="282"/>
    </row>
    <row r="189" spans="1:15" x14ac:dyDescent="0.25">
      <c r="A189" s="79" t="s">
        <v>185</v>
      </c>
      <c r="B189" s="199" t="s">
        <v>146</v>
      </c>
      <c r="C189" s="145"/>
      <c r="D189" s="146"/>
      <c r="E189" s="147"/>
      <c r="F189" s="147"/>
      <c r="G189" s="148"/>
      <c r="H189" s="147"/>
      <c r="I189" s="147"/>
      <c r="J189" s="146"/>
      <c r="K189" s="146"/>
    </row>
    <row r="190" spans="1:15" x14ac:dyDescent="0.25">
      <c r="A190" s="125" t="s">
        <v>184</v>
      </c>
      <c r="B190" s="280" t="s">
        <v>147</v>
      </c>
      <c r="C190" s="257">
        <f>SUM(C191:C192)</f>
        <v>2308900000</v>
      </c>
      <c r="D190" s="146"/>
      <c r="E190" s="147"/>
      <c r="F190" s="147"/>
      <c r="G190" s="148"/>
      <c r="H190" s="147"/>
      <c r="I190" s="147"/>
      <c r="J190" s="146"/>
      <c r="K190" s="146"/>
    </row>
    <row r="191" spans="1:15" ht="25.5" x14ac:dyDescent="0.25">
      <c r="A191" s="317" t="s">
        <v>44</v>
      </c>
      <c r="B191" s="707" t="s">
        <v>384</v>
      </c>
      <c r="C191" s="258">
        <v>28900000</v>
      </c>
      <c r="D191" s="267">
        <f>C191/C190*100</f>
        <v>1.2516782883624238</v>
      </c>
      <c r="E191" s="134">
        <f t="shared" ref="E191:E192" si="65">G191/C191*100</f>
        <v>100</v>
      </c>
      <c r="F191" s="134">
        <f t="shared" ref="F191:F192" si="66">(D191*E191)/100</f>
        <v>1.2516782883624238</v>
      </c>
      <c r="G191" s="733">
        <f>28900000</f>
        <v>28900000</v>
      </c>
      <c r="H191" s="134">
        <f t="shared" ref="H191:H192" si="67">G191/C191*100</f>
        <v>100</v>
      </c>
      <c r="I191" s="134">
        <f t="shared" ref="I191:I192" si="68">(D191*H191)/100</f>
        <v>1.2516782883624238</v>
      </c>
      <c r="J191" s="56">
        <v>0</v>
      </c>
      <c r="K191" s="146"/>
    </row>
    <row r="192" spans="1:15" ht="25.5" x14ac:dyDescent="0.25">
      <c r="A192" s="49" t="s">
        <v>148</v>
      </c>
      <c r="B192" s="133" t="s">
        <v>149</v>
      </c>
      <c r="C192" s="259">
        <v>2280000000</v>
      </c>
      <c r="D192" s="267">
        <f>C192/C190*100</f>
        <v>98.748321711637573</v>
      </c>
      <c r="E192" s="134">
        <f t="shared" si="65"/>
        <v>100</v>
      </c>
      <c r="F192" s="134">
        <f t="shared" si="66"/>
        <v>98.748321711637587</v>
      </c>
      <c r="G192" s="733">
        <f>978947000+1301053000</f>
        <v>2280000000</v>
      </c>
      <c r="H192" s="134">
        <f t="shared" si="67"/>
        <v>100</v>
      </c>
      <c r="I192" s="134">
        <f t="shared" si="68"/>
        <v>98.748321711637587</v>
      </c>
      <c r="J192" s="56">
        <v>0</v>
      </c>
      <c r="K192" s="146"/>
    </row>
    <row r="193" spans="1:11" x14ac:dyDescent="0.25">
      <c r="A193" s="71"/>
      <c r="B193" s="76" t="s">
        <v>95</v>
      </c>
      <c r="C193" s="157"/>
      <c r="D193" s="141">
        <f>SUM(D191:D192)</f>
        <v>100</v>
      </c>
      <c r="E193" s="134"/>
      <c r="F193" s="134"/>
      <c r="G193" s="142">
        <f>SUM(G191:G192)</f>
        <v>2308900000</v>
      </c>
      <c r="H193" s="134"/>
      <c r="I193" s="134"/>
      <c r="J193" s="56">
        <v>0</v>
      </c>
      <c r="K193" s="143"/>
    </row>
    <row r="194" spans="1:11" x14ac:dyDescent="0.25">
      <c r="A194" s="186"/>
      <c r="B194" s="2"/>
      <c r="C194" s="187"/>
      <c r="D194" s="188"/>
      <c r="E194" s="183"/>
      <c r="F194" s="183"/>
      <c r="G194" s="184"/>
      <c r="H194" s="183"/>
      <c r="I194" s="183"/>
      <c r="J194" s="189"/>
      <c r="K194" s="53"/>
    </row>
    <row r="195" spans="1:11" x14ac:dyDescent="0.25">
      <c r="A195" s="1080" t="s">
        <v>2</v>
      </c>
      <c r="B195" s="1081" t="s">
        <v>168</v>
      </c>
      <c r="C195" s="1080" t="s">
        <v>4</v>
      </c>
      <c r="D195" s="1075" t="s">
        <v>5</v>
      </c>
      <c r="E195" s="1076"/>
      <c r="F195" s="1076"/>
      <c r="G195" s="1077" t="s">
        <v>6</v>
      </c>
      <c r="H195" s="1076"/>
      <c r="I195" s="1076"/>
      <c r="J195" s="1080" t="s">
        <v>7</v>
      </c>
      <c r="K195" s="95" t="s">
        <v>8</v>
      </c>
    </row>
    <row r="196" spans="1:11" x14ac:dyDescent="0.25">
      <c r="A196" s="1080"/>
      <c r="B196" s="1081"/>
      <c r="C196" s="1080"/>
      <c r="D196" s="95" t="s">
        <v>9</v>
      </c>
      <c r="E196" s="294" t="s">
        <v>10</v>
      </c>
      <c r="F196" s="294" t="s">
        <v>11</v>
      </c>
      <c r="G196" s="299" t="s">
        <v>12</v>
      </c>
      <c r="H196" s="294" t="s">
        <v>13</v>
      </c>
      <c r="I196" s="294" t="s">
        <v>11</v>
      </c>
      <c r="J196" s="1078"/>
      <c r="K196" s="98"/>
    </row>
    <row r="197" spans="1:11" x14ac:dyDescent="0.25">
      <c r="A197" s="1080"/>
      <c r="B197" s="1081"/>
      <c r="C197" s="1080"/>
      <c r="D197" s="101" t="s">
        <v>14</v>
      </c>
      <c r="E197" s="100" t="s">
        <v>14</v>
      </c>
      <c r="F197" s="100" t="s">
        <v>14</v>
      </c>
      <c r="G197" s="99" t="s">
        <v>15</v>
      </c>
      <c r="H197" s="100" t="s">
        <v>14</v>
      </c>
      <c r="I197" s="100" t="s">
        <v>14</v>
      </c>
      <c r="J197" s="101" t="s">
        <v>15</v>
      </c>
      <c r="K197" s="101"/>
    </row>
    <row r="198" spans="1:11" x14ac:dyDescent="0.25">
      <c r="A198" s="79" t="s">
        <v>185</v>
      </c>
      <c r="B198" s="199" t="s">
        <v>146</v>
      </c>
      <c r="C198" s="24"/>
      <c r="D198" s="10"/>
      <c r="E198" s="34"/>
      <c r="F198" s="34"/>
      <c r="G198" s="6"/>
      <c r="H198" s="34"/>
      <c r="I198" s="34"/>
      <c r="J198" s="10"/>
      <c r="K198" s="10"/>
    </row>
    <row r="199" spans="1:11" x14ac:dyDescent="0.25">
      <c r="A199" s="125" t="s">
        <v>187</v>
      </c>
      <c r="B199" s="280" t="s">
        <v>150</v>
      </c>
      <c r="C199" s="252">
        <f>SUM(C200:C202)</f>
        <v>2004900000</v>
      </c>
      <c r="D199" s="10"/>
      <c r="E199" s="34"/>
      <c r="F199" s="34"/>
      <c r="G199" s="6"/>
      <c r="H199" s="34"/>
      <c r="I199" s="34"/>
      <c r="J199" s="10"/>
      <c r="K199" s="10"/>
    </row>
    <row r="200" spans="1:11" ht="25.5" x14ac:dyDescent="0.25">
      <c r="A200" s="313" t="s">
        <v>44</v>
      </c>
      <c r="B200" s="707" t="s">
        <v>384</v>
      </c>
      <c r="C200" s="253">
        <v>28900000</v>
      </c>
      <c r="D200" s="134">
        <f>C200/C199*100</f>
        <v>1.4414684024140856</v>
      </c>
      <c r="E200" s="134">
        <f t="shared" ref="E200:E202" si="69">G200/C200*100</f>
        <v>100</v>
      </c>
      <c r="F200" s="134">
        <f t="shared" ref="F200:F202" si="70">(D200*E200)/100</f>
        <v>1.4414684024140856</v>
      </c>
      <c r="G200" s="135">
        <f>28900000</f>
        <v>28900000</v>
      </c>
      <c r="H200" s="134">
        <f t="shared" ref="H200:H202" si="71">G200/C200*100</f>
        <v>100</v>
      </c>
      <c r="I200" s="134">
        <f t="shared" ref="I200:I202" si="72">(D200*H200)/100</f>
        <v>1.4414684024140856</v>
      </c>
      <c r="J200" s="56">
        <v>0</v>
      </c>
      <c r="K200" s="10"/>
    </row>
    <row r="201" spans="1:11" ht="25.5" x14ac:dyDescent="0.25">
      <c r="A201" s="49" t="s">
        <v>148</v>
      </c>
      <c r="B201" s="133" t="s">
        <v>149</v>
      </c>
      <c r="C201" s="256">
        <v>1520000000</v>
      </c>
      <c r="D201" s="134">
        <f>C201/C199*100</f>
        <v>75.814255075066086</v>
      </c>
      <c r="E201" s="134">
        <f t="shared" si="69"/>
        <v>100</v>
      </c>
      <c r="F201" s="134">
        <f t="shared" si="70"/>
        <v>75.814255075066086</v>
      </c>
      <c r="G201" s="733">
        <f>161340200+1358659800</f>
        <v>1520000000</v>
      </c>
      <c r="H201" s="134">
        <f t="shared" si="71"/>
        <v>100</v>
      </c>
      <c r="I201" s="134">
        <f t="shared" si="72"/>
        <v>75.814255075066086</v>
      </c>
      <c r="J201" s="56">
        <v>0</v>
      </c>
      <c r="K201" s="10"/>
    </row>
    <row r="202" spans="1:11" s="84" customFormat="1" ht="25.5" x14ac:dyDescent="0.25">
      <c r="A202" s="49" t="s">
        <v>152</v>
      </c>
      <c r="B202" s="133" t="s">
        <v>153</v>
      </c>
      <c r="C202" s="256">
        <v>456000000</v>
      </c>
      <c r="D202" s="134">
        <f>C202/C199*100</f>
        <v>22.744276522519826</v>
      </c>
      <c r="E202" s="134">
        <f t="shared" si="69"/>
        <v>100</v>
      </c>
      <c r="F202" s="134">
        <f t="shared" si="70"/>
        <v>22.744276522519826</v>
      </c>
      <c r="G202" s="135">
        <f>456000000</f>
        <v>456000000</v>
      </c>
      <c r="H202" s="134">
        <f t="shared" si="71"/>
        <v>100</v>
      </c>
      <c r="I202" s="134">
        <f t="shared" si="72"/>
        <v>22.744276522519826</v>
      </c>
      <c r="J202" s="56">
        <v>0</v>
      </c>
      <c r="K202" s="38"/>
    </row>
    <row r="203" spans="1:11" x14ac:dyDescent="0.25">
      <c r="A203" s="70"/>
      <c r="B203" s="129" t="s">
        <v>95</v>
      </c>
      <c r="C203" s="51"/>
      <c r="D203" s="271">
        <f>SUM(D200:D202)</f>
        <v>100</v>
      </c>
      <c r="E203" s="134"/>
      <c r="F203" s="134"/>
      <c r="G203" s="137">
        <f>SUM(G200:G202)</f>
        <v>2004900000</v>
      </c>
      <c r="H203" s="134"/>
      <c r="I203" s="134"/>
      <c r="J203" s="56">
        <v>0</v>
      </c>
      <c r="K203" s="130"/>
    </row>
    <row r="204" spans="1:11" x14ac:dyDescent="0.25">
      <c r="A204" s="186"/>
      <c r="B204" s="2"/>
      <c r="C204" s="187"/>
      <c r="D204" s="188"/>
      <c r="E204" s="183"/>
      <c r="F204" s="183"/>
      <c r="G204" s="184"/>
      <c r="H204" s="183"/>
      <c r="I204" s="183"/>
      <c r="J204" s="189"/>
      <c r="K204" s="53"/>
    </row>
    <row r="205" spans="1:11" x14ac:dyDescent="0.25">
      <c r="A205" s="50"/>
      <c r="B205" s="5"/>
      <c r="C205" s="50"/>
      <c r="D205" s="9"/>
      <c r="E205" s="23"/>
      <c r="F205" s="23"/>
      <c r="G205" s="11"/>
      <c r="H205" s="23"/>
      <c r="I205" s="23"/>
      <c r="J205" s="9"/>
      <c r="K205" s="9"/>
    </row>
    <row r="206" spans="1:11" x14ac:dyDescent="0.25">
      <c r="A206" s="1088" t="s">
        <v>2</v>
      </c>
      <c r="B206" s="1094" t="s">
        <v>133</v>
      </c>
      <c r="C206" s="763"/>
      <c r="D206" s="1097" t="s">
        <v>5</v>
      </c>
      <c r="E206" s="1098"/>
      <c r="F206" s="1099"/>
      <c r="G206" s="1100" t="s">
        <v>6</v>
      </c>
      <c r="H206" s="1101"/>
      <c r="I206" s="1102"/>
      <c r="J206" s="1088" t="s">
        <v>7</v>
      </c>
      <c r="K206" s="108" t="s">
        <v>8</v>
      </c>
    </row>
    <row r="207" spans="1:11" x14ac:dyDescent="0.25">
      <c r="A207" s="1092"/>
      <c r="B207" s="1095"/>
      <c r="C207" s="764" t="s">
        <v>4</v>
      </c>
      <c r="D207" s="109" t="s">
        <v>9</v>
      </c>
      <c r="E207" s="110" t="s">
        <v>10</v>
      </c>
      <c r="F207" s="110" t="s">
        <v>11</v>
      </c>
      <c r="G207" s="111" t="s">
        <v>12</v>
      </c>
      <c r="H207" s="110" t="s">
        <v>13</v>
      </c>
      <c r="I207" s="110" t="s">
        <v>11</v>
      </c>
      <c r="J207" s="1092"/>
      <c r="K207" s="109"/>
    </row>
    <row r="208" spans="1:11" x14ac:dyDescent="0.25">
      <c r="A208" s="1093"/>
      <c r="B208" s="1096"/>
      <c r="C208" s="765"/>
      <c r="D208" s="112" t="s">
        <v>14</v>
      </c>
      <c r="E208" s="113" t="s">
        <v>14</v>
      </c>
      <c r="F208" s="113" t="s">
        <v>14</v>
      </c>
      <c r="G208" s="114" t="s">
        <v>15</v>
      </c>
      <c r="H208" s="113" t="s">
        <v>14</v>
      </c>
      <c r="I208" s="113" t="s">
        <v>14</v>
      </c>
      <c r="J208" s="112" t="s">
        <v>15</v>
      </c>
      <c r="K208" s="112"/>
    </row>
    <row r="209" spans="1:14" ht="25.5" x14ac:dyDescent="0.25">
      <c r="A209" s="79" t="s">
        <v>180</v>
      </c>
      <c r="B209" s="696" t="s">
        <v>379</v>
      </c>
      <c r="C209" s="291"/>
      <c r="D209" s="10"/>
      <c r="E209" s="34"/>
      <c r="F209" s="34"/>
      <c r="G209" s="6"/>
      <c r="H209" s="34"/>
      <c r="I209" s="34"/>
      <c r="J209" s="10"/>
      <c r="K209" s="10"/>
    </row>
    <row r="210" spans="1:14" ht="25.5" x14ac:dyDescent="0.25">
      <c r="A210" s="125" t="s">
        <v>181</v>
      </c>
      <c r="B210" s="697" t="s">
        <v>380</v>
      </c>
      <c r="C210" s="87">
        <f>SUM(C211:C221)</f>
        <v>100000000</v>
      </c>
      <c r="D210" s="10"/>
      <c r="E210" s="34"/>
      <c r="F210" s="34"/>
      <c r="G210" s="6"/>
      <c r="H210" s="34"/>
      <c r="I210" s="34"/>
      <c r="J210" s="10"/>
      <c r="K210" s="10"/>
    </row>
    <row r="211" spans="1:14" ht="25.5" x14ac:dyDescent="0.25">
      <c r="A211" s="49" t="s">
        <v>44</v>
      </c>
      <c r="B211" s="707" t="s">
        <v>384</v>
      </c>
      <c r="C211" s="172">
        <v>4925000</v>
      </c>
      <c r="D211" s="134">
        <f>C211/C210*100</f>
        <v>4.9249999999999998</v>
      </c>
      <c r="E211" s="134">
        <f t="shared" ref="E211:E218" si="73">G211/C211*100</f>
        <v>100</v>
      </c>
      <c r="F211" s="134">
        <f t="shared" ref="F211:F218" si="74">(D211*E211)/100</f>
        <v>4.9249999999999998</v>
      </c>
      <c r="G211" s="135">
        <f>4925000</f>
        <v>4925000</v>
      </c>
      <c r="H211" s="134">
        <f t="shared" ref="H211:H218" si="75">G211/C211*100</f>
        <v>100</v>
      </c>
      <c r="I211" s="134">
        <f t="shared" ref="I211:I218" si="76">(D211*H211)/100</f>
        <v>4.9249999999999998</v>
      </c>
      <c r="J211" s="56">
        <v>0</v>
      </c>
      <c r="K211" s="10"/>
    </row>
    <row r="212" spans="1:14" x14ac:dyDescent="0.25">
      <c r="A212" s="49" t="s">
        <v>59</v>
      </c>
      <c r="B212" s="707" t="s">
        <v>197</v>
      </c>
      <c r="C212" s="256">
        <v>10357000</v>
      </c>
      <c r="D212" s="134">
        <f>C212/C210*100</f>
        <v>10.356999999999999</v>
      </c>
      <c r="E212" s="134">
        <f t="shared" si="73"/>
        <v>99.995172347204786</v>
      </c>
      <c r="F212" s="134">
        <f t="shared" si="74"/>
        <v>10.356499999999999</v>
      </c>
      <c r="G212" s="173">
        <f>10356500</f>
        <v>10356500</v>
      </c>
      <c r="H212" s="134">
        <f t="shared" si="75"/>
        <v>99.995172347204786</v>
      </c>
      <c r="I212" s="134">
        <f t="shared" si="76"/>
        <v>10.356499999999999</v>
      </c>
      <c r="J212" s="56">
        <f>500</f>
        <v>500</v>
      </c>
      <c r="K212" s="10"/>
    </row>
    <row r="213" spans="1:14" x14ac:dyDescent="0.25">
      <c r="A213" s="49" t="s">
        <v>62</v>
      </c>
      <c r="B213" s="707" t="s">
        <v>334</v>
      </c>
      <c r="C213" s="256">
        <v>4250000</v>
      </c>
      <c r="D213" s="134">
        <f>C213/C210*100</f>
        <v>4.25</v>
      </c>
      <c r="E213" s="134">
        <f t="shared" si="73"/>
        <v>100</v>
      </c>
      <c r="F213" s="134">
        <f t="shared" si="74"/>
        <v>4.25</v>
      </c>
      <c r="G213" s="173">
        <f>4250000</f>
        <v>4250000</v>
      </c>
      <c r="H213" s="134">
        <f t="shared" si="75"/>
        <v>100</v>
      </c>
      <c r="I213" s="134">
        <f t="shared" si="76"/>
        <v>4.25</v>
      </c>
      <c r="J213" s="56">
        <v>0</v>
      </c>
      <c r="K213" s="10"/>
    </row>
    <row r="214" spans="1:14" x14ac:dyDescent="0.25">
      <c r="A214" s="49" t="s">
        <v>77</v>
      </c>
      <c r="B214" s="49" t="s">
        <v>135</v>
      </c>
      <c r="C214" s="174">
        <v>36400000</v>
      </c>
      <c r="D214" s="134">
        <f>C214/C210*100</f>
        <v>36.4</v>
      </c>
      <c r="E214" s="134">
        <f t="shared" si="73"/>
        <v>86.263736263736263</v>
      </c>
      <c r="F214" s="134">
        <f t="shared" si="74"/>
        <v>31.4</v>
      </c>
      <c r="G214" s="148">
        <f>31400000</f>
        <v>31400000</v>
      </c>
      <c r="H214" s="134">
        <f t="shared" si="75"/>
        <v>86.263736263736263</v>
      </c>
      <c r="I214" s="134">
        <f t="shared" si="76"/>
        <v>31.4</v>
      </c>
      <c r="J214" s="56">
        <f>5000000</f>
        <v>5000000</v>
      </c>
      <c r="K214" s="10"/>
    </row>
    <row r="215" spans="1:14" x14ac:dyDescent="0.25">
      <c r="A215" s="49" t="s">
        <v>423</v>
      </c>
      <c r="B215" s="49" t="s">
        <v>422</v>
      </c>
      <c r="C215" s="174">
        <v>7800000</v>
      </c>
      <c r="D215" s="134"/>
      <c r="E215" s="134"/>
      <c r="F215" s="134"/>
      <c r="G215" s="148">
        <f>7800000</f>
        <v>7800000</v>
      </c>
      <c r="H215" s="134"/>
      <c r="I215" s="134"/>
      <c r="J215" s="56"/>
      <c r="K215" s="10"/>
    </row>
    <row r="216" spans="1:14" x14ac:dyDescent="0.25">
      <c r="A216" s="49" t="s">
        <v>104</v>
      </c>
      <c r="B216" s="170" t="s">
        <v>179</v>
      </c>
      <c r="C216" s="172">
        <v>6250000</v>
      </c>
      <c r="D216" s="134">
        <f>C216/C210*100</f>
        <v>6.25</v>
      </c>
      <c r="E216" s="134">
        <f t="shared" si="73"/>
        <v>100</v>
      </c>
      <c r="F216" s="134">
        <f t="shared" si="74"/>
        <v>6.25</v>
      </c>
      <c r="G216" s="148">
        <f>6250000</f>
        <v>6250000</v>
      </c>
      <c r="H216" s="134">
        <f t="shared" si="75"/>
        <v>100</v>
      </c>
      <c r="I216" s="134">
        <f t="shared" si="76"/>
        <v>6.25</v>
      </c>
      <c r="J216" s="56">
        <v>0</v>
      </c>
      <c r="K216" s="10"/>
    </row>
    <row r="217" spans="1:14" ht="25.5" x14ac:dyDescent="0.25">
      <c r="A217" s="49" t="s">
        <v>106</v>
      </c>
      <c r="B217" s="316" t="s">
        <v>375</v>
      </c>
      <c r="C217" s="178">
        <v>13650000</v>
      </c>
      <c r="D217" s="134">
        <f>C217/C210*100</f>
        <v>13.65</v>
      </c>
      <c r="E217" s="134">
        <f t="shared" si="73"/>
        <v>100</v>
      </c>
      <c r="F217" s="134">
        <f t="shared" si="74"/>
        <v>13.65</v>
      </c>
      <c r="G217" s="733">
        <f>13650000</f>
        <v>13650000</v>
      </c>
      <c r="H217" s="134">
        <f t="shared" si="75"/>
        <v>100</v>
      </c>
      <c r="I217" s="134">
        <f t="shared" si="76"/>
        <v>13.65</v>
      </c>
      <c r="J217" s="56">
        <v>0</v>
      </c>
      <c r="K217" s="10"/>
    </row>
    <row r="218" spans="1:14" ht="25.5" x14ac:dyDescent="0.25">
      <c r="A218" s="49" t="s">
        <v>116</v>
      </c>
      <c r="B218" s="133" t="s">
        <v>371</v>
      </c>
      <c r="C218" s="178">
        <v>3616000</v>
      </c>
      <c r="D218" s="134">
        <f>C218/C210*100</f>
        <v>3.6159999999999997</v>
      </c>
      <c r="E218" s="134">
        <f t="shared" si="73"/>
        <v>100</v>
      </c>
      <c r="F218" s="134">
        <f t="shared" si="74"/>
        <v>3.6159999999999997</v>
      </c>
      <c r="G218" s="733">
        <f>3616000</f>
        <v>3616000</v>
      </c>
      <c r="H218" s="134">
        <f t="shared" si="75"/>
        <v>100</v>
      </c>
      <c r="I218" s="134">
        <f t="shared" si="76"/>
        <v>3.6159999999999997</v>
      </c>
      <c r="J218" s="56">
        <v>0</v>
      </c>
      <c r="K218" s="10"/>
    </row>
    <row r="219" spans="1:14" x14ac:dyDescent="0.25">
      <c r="A219" s="749" t="s">
        <v>121</v>
      </c>
      <c r="B219" s="133" t="s">
        <v>424</v>
      </c>
      <c r="C219" s="178">
        <v>5000000</v>
      </c>
      <c r="D219" s="134"/>
      <c r="E219" s="134"/>
      <c r="F219" s="134"/>
      <c r="G219" s="148">
        <f>5000000</f>
        <v>5000000</v>
      </c>
      <c r="H219" s="134"/>
      <c r="I219" s="134"/>
      <c r="J219" s="56"/>
      <c r="K219" s="10"/>
    </row>
    <row r="220" spans="1:14" x14ac:dyDescent="0.25">
      <c r="A220" s="749" t="s">
        <v>407</v>
      </c>
      <c r="B220" s="133" t="s">
        <v>425</v>
      </c>
      <c r="C220" s="178">
        <v>2500000</v>
      </c>
      <c r="D220" s="134"/>
      <c r="E220" s="134"/>
      <c r="F220" s="134"/>
      <c r="G220" s="733">
        <f>2500000</f>
        <v>2500000</v>
      </c>
      <c r="H220" s="134"/>
      <c r="I220" s="134"/>
      <c r="J220" s="56"/>
      <c r="K220" s="10"/>
    </row>
    <row r="221" spans="1:14" x14ac:dyDescent="0.25">
      <c r="A221" s="749" t="s">
        <v>122</v>
      </c>
      <c r="B221" s="133" t="s">
        <v>426</v>
      </c>
      <c r="C221" s="178">
        <v>5252000</v>
      </c>
      <c r="D221" s="134"/>
      <c r="E221" s="134"/>
      <c r="F221" s="134"/>
      <c r="G221" s="733">
        <f>5252000</f>
        <v>5252000</v>
      </c>
      <c r="H221" s="134"/>
      <c r="I221" s="134"/>
      <c r="J221" s="56"/>
      <c r="K221" s="10"/>
    </row>
    <row r="222" spans="1:14" x14ac:dyDescent="0.25">
      <c r="A222" s="70"/>
      <c r="B222" s="767" t="s">
        <v>136</v>
      </c>
      <c r="C222" s="43"/>
      <c r="D222" s="12">
        <f>SUM(D211:D218)</f>
        <v>79.448000000000008</v>
      </c>
      <c r="E222" s="134"/>
      <c r="F222" s="134"/>
      <c r="G222" s="13">
        <f>SUM(G211:G221)</f>
        <v>94999500</v>
      </c>
      <c r="H222" s="134"/>
      <c r="I222" s="134"/>
      <c r="J222" s="734">
        <f>SUM(J212:J221)</f>
        <v>5000500</v>
      </c>
      <c r="K222" s="3"/>
    </row>
    <row r="223" spans="1:14" x14ac:dyDescent="0.25">
      <c r="A223" s="53"/>
      <c r="B223" s="5"/>
      <c r="C223" s="189"/>
      <c r="D223" s="29"/>
      <c r="E223" s="30"/>
      <c r="F223" s="23"/>
      <c r="G223" s="11"/>
      <c r="H223" s="32"/>
      <c r="I223" s="23"/>
      <c r="J223" s="15"/>
      <c r="K223" s="37"/>
    </row>
    <row r="224" spans="1:14" ht="31.5" x14ac:dyDescent="0.25">
      <c r="A224" s="55"/>
      <c r="B224" s="46" t="s">
        <v>145</v>
      </c>
      <c r="C224" s="155"/>
      <c r="D224" s="44"/>
      <c r="E224" s="45"/>
      <c r="F224" s="45"/>
      <c r="G224" s="48"/>
      <c r="H224" s="45"/>
      <c r="I224" s="45"/>
      <c r="J224" s="44"/>
      <c r="K224" s="44"/>
      <c r="L224" s="1"/>
      <c r="M224" s="1"/>
      <c r="N224" s="1"/>
    </row>
    <row r="225" spans="1:11" x14ac:dyDescent="0.25">
      <c r="A225" s="1087" t="s">
        <v>2</v>
      </c>
      <c r="B225" s="1089" t="s">
        <v>169</v>
      </c>
      <c r="C225" s="1087" t="s">
        <v>4</v>
      </c>
      <c r="D225" s="1090" t="s">
        <v>5</v>
      </c>
      <c r="E225" s="1090"/>
      <c r="F225" s="1090"/>
      <c r="G225" s="1091" t="s">
        <v>6</v>
      </c>
      <c r="H225" s="1091"/>
      <c r="I225" s="1091"/>
      <c r="J225" s="1087" t="s">
        <v>7</v>
      </c>
      <c r="K225" s="108" t="s">
        <v>8</v>
      </c>
    </row>
    <row r="226" spans="1:11" x14ac:dyDescent="0.25">
      <c r="A226" s="1087"/>
      <c r="B226" s="1089"/>
      <c r="C226" s="1087"/>
      <c r="D226" s="108" t="s">
        <v>9</v>
      </c>
      <c r="E226" s="300" t="s">
        <v>10</v>
      </c>
      <c r="F226" s="300" t="s">
        <v>11</v>
      </c>
      <c r="G226" s="301" t="s">
        <v>12</v>
      </c>
      <c r="H226" s="300" t="s">
        <v>13</v>
      </c>
      <c r="I226" s="300" t="s">
        <v>11</v>
      </c>
      <c r="J226" s="1088"/>
      <c r="K226" s="109"/>
    </row>
    <row r="227" spans="1:11" x14ac:dyDescent="0.25">
      <c r="A227" s="1087"/>
      <c r="B227" s="1089"/>
      <c r="C227" s="1087"/>
      <c r="D227" s="112" t="s">
        <v>14</v>
      </c>
      <c r="E227" s="113" t="s">
        <v>14</v>
      </c>
      <c r="F227" s="113" t="s">
        <v>14</v>
      </c>
      <c r="G227" s="114" t="s">
        <v>15</v>
      </c>
      <c r="H227" s="113" t="s">
        <v>14</v>
      </c>
      <c r="I227" s="113" t="s">
        <v>14</v>
      </c>
      <c r="J227" s="112" t="s">
        <v>15</v>
      </c>
      <c r="K227" s="112"/>
    </row>
    <row r="228" spans="1:11" x14ac:dyDescent="0.25">
      <c r="A228" s="79" t="s">
        <v>185</v>
      </c>
      <c r="B228" s="199" t="s">
        <v>146</v>
      </c>
      <c r="C228" s="24"/>
      <c r="D228" s="10"/>
      <c r="E228" s="34"/>
      <c r="F228" s="34"/>
      <c r="G228" s="6"/>
      <c r="H228" s="34"/>
      <c r="I228" s="34"/>
      <c r="J228" s="10"/>
      <c r="K228" s="10"/>
    </row>
    <row r="229" spans="1:11" x14ac:dyDescent="0.25">
      <c r="A229" s="125" t="s">
        <v>184</v>
      </c>
      <c r="B229" s="280" t="s">
        <v>147</v>
      </c>
      <c r="C229" s="252">
        <f>SUM(C230:C232)</f>
        <v>2488215500</v>
      </c>
      <c r="D229" s="10"/>
      <c r="E229" s="34"/>
      <c r="F229" s="34"/>
      <c r="G229" s="6"/>
      <c r="H229" s="34"/>
      <c r="I229" s="34"/>
      <c r="J229" s="10"/>
      <c r="K229" s="10"/>
    </row>
    <row r="230" spans="1:11" ht="25.5" x14ac:dyDescent="0.25">
      <c r="A230" s="313" t="s">
        <v>44</v>
      </c>
      <c r="B230" s="707" t="s">
        <v>384</v>
      </c>
      <c r="C230" s="253">
        <v>28215000</v>
      </c>
      <c r="D230" s="134">
        <f>C230/C229*100</f>
        <v>1.1339451908405844</v>
      </c>
      <c r="E230" s="134">
        <f t="shared" ref="E230:E232" si="77">G230/C230*100</f>
        <v>100</v>
      </c>
      <c r="F230" s="134">
        <f t="shared" ref="F230:F232" si="78">(D230*E230)/100</f>
        <v>1.1339451908405844</v>
      </c>
      <c r="G230" s="135">
        <f>28215000</f>
        <v>28215000</v>
      </c>
      <c r="H230" s="134">
        <f t="shared" ref="H230:H232" si="79">G230/C230*100</f>
        <v>100</v>
      </c>
      <c r="I230" s="134">
        <f t="shared" ref="I230:I232" si="80">(D230*H230)/100</f>
        <v>1.1339451908405844</v>
      </c>
      <c r="J230" s="56">
        <v>0</v>
      </c>
      <c r="K230" s="10"/>
    </row>
    <row r="231" spans="1:11" x14ac:dyDescent="0.25">
      <c r="A231" s="313" t="s">
        <v>59</v>
      </c>
      <c r="B231" s="707" t="s">
        <v>197</v>
      </c>
      <c r="C231" s="253">
        <v>500</v>
      </c>
      <c r="D231" s="134">
        <f>C231/C230*100</f>
        <v>1.7721070352649301E-3</v>
      </c>
      <c r="E231" s="134">
        <f t="shared" si="77"/>
        <v>0</v>
      </c>
      <c r="F231" s="134">
        <f t="shared" si="78"/>
        <v>0</v>
      </c>
      <c r="G231" s="135">
        <v>0</v>
      </c>
      <c r="H231" s="134">
        <f t="shared" si="79"/>
        <v>0</v>
      </c>
      <c r="I231" s="134">
        <f t="shared" si="80"/>
        <v>0</v>
      </c>
      <c r="J231" s="56">
        <v>500</v>
      </c>
      <c r="K231" s="10"/>
    </row>
    <row r="232" spans="1:11" ht="25.5" x14ac:dyDescent="0.25">
      <c r="A232" s="49" t="s">
        <v>148</v>
      </c>
      <c r="B232" s="133" t="s">
        <v>155</v>
      </c>
      <c r="C232" s="256">
        <v>2460000000</v>
      </c>
      <c r="D232" s="268">
        <f>C232/C229*100</f>
        <v>98.866034714436907</v>
      </c>
      <c r="E232" s="134">
        <f t="shared" si="77"/>
        <v>100</v>
      </c>
      <c r="F232" s="134">
        <f t="shared" si="78"/>
        <v>98.866034714436907</v>
      </c>
      <c r="G232" s="135">
        <f>770112375+1689887625</f>
        <v>2460000000</v>
      </c>
      <c r="H232" s="134">
        <f t="shared" si="79"/>
        <v>100</v>
      </c>
      <c r="I232" s="134">
        <f t="shared" si="80"/>
        <v>98.866034714436907</v>
      </c>
      <c r="J232" s="56">
        <v>0</v>
      </c>
      <c r="K232" s="3"/>
    </row>
    <row r="233" spans="1:11" x14ac:dyDescent="0.25">
      <c r="A233" s="71"/>
      <c r="B233" s="76" t="s">
        <v>95</v>
      </c>
      <c r="C233" s="132"/>
      <c r="D233" s="274">
        <f>SUM(D230:D232)</f>
        <v>100.00175201231275</v>
      </c>
      <c r="E233" s="134"/>
      <c r="F233" s="134"/>
      <c r="G233" s="137">
        <f>SUM(G230:G232)</f>
        <v>2488215000</v>
      </c>
      <c r="H233" s="134"/>
      <c r="I233" s="134"/>
      <c r="J233" s="734">
        <v>500</v>
      </c>
      <c r="K233" s="40"/>
    </row>
    <row r="234" spans="1:11" x14ac:dyDescent="0.25">
      <c r="A234" s="53"/>
      <c r="B234" s="5"/>
      <c r="C234" s="189"/>
      <c r="D234" s="29"/>
      <c r="E234" s="30"/>
      <c r="F234" s="23"/>
      <c r="G234" s="11"/>
      <c r="H234" s="32"/>
      <c r="I234" s="23"/>
      <c r="J234" s="15"/>
      <c r="K234" s="37"/>
    </row>
    <row r="235" spans="1:11" x14ac:dyDescent="0.25">
      <c r="A235" s="1087" t="s">
        <v>2</v>
      </c>
      <c r="B235" s="1089" t="s">
        <v>169</v>
      </c>
      <c r="C235" s="1087" t="s">
        <v>4</v>
      </c>
      <c r="D235" s="1090" t="s">
        <v>5</v>
      </c>
      <c r="E235" s="1090"/>
      <c r="F235" s="1090"/>
      <c r="G235" s="1091" t="s">
        <v>6</v>
      </c>
      <c r="H235" s="1091"/>
      <c r="I235" s="1091"/>
      <c r="J235" s="1087" t="s">
        <v>7</v>
      </c>
      <c r="K235" s="108" t="s">
        <v>8</v>
      </c>
    </row>
    <row r="236" spans="1:11" x14ac:dyDescent="0.25">
      <c r="A236" s="1087"/>
      <c r="B236" s="1089"/>
      <c r="C236" s="1087"/>
      <c r="D236" s="108" t="s">
        <v>9</v>
      </c>
      <c r="E236" s="300" t="s">
        <v>10</v>
      </c>
      <c r="F236" s="300" t="s">
        <v>11</v>
      </c>
      <c r="G236" s="301" t="s">
        <v>12</v>
      </c>
      <c r="H236" s="300" t="s">
        <v>13</v>
      </c>
      <c r="I236" s="300" t="s">
        <v>11</v>
      </c>
      <c r="J236" s="1088"/>
      <c r="K236" s="109"/>
    </row>
    <row r="237" spans="1:11" x14ac:dyDescent="0.25">
      <c r="A237" s="1087"/>
      <c r="B237" s="1089"/>
      <c r="C237" s="1087"/>
      <c r="D237" s="112" t="s">
        <v>14</v>
      </c>
      <c r="E237" s="113" t="s">
        <v>14</v>
      </c>
      <c r="F237" s="113" t="s">
        <v>14</v>
      </c>
      <c r="G237" s="114" t="s">
        <v>15</v>
      </c>
      <c r="H237" s="113" t="s">
        <v>14</v>
      </c>
      <c r="I237" s="113" t="s">
        <v>14</v>
      </c>
      <c r="J237" s="112" t="s">
        <v>15</v>
      </c>
      <c r="K237" s="112"/>
    </row>
    <row r="238" spans="1:11" x14ac:dyDescent="0.25">
      <c r="A238" s="79" t="s">
        <v>185</v>
      </c>
      <c r="B238" s="199" t="s">
        <v>146</v>
      </c>
      <c r="C238" s="24"/>
      <c r="D238" s="10"/>
      <c r="E238" s="34"/>
      <c r="F238" s="34"/>
      <c r="G238" s="6"/>
      <c r="H238" s="34"/>
      <c r="I238" s="34"/>
      <c r="J238" s="10"/>
      <c r="K238" s="10"/>
    </row>
    <row r="239" spans="1:11" x14ac:dyDescent="0.25">
      <c r="A239" s="125" t="s">
        <v>187</v>
      </c>
      <c r="B239" s="280" t="s">
        <v>150</v>
      </c>
      <c r="C239" s="252">
        <f>SUM(C240:C243)</f>
        <v>1750900000</v>
      </c>
      <c r="D239" s="10"/>
      <c r="E239" s="34"/>
      <c r="F239" s="34"/>
      <c r="G239" s="6"/>
      <c r="H239" s="34"/>
      <c r="I239" s="34"/>
      <c r="J239" s="10"/>
      <c r="K239" s="10"/>
    </row>
    <row r="240" spans="1:11" ht="25.5" x14ac:dyDescent="0.25">
      <c r="A240" s="313" t="s">
        <v>44</v>
      </c>
      <c r="B240" s="707" t="s">
        <v>384</v>
      </c>
      <c r="C240" s="253">
        <v>27280000</v>
      </c>
      <c r="D240" s="134">
        <f>C240/C239*100</f>
        <v>1.5580558569878349</v>
      </c>
      <c r="E240" s="134">
        <f t="shared" ref="E240:E243" si="81">G240/C240*100</f>
        <v>100</v>
      </c>
      <c r="F240" s="134">
        <f t="shared" ref="F240:F243" si="82">(D240*E240)/100</f>
        <v>1.5580558569878349</v>
      </c>
      <c r="G240" s="135">
        <f>27280000</f>
        <v>27280000</v>
      </c>
      <c r="H240" s="134">
        <f t="shared" ref="H240:H243" si="83">G240/C240*100</f>
        <v>100</v>
      </c>
      <c r="I240" s="134">
        <f t="shared" ref="I240:I243" si="84">(D240*H240)/100</f>
        <v>1.5580558569878349</v>
      </c>
      <c r="J240" s="56">
        <v>0</v>
      </c>
      <c r="K240" s="10"/>
    </row>
    <row r="241" spans="1:11" x14ac:dyDescent="0.25">
      <c r="A241" s="313" t="s">
        <v>59</v>
      </c>
      <c r="B241" s="707" t="s">
        <v>197</v>
      </c>
      <c r="C241" s="253">
        <v>1620000</v>
      </c>
      <c r="D241" s="134">
        <f>C241/C239*100</f>
        <v>9.2523844879776107E-2</v>
      </c>
      <c r="E241" s="134">
        <f t="shared" si="81"/>
        <v>100</v>
      </c>
      <c r="F241" s="134">
        <f t="shared" si="82"/>
        <v>9.2523844879776107E-2</v>
      </c>
      <c r="G241" s="135">
        <f>1620000</f>
        <v>1620000</v>
      </c>
      <c r="H241" s="134">
        <f t="shared" si="83"/>
        <v>100</v>
      </c>
      <c r="I241" s="134">
        <f t="shared" si="84"/>
        <v>9.2523844879776107E-2</v>
      </c>
      <c r="J241" s="56">
        <v>0</v>
      </c>
      <c r="K241" s="10"/>
    </row>
    <row r="242" spans="1:11" ht="25.5" x14ac:dyDescent="0.25">
      <c r="A242" s="312" t="s">
        <v>157</v>
      </c>
      <c r="B242" s="133" t="s">
        <v>158</v>
      </c>
      <c r="C242" s="256">
        <v>1230000000</v>
      </c>
      <c r="D242" s="134">
        <f>C242/C239*100</f>
        <v>70.249585927237419</v>
      </c>
      <c r="E242" s="134">
        <f t="shared" si="81"/>
        <v>133.33333333333331</v>
      </c>
      <c r="F242" s="134">
        <f t="shared" si="82"/>
        <v>93.666114569649878</v>
      </c>
      <c r="G242" s="135">
        <f>349549700+1290450300</f>
        <v>1640000000</v>
      </c>
      <c r="H242" s="134">
        <f t="shared" si="83"/>
        <v>133.33333333333331</v>
      </c>
      <c r="I242" s="134">
        <f t="shared" si="84"/>
        <v>93.666114569649878</v>
      </c>
      <c r="J242" s="56">
        <v>0</v>
      </c>
      <c r="K242" s="10"/>
    </row>
    <row r="243" spans="1:11" s="84" customFormat="1" ht="25.5" x14ac:dyDescent="0.25">
      <c r="A243" s="312" t="s">
        <v>152</v>
      </c>
      <c r="B243" s="133" t="s">
        <v>159</v>
      </c>
      <c r="C243" s="256">
        <v>492000000</v>
      </c>
      <c r="D243" s="134">
        <f>C243/C239*100</f>
        <v>28.099834370894968</v>
      </c>
      <c r="E243" s="134">
        <f t="shared" si="81"/>
        <v>100</v>
      </c>
      <c r="F243" s="134">
        <f t="shared" si="82"/>
        <v>28.099834370894968</v>
      </c>
      <c r="G243" s="135">
        <f>492000000</f>
        <v>492000000</v>
      </c>
      <c r="H243" s="134">
        <f t="shared" si="83"/>
        <v>100</v>
      </c>
      <c r="I243" s="134">
        <f t="shared" si="84"/>
        <v>28.099834370894968</v>
      </c>
      <c r="J243" s="56">
        <v>0</v>
      </c>
      <c r="K243" s="38"/>
    </row>
    <row r="244" spans="1:11" x14ac:dyDescent="0.25">
      <c r="A244" s="70"/>
      <c r="B244" s="129" t="s">
        <v>95</v>
      </c>
      <c r="C244" s="51"/>
      <c r="D244" s="271">
        <f>SUM(D240:D243)</f>
        <v>100</v>
      </c>
      <c r="E244" s="134"/>
      <c r="F244" s="134"/>
      <c r="G244" s="137">
        <f>SUM(G240:G243)</f>
        <v>2160900000</v>
      </c>
      <c r="H244" s="134"/>
      <c r="I244" s="134"/>
      <c r="J244" s="56">
        <v>0</v>
      </c>
      <c r="K244" s="130"/>
    </row>
    <row r="245" spans="1:11" x14ac:dyDescent="0.25">
      <c r="A245" s="53"/>
      <c r="B245" s="5"/>
      <c r="C245" s="189"/>
      <c r="D245" s="29"/>
      <c r="E245" s="30"/>
      <c r="F245" s="23"/>
      <c r="G245" s="11"/>
      <c r="H245" s="32"/>
      <c r="I245" s="23"/>
      <c r="J245" s="15"/>
      <c r="K245" s="37"/>
    </row>
    <row r="246" spans="1:11" x14ac:dyDescent="0.25">
      <c r="A246" s="50"/>
      <c r="B246" s="5"/>
      <c r="C246" s="50"/>
      <c r="D246" s="9"/>
      <c r="E246" s="23"/>
      <c r="F246" s="23"/>
      <c r="G246" s="11"/>
      <c r="H246" s="23"/>
      <c r="I246" s="23"/>
      <c r="J246" s="9"/>
      <c r="K246" s="9"/>
    </row>
    <row r="247" spans="1:11" x14ac:dyDescent="0.25">
      <c r="A247" s="50"/>
      <c r="B247" s="5"/>
      <c r="C247" s="50"/>
      <c r="D247" s="9"/>
      <c r="E247" s="23"/>
      <c r="F247" s="23"/>
      <c r="G247" s="11"/>
      <c r="H247" s="23"/>
      <c r="I247" s="23"/>
      <c r="J247" s="9"/>
      <c r="K247" s="9"/>
    </row>
    <row r="248" spans="1:11" x14ac:dyDescent="0.25">
      <c r="A248" s="1103" t="s">
        <v>2</v>
      </c>
      <c r="B248" s="1116" t="s">
        <v>137</v>
      </c>
      <c r="C248" s="1103" t="s">
        <v>4</v>
      </c>
      <c r="D248" s="1105" t="s">
        <v>5</v>
      </c>
      <c r="E248" s="1106"/>
      <c r="F248" s="1106"/>
      <c r="G248" s="1107" t="s">
        <v>6</v>
      </c>
      <c r="H248" s="1106"/>
      <c r="I248" s="1106"/>
      <c r="J248" s="1108" t="s">
        <v>7</v>
      </c>
      <c r="K248" s="1108" t="s">
        <v>8</v>
      </c>
    </row>
    <row r="249" spans="1:11" x14ac:dyDescent="0.25">
      <c r="A249" s="1103"/>
      <c r="B249" s="1117"/>
      <c r="C249" s="1103"/>
      <c r="D249" s="102" t="s">
        <v>9</v>
      </c>
      <c r="E249" s="103" t="s">
        <v>10</v>
      </c>
      <c r="F249" s="103" t="s">
        <v>11</v>
      </c>
      <c r="G249" s="104" t="s">
        <v>12</v>
      </c>
      <c r="H249" s="103" t="s">
        <v>13</v>
      </c>
      <c r="I249" s="103" t="s">
        <v>11</v>
      </c>
      <c r="J249" s="1109"/>
      <c r="K249" s="1109"/>
    </row>
    <row r="250" spans="1:11" x14ac:dyDescent="0.25">
      <c r="A250" s="1103"/>
      <c r="B250" s="1118"/>
      <c r="C250" s="1103"/>
      <c r="D250" s="105" t="s">
        <v>14</v>
      </c>
      <c r="E250" s="106" t="s">
        <v>14</v>
      </c>
      <c r="F250" s="106" t="s">
        <v>14</v>
      </c>
      <c r="G250" s="107" t="s">
        <v>15</v>
      </c>
      <c r="H250" s="106" t="s">
        <v>14</v>
      </c>
      <c r="I250" s="106" t="s">
        <v>14</v>
      </c>
      <c r="J250" s="105" t="s">
        <v>15</v>
      </c>
      <c r="K250" s="1110"/>
    </row>
    <row r="251" spans="1:11" ht="25.5" x14ac:dyDescent="0.25">
      <c r="A251" s="79" t="s">
        <v>180</v>
      </c>
      <c r="B251" s="696" t="s">
        <v>379</v>
      </c>
      <c r="C251" s="64"/>
      <c r="D251" s="10"/>
      <c r="E251" s="34"/>
      <c r="F251" s="34"/>
      <c r="G251" s="6"/>
      <c r="H251" s="34"/>
      <c r="I251" s="34"/>
      <c r="J251" s="10"/>
      <c r="K251" s="10"/>
    </row>
    <row r="252" spans="1:11" ht="25.5" x14ac:dyDescent="0.25">
      <c r="A252" s="140" t="s">
        <v>181</v>
      </c>
      <c r="B252" s="697" t="s">
        <v>380</v>
      </c>
      <c r="C252" s="86">
        <f>SUM(C253:C266)</f>
        <v>200000000</v>
      </c>
      <c r="D252" s="179"/>
      <c r="E252" s="168"/>
      <c r="F252" s="168"/>
      <c r="G252" s="169"/>
      <c r="H252" s="168"/>
      <c r="I252" s="168"/>
      <c r="J252" s="167"/>
      <c r="K252" s="167"/>
    </row>
    <row r="253" spans="1:11" ht="25.5" x14ac:dyDescent="0.25">
      <c r="A253" s="170" t="s">
        <v>44</v>
      </c>
      <c r="B253" s="707" t="s">
        <v>384</v>
      </c>
      <c r="C253" s="58">
        <v>9590000</v>
      </c>
      <c r="D253" s="180">
        <f>C253/C252*100</f>
        <v>4.7949999999999999</v>
      </c>
      <c r="E253" s="134">
        <f t="shared" ref="E253:E265" si="85">G253/C253*100</f>
        <v>100</v>
      </c>
      <c r="F253" s="134">
        <f t="shared" ref="F253:F265" si="86">(D253*E253)/100</f>
        <v>4.7949999999999999</v>
      </c>
      <c r="G253" s="181">
        <f>9590000</f>
        <v>9590000</v>
      </c>
      <c r="H253" s="134">
        <f t="shared" ref="H253:H265" si="87">G253/C253*100</f>
        <v>100</v>
      </c>
      <c r="I253" s="134">
        <f t="shared" ref="I253:I265" si="88">(D253*H253)/100</f>
        <v>4.7949999999999999</v>
      </c>
      <c r="J253" s="56">
        <v>0</v>
      </c>
      <c r="K253" s="167"/>
    </row>
    <row r="254" spans="1:11" x14ac:dyDescent="0.25">
      <c r="A254" s="170" t="s">
        <v>221</v>
      </c>
      <c r="B254" s="707" t="s">
        <v>427</v>
      </c>
      <c r="C254" s="58">
        <v>4000000</v>
      </c>
      <c r="D254" s="180"/>
      <c r="E254" s="134"/>
      <c r="F254" s="134"/>
      <c r="G254" s="181">
        <f>4000000</f>
        <v>4000000</v>
      </c>
      <c r="H254" s="134"/>
      <c r="I254" s="134"/>
      <c r="J254" s="56"/>
      <c r="K254" s="167"/>
    </row>
    <row r="255" spans="1:11" x14ac:dyDescent="0.25">
      <c r="A255" s="170" t="s">
        <v>59</v>
      </c>
      <c r="B255" s="707" t="s">
        <v>197</v>
      </c>
      <c r="C255" s="58">
        <v>7376000</v>
      </c>
      <c r="D255" s="729">
        <f>C255/C252*100</f>
        <v>3.6880000000000002</v>
      </c>
      <c r="E255" s="134">
        <f t="shared" si="85"/>
        <v>100</v>
      </c>
      <c r="F255" s="134">
        <f t="shared" si="86"/>
        <v>3.6880000000000002</v>
      </c>
      <c r="G255" s="171">
        <f>7376000</f>
        <v>7376000</v>
      </c>
      <c r="H255" s="134">
        <f t="shared" si="87"/>
        <v>100</v>
      </c>
      <c r="I255" s="134">
        <f t="shared" si="88"/>
        <v>3.6880000000000002</v>
      </c>
      <c r="J255" s="56">
        <v>0</v>
      </c>
      <c r="K255" s="167"/>
    </row>
    <row r="256" spans="1:11" x14ac:dyDescent="0.25">
      <c r="A256" s="170" t="s">
        <v>62</v>
      </c>
      <c r="B256" s="707" t="s">
        <v>334</v>
      </c>
      <c r="C256" s="58">
        <v>7200000</v>
      </c>
      <c r="D256" s="729">
        <f>C256/C252*100</f>
        <v>3.5999999999999996</v>
      </c>
      <c r="E256" s="134">
        <f t="shared" si="85"/>
        <v>100</v>
      </c>
      <c r="F256" s="134">
        <f t="shared" si="86"/>
        <v>3.5999999999999996</v>
      </c>
      <c r="G256" s="169">
        <f>7200000</f>
        <v>7200000</v>
      </c>
      <c r="H256" s="134">
        <f t="shared" si="87"/>
        <v>100</v>
      </c>
      <c r="I256" s="134">
        <f t="shared" si="88"/>
        <v>3.5999999999999996</v>
      </c>
      <c r="J256" s="56">
        <v>0</v>
      </c>
      <c r="K256" s="167"/>
    </row>
    <row r="257" spans="1:14" x14ac:dyDescent="0.25">
      <c r="A257" s="170" t="s">
        <v>77</v>
      </c>
      <c r="B257" s="49" t="s">
        <v>135</v>
      </c>
      <c r="C257" s="58">
        <v>54914000</v>
      </c>
      <c r="D257" s="729">
        <f>C257/C252*100</f>
        <v>27.456999999999997</v>
      </c>
      <c r="E257" s="134">
        <f t="shared" si="85"/>
        <v>100</v>
      </c>
      <c r="F257" s="134">
        <f t="shared" si="86"/>
        <v>27.456999999999997</v>
      </c>
      <c r="G257" s="181">
        <f>54914000</f>
        <v>54914000</v>
      </c>
      <c r="H257" s="134">
        <f t="shared" si="87"/>
        <v>100</v>
      </c>
      <c r="I257" s="134">
        <f t="shared" si="88"/>
        <v>27.456999999999997</v>
      </c>
      <c r="J257" s="56">
        <v>0</v>
      </c>
      <c r="K257" s="167"/>
    </row>
    <row r="258" spans="1:14" x14ac:dyDescent="0.25">
      <c r="A258" s="170" t="s">
        <v>104</v>
      </c>
      <c r="B258" s="170" t="s">
        <v>179</v>
      </c>
      <c r="C258" s="58">
        <v>30750000</v>
      </c>
      <c r="D258" s="729">
        <f>C258/C252*100</f>
        <v>15.375</v>
      </c>
      <c r="E258" s="134">
        <f t="shared" si="85"/>
        <v>100</v>
      </c>
      <c r="F258" s="134">
        <f t="shared" si="86"/>
        <v>15.375</v>
      </c>
      <c r="G258" s="169">
        <f>30750000</f>
        <v>30750000</v>
      </c>
      <c r="H258" s="134">
        <f t="shared" si="87"/>
        <v>100</v>
      </c>
      <c r="I258" s="134">
        <f t="shared" si="88"/>
        <v>15.375</v>
      </c>
      <c r="J258" s="56">
        <v>0</v>
      </c>
      <c r="K258" s="167"/>
    </row>
    <row r="259" spans="1:14" x14ac:dyDescent="0.25">
      <c r="A259" s="170" t="s">
        <v>130</v>
      </c>
      <c r="B259" s="170" t="s">
        <v>131</v>
      </c>
      <c r="C259" s="58">
        <v>0</v>
      </c>
      <c r="D259" s="729">
        <f>C259/C252*100</f>
        <v>0</v>
      </c>
      <c r="E259" s="134" t="e">
        <f t="shared" si="85"/>
        <v>#DIV/0!</v>
      </c>
      <c r="F259" s="134" t="e">
        <f t="shared" si="86"/>
        <v>#DIV/0!</v>
      </c>
      <c r="G259" s="169">
        <v>0</v>
      </c>
      <c r="H259" s="134" t="e">
        <f t="shared" si="87"/>
        <v>#DIV/0!</v>
      </c>
      <c r="I259" s="134" t="e">
        <f t="shared" si="88"/>
        <v>#DIV/0!</v>
      </c>
      <c r="J259" s="56">
        <v>0</v>
      </c>
      <c r="K259" s="167"/>
    </row>
    <row r="260" spans="1:14" ht="25.5" x14ac:dyDescent="0.25">
      <c r="A260" s="170" t="s">
        <v>106</v>
      </c>
      <c r="B260" s="316" t="s">
        <v>375</v>
      </c>
      <c r="C260" s="58">
        <v>39900000</v>
      </c>
      <c r="D260" s="180">
        <f>C260/C252*100</f>
        <v>19.950000000000003</v>
      </c>
      <c r="E260" s="134">
        <f t="shared" si="85"/>
        <v>100</v>
      </c>
      <c r="F260" s="134">
        <f t="shared" si="86"/>
        <v>19.950000000000003</v>
      </c>
      <c r="G260" s="169">
        <f>39900000</f>
        <v>39900000</v>
      </c>
      <c r="H260" s="134">
        <f t="shared" si="87"/>
        <v>100</v>
      </c>
      <c r="I260" s="134">
        <f t="shared" si="88"/>
        <v>19.950000000000003</v>
      </c>
      <c r="J260" s="56">
        <v>0</v>
      </c>
      <c r="K260" s="167"/>
    </row>
    <row r="261" spans="1:14" x14ac:dyDescent="0.25">
      <c r="A261" s="170" t="s">
        <v>110</v>
      </c>
      <c r="B261" s="170" t="s">
        <v>189</v>
      </c>
      <c r="C261" s="178">
        <v>1600000</v>
      </c>
      <c r="D261" s="729">
        <f>C261/C252*100</f>
        <v>0.8</v>
      </c>
      <c r="E261" s="134">
        <f t="shared" si="85"/>
        <v>100</v>
      </c>
      <c r="F261" s="134">
        <f t="shared" si="86"/>
        <v>0.8</v>
      </c>
      <c r="G261" s="169">
        <f>1600000</f>
        <v>1600000</v>
      </c>
      <c r="H261" s="134">
        <f t="shared" si="87"/>
        <v>100</v>
      </c>
      <c r="I261" s="134">
        <f t="shared" si="88"/>
        <v>0.8</v>
      </c>
      <c r="J261" s="56">
        <v>0</v>
      </c>
      <c r="K261" s="167"/>
    </row>
    <row r="262" spans="1:14" x14ac:dyDescent="0.25">
      <c r="A262" s="170" t="s">
        <v>162</v>
      </c>
      <c r="B262" s="170" t="s">
        <v>188</v>
      </c>
      <c r="C262" s="178">
        <v>11500000</v>
      </c>
      <c r="D262" s="729">
        <f>C262/C252*100</f>
        <v>5.75</v>
      </c>
      <c r="E262" s="134">
        <f t="shared" si="85"/>
        <v>100</v>
      </c>
      <c r="F262" s="134">
        <f t="shared" si="86"/>
        <v>5.75</v>
      </c>
      <c r="G262" s="169">
        <f>11500000</f>
        <v>11500000</v>
      </c>
      <c r="H262" s="134">
        <f t="shared" si="87"/>
        <v>100</v>
      </c>
      <c r="I262" s="134">
        <f t="shared" si="88"/>
        <v>5.75</v>
      </c>
      <c r="J262" s="56">
        <v>0</v>
      </c>
      <c r="K262" s="167"/>
    </row>
    <row r="263" spans="1:14" ht="25.5" x14ac:dyDescent="0.25">
      <c r="A263" s="170" t="s">
        <v>116</v>
      </c>
      <c r="B263" s="750" t="s">
        <v>420</v>
      </c>
      <c r="C263" s="178">
        <v>3170000</v>
      </c>
      <c r="D263" s="729">
        <f>C263/C253*100</f>
        <v>33.05526590198123</v>
      </c>
      <c r="E263" s="134"/>
      <c r="F263" s="134"/>
      <c r="G263" s="169">
        <f>3170000</f>
        <v>3170000</v>
      </c>
      <c r="H263" s="134"/>
      <c r="I263" s="134"/>
      <c r="J263" s="56"/>
      <c r="K263" s="167"/>
    </row>
    <row r="264" spans="1:14" x14ac:dyDescent="0.25">
      <c r="A264" s="170" t="s">
        <v>65</v>
      </c>
      <c r="B264" s="170" t="s">
        <v>190</v>
      </c>
      <c r="C264" s="178">
        <v>0</v>
      </c>
      <c r="D264" s="729">
        <f>C264/C252*100</f>
        <v>0</v>
      </c>
      <c r="E264" s="134" t="e">
        <f t="shared" si="85"/>
        <v>#DIV/0!</v>
      </c>
      <c r="F264" s="134" t="e">
        <f t="shared" si="86"/>
        <v>#DIV/0!</v>
      </c>
      <c r="G264" s="169">
        <v>0</v>
      </c>
      <c r="H264" s="134" t="e">
        <f t="shared" si="87"/>
        <v>#DIV/0!</v>
      </c>
      <c r="I264" s="134" t="e">
        <f t="shared" si="88"/>
        <v>#DIV/0!</v>
      </c>
      <c r="J264" s="56">
        <v>0</v>
      </c>
      <c r="K264" s="167"/>
    </row>
    <row r="265" spans="1:14" x14ac:dyDescent="0.25">
      <c r="A265" s="170" t="s">
        <v>57</v>
      </c>
      <c r="B265" s="170" t="s">
        <v>191</v>
      </c>
      <c r="C265" s="58">
        <v>20000000</v>
      </c>
      <c r="D265" s="269">
        <f>C265/C252*100</f>
        <v>10</v>
      </c>
      <c r="E265" s="134">
        <f t="shared" si="85"/>
        <v>100</v>
      </c>
      <c r="F265" s="134">
        <f t="shared" si="86"/>
        <v>10</v>
      </c>
      <c r="G265" s="169">
        <f>20000000</f>
        <v>20000000</v>
      </c>
      <c r="H265" s="134">
        <f t="shared" si="87"/>
        <v>100</v>
      </c>
      <c r="I265" s="134">
        <f t="shared" si="88"/>
        <v>10</v>
      </c>
      <c r="J265" s="56">
        <v>0</v>
      </c>
      <c r="K265" s="167"/>
    </row>
    <row r="266" spans="1:14" x14ac:dyDescent="0.25">
      <c r="A266" s="68" t="s">
        <v>301</v>
      </c>
      <c r="B266" s="170" t="s">
        <v>409</v>
      </c>
      <c r="C266" s="58">
        <v>10000000</v>
      </c>
      <c r="D266" s="269"/>
      <c r="E266" s="134"/>
      <c r="F266" s="134"/>
      <c r="G266" s="181">
        <f>10000000</f>
        <v>10000000</v>
      </c>
      <c r="H266" s="134"/>
      <c r="I266" s="134"/>
      <c r="J266" s="56"/>
      <c r="K266" s="167"/>
    </row>
    <row r="267" spans="1:14" x14ac:dyDescent="0.25">
      <c r="A267" s="68"/>
      <c r="B267" s="67" t="s">
        <v>128</v>
      </c>
      <c r="C267" s="58"/>
      <c r="D267" s="270">
        <f>SUM(D253:D265)</f>
        <v>124.47026590198124</v>
      </c>
      <c r="E267" s="134"/>
      <c r="F267" s="134"/>
      <c r="G267" s="13">
        <f>SUM(G253:G266)</f>
        <v>200000000</v>
      </c>
      <c r="H267" s="134"/>
      <c r="I267" s="134"/>
      <c r="J267" s="56">
        <v>0</v>
      </c>
      <c r="K267" s="3"/>
    </row>
    <row r="268" spans="1:14" x14ac:dyDescent="0.25">
      <c r="A268" s="190"/>
      <c r="B268" s="2"/>
      <c r="C268" s="59"/>
      <c r="D268" s="41"/>
      <c r="E268" s="31"/>
      <c r="F268" s="31"/>
      <c r="G268" s="36"/>
      <c r="H268" s="31"/>
      <c r="I268" s="31"/>
      <c r="J268" s="33"/>
      <c r="K268" s="37"/>
    </row>
    <row r="269" spans="1:14" ht="31.5" x14ac:dyDescent="0.25">
      <c r="A269" s="55"/>
      <c r="B269" s="46" t="s">
        <v>145</v>
      </c>
      <c r="C269" s="155"/>
      <c r="D269" s="44"/>
      <c r="E269" s="45"/>
      <c r="F269" s="45"/>
      <c r="G269" s="48"/>
      <c r="H269" s="45"/>
      <c r="I269" s="45"/>
      <c r="J269" s="44"/>
      <c r="K269" s="44"/>
      <c r="L269" s="1"/>
      <c r="M269" s="1"/>
      <c r="N269" s="1"/>
    </row>
    <row r="270" spans="1:14" x14ac:dyDescent="0.25">
      <c r="A270" s="1111" t="s">
        <v>2</v>
      </c>
      <c r="B270" s="1104" t="s">
        <v>170</v>
      </c>
      <c r="C270" s="1111" t="s">
        <v>4</v>
      </c>
      <c r="D270" s="1112" t="s">
        <v>5</v>
      </c>
      <c r="E270" s="1113"/>
      <c r="F270" s="1113"/>
      <c r="G270" s="1114" t="s">
        <v>6</v>
      </c>
      <c r="H270" s="1113"/>
      <c r="I270" s="1113"/>
      <c r="J270" s="1111" t="s">
        <v>7</v>
      </c>
      <c r="K270" s="285" t="s">
        <v>8</v>
      </c>
    </row>
    <row r="271" spans="1:14" x14ac:dyDescent="0.25">
      <c r="A271" s="1111"/>
      <c r="B271" s="1104"/>
      <c r="C271" s="1111"/>
      <c r="D271" s="285" t="s">
        <v>9</v>
      </c>
      <c r="E271" s="304" t="s">
        <v>10</v>
      </c>
      <c r="F271" s="304" t="s">
        <v>11</v>
      </c>
      <c r="G271" s="305" t="s">
        <v>12</v>
      </c>
      <c r="H271" s="304" t="s">
        <v>13</v>
      </c>
      <c r="I271" s="304" t="s">
        <v>11</v>
      </c>
      <c r="J271" s="1115"/>
      <c r="K271" s="287"/>
    </row>
    <row r="272" spans="1:14" x14ac:dyDescent="0.25">
      <c r="A272" s="1111"/>
      <c r="B272" s="1104"/>
      <c r="C272" s="1111"/>
      <c r="D272" s="286" t="s">
        <v>14</v>
      </c>
      <c r="E272" s="302" t="s">
        <v>14</v>
      </c>
      <c r="F272" s="302" t="s">
        <v>14</v>
      </c>
      <c r="G272" s="303" t="s">
        <v>15</v>
      </c>
      <c r="H272" s="302" t="s">
        <v>14</v>
      </c>
      <c r="I272" s="302" t="s">
        <v>14</v>
      </c>
      <c r="J272" s="286" t="s">
        <v>15</v>
      </c>
      <c r="K272" s="286"/>
    </row>
    <row r="273" spans="1:11" x14ac:dyDescent="0.25">
      <c r="A273" s="144" t="s">
        <v>185</v>
      </c>
      <c r="B273" s="199" t="s">
        <v>146</v>
      </c>
      <c r="C273" s="145"/>
      <c r="D273" s="146"/>
      <c r="E273" s="147"/>
      <c r="F273" s="147"/>
      <c r="G273" s="148"/>
      <c r="H273" s="147"/>
      <c r="I273" s="147"/>
      <c r="J273" s="146"/>
      <c r="K273" s="146"/>
    </row>
    <row r="274" spans="1:11" x14ac:dyDescent="0.25">
      <c r="A274" s="318" t="s">
        <v>184</v>
      </c>
      <c r="B274" s="280" t="s">
        <v>147</v>
      </c>
      <c r="C274" s="257">
        <f>SUM(C275:C276)</f>
        <v>2128900000</v>
      </c>
      <c r="D274" s="146"/>
      <c r="E274" s="147"/>
      <c r="F274" s="147"/>
      <c r="G274" s="148"/>
      <c r="H274" s="147"/>
      <c r="I274" s="147"/>
      <c r="J274" s="146"/>
      <c r="K274" s="146"/>
    </row>
    <row r="275" spans="1:11" ht="25.5" x14ac:dyDescent="0.25">
      <c r="A275" s="319" t="s">
        <v>44</v>
      </c>
      <c r="B275" s="707" t="s">
        <v>384</v>
      </c>
      <c r="C275" s="149">
        <v>28900000</v>
      </c>
      <c r="D275" s="267">
        <f>C275/C274*100</f>
        <v>1.3575085725022311</v>
      </c>
      <c r="E275" s="134">
        <f t="shared" ref="E275:E276" si="89">G275/C275*100</f>
        <v>100</v>
      </c>
      <c r="F275" s="134">
        <f t="shared" ref="F275:F276" si="90">(D275*E275)/100</f>
        <v>1.3575085725022311</v>
      </c>
      <c r="G275" s="733">
        <f>28900000</f>
        <v>28900000</v>
      </c>
      <c r="H275" s="134">
        <f t="shared" ref="H275:H276" si="91">G275/C275*100</f>
        <v>100</v>
      </c>
      <c r="I275" s="134">
        <f t="shared" ref="I275:I276" si="92">(D275*H275)/100</f>
        <v>1.3575085725022311</v>
      </c>
      <c r="J275" s="56">
        <v>0</v>
      </c>
      <c r="K275" s="146"/>
    </row>
    <row r="276" spans="1:11" ht="25.5" x14ac:dyDescent="0.25">
      <c r="A276" s="49" t="s">
        <v>148</v>
      </c>
      <c r="B276" s="133" t="s">
        <v>149</v>
      </c>
      <c r="C276" s="149">
        <v>2100000000</v>
      </c>
      <c r="D276" s="267">
        <f>C276/C274*100</f>
        <v>98.642491427497774</v>
      </c>
      <c r="E276" s="134">
        <f t="shared" si="89"/>
        <v>100</v>
      </c>
      <c r="F276" s="134">
        <f t="shared" si="90"/>
        <v>98.642491427497774</v>
      </c>
      <c r="G276" s="733">
        <f>1135803000+964197000</f>
        <v>2100000000</v>
      </c>
      <c r="H276" s="134">
        <f t="shared" si="91"/>
        <v>100</v>
      </c>
      <c r="I276" s="134">
        <f t="shared" si="92"/>
        <v>98.642491427497774</v>
      </c>
      <c r="J276" s="56">
        <v>0</v>
      </c>
      <c r="K276" s="146"/>
    </row>
    <row r="277" spans="1:11" x14ac:dyDescent="0.25">
      <c r="A277" s="71"/>
      <c r="B277" s="76" t="s">
        <v>95</v>
      </c>
      <c r="C277" s="157"/>
      <c r="D277" s="141">
        <f>SUM(D275:D276)</f>
        <v>100</v>
      </c>
      <c r="E277" s="134"/>
      <c r="F277" s="134"/>
      <c r="G277" s="142">
        <f>SUM(G275:G276)</f>
        <v>2128900000</v>
      </c>
      <c r="H277" s="134"/>
      <c r="I277" s="134"/>
      <c r="J277" s="56">
        <v>0</v>
      </c>
      <c r="K277" s="143"/>
    </row>
    <row r="278" spans="1:11" x14ac:dyDescent="0.25">
      <c r="A278" s="190"/>
      <c r="B278" s="2"/>
      <c r="C278" s="59"/>
      <c r="D278" s="41"/>
      <c r="E278" s="31"/>
      <c r="F278" s="31"/>
      <c r="G278" s="36"/>
      <c r="H278" s="31"/>
      <c r="I278" s="31"/>
      <c r="J278" s="33"/>
      <c r="K278" s="37"/>
    </row>
    <row r="279" spans="1:11" x14ac:dyDescent="0.25">
      <c r="A279" s="1103" t="s">
        <v>2</v>
      </c>
      <c r="B279" s="1104" t="s">
        <v>170</v>
      </c>
      <c r="C279" s="1103" t="s">
        <v>4</v>
      </c>
      <c r="D279" s="1105" t="s">
        <v>5</v>
      </c>
      <c r="E279" s="1106"/>
      <c r="F279" s="1106"/>
      <c r="G279" s="1107" t="s">
        <v>6</v>
      </c>
      <c r="H279" s="1106"/>
      <c r="I279" s="1106"/>
      <c r="J279" s="1103" t="s">
        <v>7</v>
      </c>
      <c r="K279" s="288" t="s">
        <v>8</v>
      </c>
    </row>
    <row r="280" spans="1:11" x14ac:dyDescent="0.25">
      <c r="A280" s="1103"/>
      <c r="B280" s="1104"/>
      <c r="C280" s="1103"/>
      <c r="D280" s="288" t="s">
        <v>9</v>
      </c>
      <c r="E280" s="306" t="s">
        <v>10</v>
      </c>
      <c r="F280" s="306" t="s">
        <v>11</v>
      </c>
      <c r="G280" s="307" t="s">
        <v>12</v>
      </c>
      <c r="H280" s="306" t="s">
        <v>13</v>
      </c>
      <c r="I280" s="306" t="s">
        <v>11</v>
      </c>
      <c r="J280" s="1108"/>
      <c r="K280" s="102"/>
    </row>
    <row r="281" spans="1:11" x14ac:dyDescent="0.25">
      <c r="A281" s="1103"/>
      <c r="B281" s="1104"/>
      <c r="C281" s="1103"/>
      <c r="D281" s="105" t="s">
        <v>14</v>
      </c>
      <c r="E281" s="106" t="s">
        <v>14</v>
      </c>
      <c r="F281" s="106" t="s">
        <v>14</v>
      </c>
      <c r="G281" s="107" t="s">
        <v>15</v>
      </c>
      <c r="H281" s="106" t="s">
        <v>14</v>
      </c>
      <c r="I281" s="106" t="s">
        <v>14</v>
      </c>
      <c r="J281" s="105" t="s">
        <v>15</v>
      </c>
      <c r="K281" s="105"/>
    </row>
    <row r="282" spans="1:11" x14ac:dyDescent="0.25">
      <c r="A282" s="79" t="s">
        <v>185</v>
      </c>
      <c r="B282" s="199" t="s">
        <v>146</v>
      </c>
      <c r="C282" s="24"/>
      <c r="D282" s="10"/>
      <c r="E282" s="34"/>
      <c r="F282" s="34"/>
      <c r="G282" s="6"/>
      <c r="H282" s="34"/>
      <c r="I282" s="34"/>
      <c r="J282" s="10"/>
      <c r="K282" s="10"/>
    </row>
    <row r="283" spans="1:11" x14ac:dyDescent="0.25">
      <c r="A283" s="125" t="s">
        <v>187</v>
      </c>
      <c r="B283" s="280" t="s">
        <v>150</v>
      </c>
      <c r="C283" s="131">
        <f>SUM(C284:C286)</f>
        <v>1848900000</v>
      </c>
      <c r="D283" s="10"/>
      <c r="E283" s="34"/>
      <c r="F283" s="34"/>
      <c r="G283" s="6"/>
      <c r="H283" s="34"/>
      <c r="I283" s="34"/>
      <c r="J283" s="10"/>
      <c r="K283" s="10"/>
    </row>
    <row r="284" spans="1:11" ht="25.5" x14ac:dyDescent="0.25">
      <c r="A284" s="124" t="s">
        <v>44</v>
      </c>
      <c r="B284" s="707" t="s">
        <v>384</v>
      </c>
      <c r="C284" s="253">
        <v>28900000</v>
      </c>
      <c r="D284" s="134">
        <f>C284/C283*100</f>
        <v>1.5630915679593274</v>
      </c>
      <c r="E284" s="134">
        <f t="shared" ref="E284:E286" si="93">G284/C284*100</f>
        <v>100</v>
      </c>
      <c r="F284" s="134">
        <f t="shared" ref="F284:F286" si="94">(D284*E284)/100</f>
        <v>1.5630915679593271</v>
      </c>
      <c r="G284" s="135">
        <f>28900000</f>
        <v>28900000</v>
      </c>
      <c r="H284" s="134">
        <f t="shared" ref="H284:H286" si="95">G284/C284*100</f>
        <v>100</v>
      </c>
      <c r="I284" s="134">
        <f t="shared" ref="I284:I286" si="96">(D284*H284)/100</f>
        <v>1.5630915679593271</v>
      </c>
      <c r="J284" s="56">
        <v>0</v>
      </c>
      <c r="K284" s="10"/>
    </row>
    <row r="285" spans="1:11" ht="25.5" x14ac:dyDescent="0.25">
      <c r="A285" s="49" t="s">
        <v>148</v>
      </c>
      <c r="B285" s="133" t="s">
        <v>149</v>
      </c>
      <c r="C285" s="256">
        <v>1400000000</v>
      </c>
      <c r="D285" s="134">
        <f>C285/C283*100</f>
        <v>75.720698793877432</v>
      </c>
      <c r="E285" s="134">
        <f t="shared" si="93"/>
        <v>100</v>
      </c>
      <c r="F285" s="134">
        <f t="shared" si="94"/>
        <v>75.720698793877432</v>
      </c>
      <c r="G285" s="733">
        <f>394971400+1005028600</f>
        <v>1400000000</v>
      </c>
      <c r="H285" s="134">
        <f t="shared" si="95"/>
        <v>100</v>
      </c>
      <c r="I285" s="134">
        <f t="shared" si="96"/>
        <v>75.720698793877432</v>
      </c>
      <c r="J285" s="56">
        <v>0</v>
      </c>
      <c r="K285" s="10"/>
    </row>
    <row r="286" spans="1:11" s="84" customFormat="1" ht="25.5" x14ac:dyDescent="0.25">
      <c r="A286" s="49" t="s">
        <v>152</v>
      </c>
      <c r="B286" s="133" t="s">
        <v>153</v>
      </c>
      <c r="C286" s="256">
        <v>420000000</v>
      </c>
      <c r="D286" s="134">
        <f>C286/C283*100</f>
        <v>22.716209638163232</v>
      </c>
      <c r="E286" s="134">
        <f t="shared" si="93"/>
        <v>100</v>
      </c>
      <c r="F286" s="134">
        <f t="shared" si="94"/>
        <v>22.716209638163232</v>
      </c>
      <c r="G286" s="135">
        <f>420000000</f>
        <v>420000000</v>
      </c>
      <c r="H286" s="134">
        <f t="shared" si="95"/>
        <v>100</v>
      </c>
      <c r="I286" s="134">
        <f t="shared" si="96"/>
        <v>22.716209638163232</v>
      </c>
      <c r="J286" s="56">
        <v>0</v>
      </c>
      <c r="K286" s="38"/>
    </row>
    <row r="287" spans="1:11" x14ac:dyDescent="0.25">
      <c r="A287" s="70"/>
      <c r="B287" s="129" t="s">
        <v>95</v>
      </c>
      <c r="C287" s="51"/>
      <c r="D287" s="271">
        <f>SUM(D284:D286)</f>
        <v>100</v>
      </c>
      <c r="E287" s="134"/>
      <c r="F287" s="134"/>
      <c r="G287" s="137">
        <f>SUM(G284:G286)</f>
        <v>1848900000</v>
      </c>
      <c r="H287" s="134"/>
      <c r="I287" s="134"/>
      <c r="J287" s="56">
        <v>0</v>
      </c>
      <c r="K287" s="130"/>
    </row>
    <row r="288" spans="1:11" x14ac:dyDescent="0.25">
      <c r="A288" s="190"/>
      <c r="B288" s="2"/>
      <c r="C288" s="59"/>
      <c r="D288" s="41"/>
      <c r="E288" s="31"/>
      <c r="F288" s="31"/>
      <c r="G288" s="36"/>
      <c r="H288" s="31"/>
      <c r="I288" s="31"/>
      <c r="J288" s="33"/>
      <c r="K288" s="37"/>
    </row>
    <row r="289" spans="1:15" x14ac:dyDescent="0.25">
      <c r="A289" s="50"/>
      <c r="B289" s="5"/>
      <c r="C289" s="50"/>
      <c r="D289" s="9"/>
      <c r="E289" s="23"/>
      <c r="F289" s="23"/>
      <c r="G289" s="11"/>
      <c r="H289" s="23"/>
      <c r="I289" s="23"/>
      <c r="J289" s="9"/>
      <c r="K289" s="9"/>
    </row>
    <row r="290" spans="1:15" x14ac:dyDescent="0.25">
      <c r="A290" s="1123" t="s">
        <v>2</v>
      </c>
      <c r="B290" s="1126" t="s">
        <v>138</v>
      </c>
      <c r="C290" s="1129" t="s">
        <v>4</v>
      </c>
      <c r="D290" s="1121" t="s">
        <v>5</v>
      </c>
      <c r="E290" s="1132"/>
      <c r="F290" s="1132"/>
      <c r="G290" s="1122" t="s">
        <v>6</v>
      </c>
      <c r="H290" s="1132"/>
      <c r="I290" s="1132"/>
      <c r="J290" s="1123" t="s">
        <v>7</v>
      </c>
      <c r="K290" s="1123" t="s">
        <v>8</v>
      </c>
    </row>
    <row r="291" spans="1:15" x14ac:dyDescent="0.25">
      <c r="A291" s="1124"/>
      <c r="B291" s="1127"/>
      <c r="C291" s="1130"/>
      <c r="D291" s="289" t="s">
        <v>9</v>
      </c>
      <c r="E291" s="308" t="s">
        <v>10</v>
      </c>
      <c r="F291" s="308" t="s">
        <v>11</v>
      </c>
      <c r="G291" s="117" t="s">
        <v>12</v>
      </c>
      <c r="H291" s="116" t="s">
        <v>13</v>
      </c>
      <c r="I291" s="116" t="s">
        <v>11</v>
      </c>
      <c r="J291" s="1124"/>
      <c r="K291" s="1124"/>
    </row>
    <row r="292" spans="1:15" x14ac:dyDescent="0.25">
      <c r="A292" s="1125"/>
      <c r="B292" s="1128"/>
      <c r="C292" s="1131"/>
      <c r="D292" s="115" t="s">
        <v>14</v>
      </c>
      <c r="E292" s="119" t="s">
        <v>14</v>
      </c>
      <c r="F292" s="119" t="s">
        <v>14</v>
      </c>
      <c r="G292" s="120" t="s">
        <v>15</v>
      </c>
      <c r="H292" s="119" t="s">
        <v>14</v>
      </c>
      <c r="I292" s="119" t="s">
        <v>14</v>
      </c>
      <c r="J292" s="118" t="s">
        <v>15</v>
      </c>
      <c r="K292" s="1125"/>
    </row>
    <row r="293" spans="1:15" ht="25.5" x14ac:dyDescent="0.25">
      <c r="A293" s="79" t="s">
        <v>180</v>
      </c>
      <c r="B293" s="696" t="s">
        <v>379</v>
      </c>
      <c r="C293" s="127"/>
      <c r="D293" s="121"/>
      <c r="E293" s="34"/>
      <c r="F293" s="34"/>
      <c r="G293" s="6"/>
      <c r="H293" s="34"/>
      <c r="I293" s="34"/>
      <c r="J293" s="10"/>
      <c r="K293" s="85"/>
    </row>
    <row r="294" spans="1:15" ht="25.5" x14ac:dyDescent="0.25">
      <c r="A294" s="125" t="s">
        <v>181</v>
      </c>
      <c r="B294" s="697" t="s">
        <v>380</v>
      </c>
      <c r="C294" s="88">
        <f>SUM(C295:C309)</f>
        <v>100000000</v>
      </c>
      <c r="D294" s="121"/>
      <c r="E294" s="34"/>
      <c r="F294" s="34"/>
      <c r="G294" s="6"/>
      <c r="H294" s="34"/>
      <c r="I294" s="34"/>
      <c r="J294" s="10"/>
      <c r="K294" s="156"/>
    </row>
    <row r="295" spans="1:15" ht="25.5" x14ac:dyDescent="0.25">
      <c r="A295" s="49" t="s">
        <v>44</v>
      </c>
      <c r="B295" s="707" t="s">
        <v>384</v>
      </c>
      <c r="C295" s="39">
        <v>4630000</v>
      </c>
      <c r="D295" s="727">
        <f>C295/C294*100</f>
        <v>4.63</v>
      </c>
      <c r="E295" s="134">
        <f t="shared" ref="E295:E303" si="97">G295/C295*100</f>
        <v>100</v>
      </c>
      <c r="F295" s="134">
        <f t="shared" ref="F295:F303" si="98">(D295*E295)/100</f>
        <v>4.63</v>
      </c>
      <c r="G295" s="756">
        <f>4630000</f>
        <v>4630000</v>
      </c>
      <c r="H295" s="134">
        <f t="shared" ref="H295:H303" si="99">G295/C295*100</f>
        <v>100</v>
      </c>
      <c r="I295" s="134">
        <f t="shared" ref="I295:I303" si="100">(D295*H295)/100</f>
        <v>4.63</v>
      </c>
      <c r="J295" s="56">
        <v>0</v>
      </c>
      <c r="K295" s="10"/>
      <c r="O295" s="717"/>
    </row>
    <row r="296" spans="1:15" x14ac:dyDescent="0.25">
      <c r="A296" s="49" t="s">
        <v>221</v>
      </c>
      <c r="B296" s="707" t="s">
        <v>428</v>
      </c>
      <c r="C296" s="39">
        <v>3124000</v>
      </c>
      <c r="D296" s="727">
        <f t="shared" ref="D296:D298" si="101">C296/C295*100</f>
        <v>67.473002159827217</v>
      </c>
      <c r="E296" s="134"/>
      <c r="F296" s="134"/>
      <c r="G296" s="82">
        <f>3124000</f>
        <v>3124000</v>
      </c>
      <c r="H296" s="134"/>
      <c r="I296" s="134"/>
      <c r="J296" s="56"/>
      <c r="K296" s="10"/>
      <c r="O296" s="717"/>
    </row>
    <row r="297" spans="1:15" x14ac:dyDescent="0.25">
      <c r="A297" s="49" t="s">
        <v>78</v>
      </c>
      <c r="B297" s="707" t="s">
        <v>429</v>
      </c>
      <c r="C297" s="39">
        <v>3600000</v>
      </c>
      <c r="D297" s="727"/>
      <c r="E297" s="134"/>
      <c r="F297" s="134"/>
      <c r="G297" s="82">
        <f>3600000</f>
        <v>3600000</v>
      </c>
      <c r="H297" s="134"/>
      <c r="I297" s="134"/>
      <c r="J297" s="56"/>
      <c r="K297" s="10"/>
      <c r="O297" s="717"/>
    </row>
    <row r="298" spans="1:15" x14ac:dyDescent="0.25">
      <c r="A298" s="49" t="s">
        <v>280</v>
      </c>
      <c r="B298" s="707" t="s">
        <v>430</v>
      </c>
      <c r="C298" s="39">
        <v>170000</v>
      </c>
      <c r="D298" s="727">
        <f t="shared" si="101"/>
        <v>4.7222222222222223</v>
      </c>
      <c r="E298" s="134"/>
      <c r="F298" s="134"/>
      <c r="G298" s="82">
        <f>170000</f>
        <v>170000</v>
      </c>
      <c r="H298" s="134"/>
      <c r="I298" s="134"/>
      <c r="J298" s="56"/>
      <c r="K298" s="10"/>
      <c r="O298" s="717"/>
    </row>
    <row r="299" spans="1:15" x14ac:dyDescent="0.25">
      <c r="A299" s="49" t="s">
        <v>59</v>
      </c>
      <c r="B299" s="707" t="s">
        <v>197</v>
      </c>
      <c r="C299" s="39">
        <v>10764500</v>
      </c>
      <c r="D299" s="727">
        <f>C299/C294*100</f>
        <v>10.7645</v>
      </c>
      <c r="E299" s="134">
        <f t="shared" si="97"/>
        <v>100</v>
      </c>
      <c r="F299" s="134">
        <f t="shared" si="98"/>
        <v>10.7645</v>
      </c>
      <c r="G299" s="82">
        <f>10764500</f>
        <v>10764500</v>
      </c>
      <c r="H299" s="134">
        <f t="shared" si="99"/>
        <v>100</v>
      </c>
      <c r="I299" s="134">
        <f t="shared" si="100"/>
        <v>10.7645</v>
      </c>
      <c r="J299" s="56">
        <v>0</v>
      </c>
      <c r="K299" s="10"/>
    </row>
    <row r="300" spans="1:15" x14ac:dyDescent="0.25">
      <c r="A300" s="49"/>
      <c r="B300" s="707" t="s">
        <v>414</v>
      </c>
      <c r="C300" s="39">
        <v>1015000</v>
      </c>
      <c r="D300" s="727"/>
      <c r="E300" s="134"/>
      <c r="F300" s="134"/>
      <c r="G300" s="82">
        <f>1015000</f>
        <v>1015000</v>
      </c>
      <c r="H300" s="134"/>
      <c r="I300" s="134"/>
      <c r="J300" s="56"/>
      <c r="K300" s="10"/>
    </row>
    <row r="301" spans="1:15" x14ac:dyDescent="0.25">
      <c r="A301" s="49" t="s">
        <v>77</v>
      </c>
      <c r="B301" s="49" t="s">
        <v>139</v>
      </c>
      <c r="C301" s="39">
        <v>40138000</v>
      </c>
      <c r="D301" s="727">
        <f>C301/C294*100</f>
        <v>40.137999999999998</v>
      </c>
      <c r="E301" s="134">
        <f t="shared" si="97"/>
        <v>100</v>
      </c>
      <c r="F301" s="134">
        <f t="shared" si="98"/>
        <v>40.137999999999998</v>
      </c>
      <c r="G301" s="82">
        <f>40073000+65000</f>
        <v>40138000</v>
      </c>
      <c r="H301" s="134">
        <f t="shared" si="99"/>
        <v>100</v>
      </c>
      <c r="I301" s="134">
        <f t="shared" si="100"/>
        <v>40.137999999999998</v>
      </c>
      <c r="J301" s="56">
        <v>0</v>
      </c>
      <c r="K301" s="10"/>
    </row>
    <row r="302" spans="1:15" x14ac:dyDescent="0.25">
      <c r="A302" s="49" t="s">
        <v>104</v>
      </c>
      <c r="B302" s="170" t="s">
        <v>179</v>
      </c>
      <c r="C302" s="39">
        <v>8750000</v>
      </c>
      <c r="D302" s="727">
        <f>C302/C294*100</f>
        <v>8.75</v>
      </c>
      <c r="E302" s="134">
        <f t="shared" si="97"/>
        <v>100</v>
      </c>
      <c r="F302" s="134">
        <f t="shared" si="98"/>
        <v>8.75</v>
      </c>
      <c r="G302" s="82">
        <f>8750000</f>
        <v>8750000</v>
      </c>
      <c r="H302" s="134">
        <f t="shared" si="99"/>
        <v>100</v>
      </c>
      <c r="I302" s="134">
        <f t="shared" si="100"/>
        <v>8.75</v>
      </c>
      <c r="J302" s="56">
        <v>0</v>
      </c>
      <c r="K302" s="10"/>
    </row>
    <row r="303" spans="1:15" ht="25.5" x14ac:dyDescent="0.25">
      <c r="A303" s="49" t="s">
        <v>192</v>
      </c>
      <c r="B303" s="316" t="s">
        <v>375</v>
      </c>
      <c r="C303" s="39">
        <v>15900000</v>
      </c>
      <c r="D303" s="727">
        <f>C303/C294*100</f>
        <v>15.9</v>
      </c>
      <c r="E303" s="134">
        <f t="shared" si="97"/>
        <v>100</v>
      </c>
      <c r="F303" s="134">
        <f t="shared" si="98"/>
        <v>15.9</v>
      </c>
      <c r="G303" s="82">
        <f>15900000</f>
        <v>15900000</v>
      </c>
      <c r="H303" s="134">
        <f t="shared" si="99"/>
        <v>100</v>
      </c>
      <c r="I303" s="134">
        <f t="shared" si="100"/>
        <v>15.9</v>
      </c>
      <c r="J303" s="56">
        <v>0</v>
      </c>
      <c r="K303" s="10"/>
    </row>
    <row r="304" spans="1:15" ht="25.5" x14ac:dyDescent="0.25">
      <c r="A304" s="749" t="s">
        <v>116</v>
      </c>
      <c r="B304" s="316" t="s">
        <v>420</v>
      </c>
      <c r="C304" s="751">
        <v>3206000</v>
      </c>
      <c r="D304" s="727">
        <f t="shared" ref="D304:D308" si="102">C304/C295*100</f>
        <v>69.244060475161987</v>
      </c>
      <c r="E304" s="134"/>
      <c r="F304" s="134"/>
      <c r="G304" s="757">
        <f>3206000</f>
        <v>3206000</v>
      </c>
      <c r="H304" s="134"/>
      <c r="I304" s="134"/>
      <c r="J304" s="56"/>
      <c r="K304" s="130"/>
    </row>
    <row r="305" spans="1:14" x14ac:dyDescent="0.25">
      <c r="A305" s="749" t="s">
        <v>436</v>
      </c>
      <c r="B305" s="754" t="s">
        <v>431</v>
      </c>
      <c r="C305" s="751">
        <v>45000</v>
      </c>
      <c r="D305" s="727">
        <f t="shared" si="102"/>
        <v>1.4404609475032011</v>
      </c>
      <c r="E305" s="134"/>
      <c r="F305" s="134"/>
      <c r="G305" s="753"/>
      <c r="H305" s="134"/>
      <c r="I305" s="134"/>
      <c r="J305" s="56">
        <f>45000</f>
        <v>45000</v>
      </c>
      <c r="K305" s="130"/>
    </row>
    <row r="306" spans="1:14" x14ac:dyDescent="0.25">
      <c r="A306" s="749" t="s">
        <v>437</v>
      </c>
      <c r="B306" s="754" t="s">
        <v>432</v>
      </c>
      <c r="C306" s="751">
        <v>170000</v>
      </c>
      <c r="D306" s="727">
        <f t="shared" si="102"/>
        <v>4.7222222222222223</v>
      </c>
      <c r="E306" s="134"/>
      <c r="F306" s="134"/>
      <c r="G306" s="753"/>
      <c r="H306" s="134"/>
      <c r="I306" s="134"/>
      <c r="J306" s="56">
        <f>170000</f>
        <v>170000</v>
      </c>
      <c r="K306" s="130"/>
    </row>
    <row r="307" spans="1:14" x14ac:dyDescent="0.25">
      <c r="A307" s="749" t="s">
        <v>438</v>
      </c>
      <c r="B307" s="754" t="s">
        <v>433</v>
      </c>
      <c r="C307" s="751">
        <v>87500</v>
      </c>
      <c r="D307" s="727">
        <f t="shared" si="102"/>
        <v>51.470588235294116</v>
      </c>
      <c r="E307" s="134"/>
      <c r="F307" s="134"/>
      <c r="G307" s="753"/>
      <c r="H307" s="134"/>
      <c r="I307" s="134"/>
      <c r="J307" s="56">
        <f>87500</f>
        <v>87500</v>
      </c>
      <c r="K307" s="130"/>
    </row>
    <row r="308" spans="1:14" x14ac:dyDescent="0.25">
      <c r="A308" s="749" t="s">
        <v>241</v>
      </c>
      <c r="B308" s="754" t="s">
        <v>434</v>
      </c>
      <c r="C308" s="751">
        <v>4200000</v>
      </c>
      <c r="D308" s="727">
        <f t="shared" si="102"/>
        <v>39.017139672070236</v>
      </c>
      <c r="E308" s="134"/>
      <c r="F308" s="134"/>
      <c r="G308" s="753">
        <f>4200000</f>
        <v>4200000</v>
      </c>
      <c r="H308" s="134"/>
      <c r="I308" s="134"/>
      <c r="J308" s="56"/>
      <c r="K308" s="130"/>
    </row>
    <row r="309" spans="1:14" x14ac:dyDescent="0.25">
      <c r="A309" s="749" t="s">
        <v>242</v>
      </c>
      <c r="B309" s="754" t="s">
        <v>435</v>
      </c>
      <c r="C309" s="751">
        <v>4200000</v>
      </c>
      <c r="D309" s="727"/>
      <c r="E309" s="134"/>
      <c r="F309" s="134"/>
      <c r="G309" s="753">
        <f>4200000</f>
        <v>4200000</v>
      </c>
      <c r="H309" s="134"/>
      <c r="I309" s="134"/>
      <c r="J309" s="56"/>
      <c r="K309" s="130"/>
    </row>
    <row r="310" spans="1:14" x14ac:dyDescent="0.25">
      <c r="A310" s="70"/>
      <c r="B310" s="164" t="s">
        <v>140</v>
      </c>
      <c r="C310" s="165"/>
      <c r="D310" s="166">
        <f>SUM(D295:D303)</f>
        <v>152.37772438204945</v>
      </c>
      <c r="E310" s="134"/>
      <c r="F310" s="134"/>
      <c r="G310" s="137">
        <f>SUM(G295:G309)</f>
        <v>99697500</v>
      </c>
      <c r="H310" s="134"/>
      <c r="I310" s="134"/>
      <c r="J310" s="734">
        <f>SUM(J295:J309)</f>
        <v>302500</v>
      </c>
      <c r="K310" s="40"/>
    </row>
    <row r="311" spans="1:14" x14ac:dyDescent="0.25">
      <c r="A311" s="53"/>
      <c r="B311" s="5"/>
      <c r="C311" s="191"/>
      <c r="D311" s="41"/>
      <c r="E311" s="30"/>
      <c r="F311" s="31"/>
      <c r="G311" s="36"/>
      <c r="H311" s="23"/>
      <c r="I311" s="23"/>
      <c r="J311" s="33"/>
      <c r="K311" s="37"/>
    </row>
    <row r="312" spans="1:14" ht="31.5" x14ac:dyDescent="0.25">
      <c r="A312" s="55"/>
      <c r="B312" s="46" t="s">
        <v>145</v>
      </c>
      <c r="C312" s="155"/>
      <c r="D312" s="44"/>
      <c r="E312" s="45"/>
      <c r="F312" s="45"/>
      <c r="G312" s="48"/>
      <c r="H312" s="45"/>
      <c r="I312" s="45"/>
      <c r="J312" s="44"/>
      <c r="K312" s="44"/>
      <c r="L312" s="1"/>
      <c r="M312" s="1"/>
      <c r="N312" s="1"/>
    </row>
    <row r="313" spans="1:14" x14ac:dyDescent="0.25">
      <c r="A313" s="1119" t="s">
        <v>2</v>
      </c>
      <c r="B313" s="1120" t="s">
        <v>177</v>
      </c>
      <c r="C313" s="1119" t="s">
        <v>4</v>
      </c>
      <c r="D313" s="1121" t="s">
        <v>5</v>
      </c>
      <c r="E313" s="1121"/>
      <c r="F313" s="1121"/>
      <c r="G313" s="1122" t="s">
        <v>6</v>
      </c>
      <c r="H313" s="1122"/>
      <c r="I313" s="1122"/>
      <c r="J313" s="1119" t="s">
        <v>7</v>
      </c>
      <c r="K313" s="289" t="s">
        <v>8</v>
      </c>
    </row>
    <row r="314" spans="1:14" x14ac:dyDescent="0.25">
      <c r="A314" s="1119"/>
      <c r="B314" s="1120"/>
      <c r="C314" s="1119"/>
      <c r="D314" s="289" t="s">
        <v>9</v>
      </c>
      <c r="E314" s="308" t="s">
        <v>10</v>
      </c>
      <c r="F314" s="308" t="s">
        <v>11</v>
      </c>
      <c r="G314" s="309" t="s">
        <v>12</v>
      </c>
      <c r="H314" s="308" t="s">
        <v>13</v>
      </c>
      <c r="I314" s="308" t="s">
        <v>11</v>
      </c>
      <c r="J314" s="1123"/>
      <c r="K314" s="115"/>
    </row>
    <row r="315" spans="1:14" x14ac:dyDescent="0.25">
      <c r="A315" s="1119"/>
      <c r="B315" s="1120"/>
      <c r="C315" s="1119"/>
      <c r="D315" s="118" t="s">
        <v>14</v>
      </c>
      <c r="E315" s="119" t="s">
        <v>14</v>
      </c>
      <c r="F315" s="119" t="s">
        <v>14</v>
      </c>
      <c r="G315" s="120" t="s">
        <v>15</v>
      </c>
      <c r="H315" s="119" t="s">
        <v>14</v>
      </c>
      <c r="I315" s="119" t="s">
        <v>14</v>
      </c>
      <c r="J315" s="118" t="s">
        <v>15</v>
      </c>
      <c r="K315" s="118"/>
    </row>
    <row r="316" spans="1:14" x14ac:dyDescent="0.25">
      <c r="A316" s="79" t="s">
        <v>185</v>
      </c>
      <c r="B316" s="199" t="s">
        <v>146</v>
      </c>
      <c r="C316" s="260"/>
      <c r="D316" s="10"/>
      <c r="E316" s="34"/>
      <c r="F316" s="34"/>
      <c r="G316" s="6"/>
      <c r="H316" s="34"/>
      <c r="I316" s="34"/>
      <c r="J316" s="10"/>
      <c r="K316" s="10"/>
    </row>
    <row r="317" spans="1:14" x14ac:dyDescent="0.25">
      <c r="A317" s="125" t="s">
        <v>184</v>
      </c>
      <c r="B317" s="280" t="s">
        <v>147</v>
      </c>
      <c r="C317" s="131">
        <f>SUM(C318:C320)</f>
        <v>2910589700</v>
      </c>
      <c r="D317" s="10"/>
      <c r="E317" s="34"/>
      <c r="F317" s="34"/>
      <c r="G317" s="6"/>
      <c r="H317" s="34"/>
      <c r="I317" s="34"/>
      <c r="J317" s="10"/>
      <c r="K317" s="10"/>
    </row>
    <row r="318" spans="1:14" ht="25.5" x14ac:dyDescent="0.25">
      <c r="A318" s="313" t="s">
        <v>44</v>
      </c>
      <c r="B318" s="707" t="s">
        <v>384</v>
      </c>
      <c r="C318" s="253">
        <v>27900000</v>
      </c>
      <c r="D318" s="134">
        <f>C318/C317*100</f>
        <v>0.95856863645191903</v>
      </c>
      <c r="E318" s="134">
        <f t="shared" ref="E318:E320" si="103">G318/C318*100</f>
        <v>100</v>
      </c>
      <c r="F318" s="134">
        <f t="shared" ref="F318:F320" si="104">(D318*E318)/100</f>
        <v>0.95856863645191903</v>
      </c>
      <c r="G318" s="135">
        <f>27900000</f>
        <v>27900000</v>
      </c>
      <c r="H318" s="134">
        <f t="shared" ref="H318:H320" si="105">G318/C318*100</f>
        <v>100</v>
      </c>
      <c r="I318" s="134">
        <f t="shared" ref="I318:I320" si="106">(D318*H318)/100</f>
        <v>0.95856863645191903</v>
      </c>
      <c r="J318" s="56">
        <v>0</v>
      </c>
      <c r="K318" s="10"/>
    </row>
    <row r="319" spans="1:14" x14ac:dyDescent="0.25">
      <c r="A319" s="313" t="s">
        <v>59</v>
      </c>
      <c r="B319" s="707" t="s">
        <v>197</v>
      </c>
      <c r="C319" s="253">
        <v>2689700</v>
      </c>
      <c r="D319" s="134">
        <f>C319/C317*100</f>
        <v>9.2410826575796648E-2</v>
      </c>
      <c r="E319" s="134">
        <f t="shared" si="103"/>
        <v>100</v>
      </c>
      <c r="F319" s="134">
        <f t="shared" si="104"/>
        <v>9.2410826575796634E-2</v>
      </c>
      <c r="G319" s="6">
        <f>2689700</f>
        <v>2689700</v>
      </c>
      <c r="H319" s="134">
        <f t="shared" si="105"/>
        <v>100</v>
      </c>
      <c r="I319" s="134">
        <f t="shared" si="106"/>
        <v>9.2410826575796634E-2</v>
      </c>
      <c r="J319" s="56">
        <v>0</v>
      </c>
      <c r="K319" s="10"/>
    </row>
    <row r="320" spans="1:14" ht="25.5" x14ac:dyDescent="0.25">
      <c r="A320" s="49" t="s">
        <v>148</v>
      </c>
      <c r="B320" s="133" t="s">
        <v>255</v>
      </c>
      <c r="C320" s="256">
        <v>2880000000</v>
      </c>
      <c r="D320" s="134">
        <f>C320/C317*100</f>
        <v>98.949020536972284</v>
      </c>
      <c r="E320" s="134">
        <f t="shared" si="103"/>
        <v>99.878420138888885</v>
      </c>
      <c r="F320" s="134">
        <f t="shared" si="104"/>
        <v>98.828718455232632</v>
      </c>
      <c r="G320" s="135">
        <f>1291533000+1584965500</f>
        <v>2876498500</v>
      </c>
      <c r="H320" s="134">
        <f t="shared" si="105"/>
        <v>99.878420138888885</v>
      </c>
      <c r="I320" s="134">
        <f t="shared" si="106"/>
        <v>98.828718455232632</v>
      </c>
      <c r="J320" s="56">
        <f>3501500</f>
        <v>3501500</v>
      </c>
      <c r="K320" s="10"/>
    </row>
    <row r="321" spans="1:11" x14ac:dyDescent="0.25">
      <c r="A321" s="70"/>
      <c r="B321" s="129" t="s">
        <v>95</v>
      </c>
      <c r="C321" s="51"/>
      <c r="D321" s="271">
        <f>SUM(D318:D320)</f>
        <v>100</v>
      </c>
      <c r="E321" s="134"/>
      <c r="F321" s="134"/>
      <c r="G321" s="137">
        <f>SUM(G318:G320)</f>
        <v>2907088200</v>
      </c>
      <c r="H321" s="134"/>
      <c r="I321" s="134"/>
      <c r="J321" s="734">
        <f>3501500</f>
        <v>3501500</v>
      </c>
      <c r="K321" s="130"/>
    </row>
    <row r="322" spans="1:11" x14ac:dyDescent="0.25">
      <c r="A322" s="230"/>
      <c r="B322" s="231"/>
      <c r="C322" s="232"/>
      <c r="D322" s="23"/>
      <c r="E322" s="23"/>
      <c r="F322" s="23"/>
      <c r="G322" s="11"/>
      <c r="H322" s="23"/>
      <c r="I322" s="23"/>
      <c r="J322" s="9"/>
      <c r="K322" s="9"/>
    </row>
    <row r="323" spans="1:11" x14ac:dyDescent="0.25">
      <c r="A323" s="1119" t="s">
        <v>2</v>
      </c>
      <c r="B323" s="1120" t="s">
        <v>177</v>
      </c>
      <c r="C323" s="1119" t="s">
        <v>4</v>
      </c>
      <c r="D323" s="1121" t="s">
        <v>5</v>
      </c>
      <c r="E323" s="1121"/>
      <c r="F323" s="1121"/>
      <c r="G323" s="1122" t="s">
        <v>6</v>
      </c>
      <c r="H323" s="1122"/>
      <c r="I323" s="1122"/>
      <c r="J323" s="1119" t="s">
        <v>7</v>
      </c>
      <c r="K323" s="289" t="s">
        <v>8</v>
      </c>
    </row>
    <row r="324" spans="1:11" x14ac:dyDescent="0.25">
      <c r="A324" s="1119"/>
      <c r="B324" s="1120"/>
      <c r="C324" s="1119"/>
      <c r="D324" s="289" t="s">
        <v>9</v>
      </c>
      <c r="E324" s="308" t="s">
        <v>10</v>
      </c>
      <c r="F324" s="308" t="s">
        <v>11</v>
      </c>
      <c r="G324" s="309" t="s">
        <v>12</v>
      </c>
      <c r="H324" s="308" t="s">
        <v>13</v>
      </c>
      <c r="I324" s="308" t="s">
        <v>11</v>
      </c>
      <c r="J324" s="1123"/>
      <c r="K324" s="115"/>
    </row>
    <row r="325" spans="1:11" x14ac:dyDescent="0.25">
      <c r="A325" s="1119"/>
      <c r="B325" s="1120"/>
      <c r="C325" s="1119"/>
      <c r="D325" s="118" t="s">
        <v>14</v>
      </c>
      <c r="E325" s="119" t="s">
        <v>14</v>
      </c>
      <c r="F325" s="119" t="s">
        <v>14</v>
      </c>
      <c r="G325" s="120" t="s">
        <v>15</v>
      </c>
      <c r="H325" s="119" t="s">
        <v>14</v>
      </c>
      <c r="I325" s="119" t="s">
        <v>14</v>
      </c>
      <c r="J325" s="118" t="s">
        <v>15</v>
      </c>
      <c r="K325" s="118"/>
    </row>
    <row r="326" spans="1:11" x14ac:dyDescent="0.25">
      <c r="A326" s="139" t="s">
        <v>185</v>
      </c>
      <c r="B326" s="199" t="s">
        <v>146</v>
      </c>
      <c r="C326" s="24"/>
      <c r="D326" s="10"/>
      <c r="E326" s="34"/>
      <c r="F326" s="34"/>
      <c r="G326" s="6"/>
      <c r="H326" s="34"/>
      <c r="I326" s="34"/>
      <c r="J326" s="10"/>
      <c r="K326" s="10"/>
    </row>
    <row r="327" spans="1:11" x14ac:dyDescent="0.25">
      <c r="A327" s="140" t="s">
        <v>187</v>
      </c>
      <c r="B327" s="280" t="s">
        <v>150</v>
      </c>
      <c r="C327" s="252">
        <f>SUM(C328:C332)</f>
        <v>2524900000</v>
      </c>
      <c r="D327" s="10"/>
      <c r="E327" s="34"/>
      <c r="F327" s="34"/>
      <c r="G327" s="6"/>
      <c r="H327" s="34"/>
      <c r="I327" s="34"/>
      <c r="J327" s="10"/>
      <c r="K327" s="10"/>
    </row>
    <row r="328" spans="1:11" ht="25.5" x14ac:dyDescent="0.25">
      <c r="A328" s="159" t="s">
        <v>44</v>
      </c>
      <c r="B328" s="707" t="s">
        <v>384</v>
      </c>
      <c r="C328" s="253">
        <v>23700000</v>
      </c>
      <c r="D328" s="134">
        <f>C328/C327*100</f>
        <v>0.93865103568458153</v>
      </c>
      <c r="E328" s="134">
        <f t="shared" ref="E328:E332" si="107">G328/C328*100</f>
        <v>100</v>
      </c>
      <c r="F328" s="134">
        <f t="shared" ref="F328:F332" si="108">(D328*E328)/100</f>
        <v>0.93865103568458153</v>
      </c>
      <c r="G328" s="135">
        <f>23700000</f>
        <v>23700000</v>
      </c>
      <c r="H328" s="134">
        <f t="shared" ref="H328:H332" si="109">G328/C328*100</f>
        <v>100</v>
      </c>
      <c r="I328" s="134">
        <f t="shared" ref="I328:I332" si="110">(D328*H328)/100</f>
        <v>0.93865103568458153</v>
      </c>
      <c r="J328" s="56">
        <v>0</v>
      </c>
      <c r="K328" s="10"/>
    </row>
    <row r="329" spans="1:11" x14ac:dyDescent="0.25">
      <c r="A329" s="313" t="s">
        <v>59</v>
      </c>
      <c r="B329" s="707" t="s">
        <v>197</v>
      </c>
      <c r="C329" s="253">
        <v>4030000</v>
      </c>
      <c r="D329" s="134">
        <f>C329/C327*100</f>
        <v>0.15961028159531071</v>
      </c>
      <c r="E329" s="134">
        <f t="shared" si="107"/>
        <v>100</v>
      </c>
      <c r="F329" s="134">
        <f t="shared" si="108"/>
        <v>0.15961028159531071</v>
      </c>
      <c r="G329" s="6">
        <f>4030000</f>
        <v>4030000</v>
      </c>
      <c r="H329" s="134">
        <f t="shared" si="109"/>
        <v>100</v>
      </c>
      <c r="I329" s="134">
        <f t="shared" si="110"/>
        <v>0.15961028159531071</v>
      </c>
      <c r="J329" s="56">
        <v>0</v>
      </c>
      <c r="K329" s="10"/>
    </row>
    <row r="330" spans="1:11" x14ac:dyDescent="0.25">
      <c r="A330" s="313" t="s">
        <v>62</v>
      </c>
      <c r="B330" s="707" t="s">
        <v>334</v>
      </c>
      <c r="C330" s="253">
        <v>1170000</v>
      </c>
      <c r="D330" s="134">
        <f>C330/C327*100</f>
        <v>4.6338468850251495E-2</v>
      </c>
      <c r="E330" s="134">
        <f t="shared" si="107"/>
        <v>100</v>
      </c>
      <c r="F330" s="134">
        <f t="shared" si="108"/>
        <v>4.6338468850251495E-2</v>
      </c>
      <c r="G330" s="6">
        <f>1170000</f>
        <v>1170000</v>
      </c>
      <c r="H330" s="134">
        <f t="shared" si="109"/>
        <v>100</v>
      </c>
      <c r="I330" s="134">
        <f t="shared" si="110"/>
        <v>4.6338468850251495E-2</v>
      </c>
      <c r="J330" s="56">
        <v>0</v>
      </c>
      <c r="K330" s="10"/>
    </row>
    <row r="331" spans="1:11" ht="25.5" x14ac:dyDescent="0.25">
      <c r="A331" s="320" t="s">
        <v>148</v>
      </c>
      <c r="B331" s="133" t="s">
        <v>160</v>
      </c>
      <c r="C331" s="256">
        <v>1920000000</v>
      </c>
      <c r="D331" s="134">
        <f>C331/C327*100</f>
        <v>76.042615549130659</v>
      </c>
      <c r="E331" s="134">
        <f t="shared" si="107"/>
        <v>96.599713541666659</v>
      </c>
      <c r="F331" s="134">
        <f t="shared" si="108"/>
        <v>73.456948790051086</v>
      </c>
      <c r="G331" s="135">
        <f>784186200+1070528300</f>
        <v>1854714500</v>
      </c>
      <c r="H331" s="134">
        <f t="shared" si="109"/>
        <v>96.599713541666659</v>
      </c>
      <c r="I331" s="134">
        <f t="shared" si="110"/>
        <v>73.456948790051086</v>
      </c>
      <c r="J331" s="56">
        <f>65285500</f>
        <v>65285500</v>
      </c>
      <c r="K331" s="10"/>
    </row>
    <row r="332" spans="1:11" s="725" customFormat="1" ht="25.5" x14ac:dyDescent="0.25">
      <c r="A332" s="723" t="s">
        <v>152</v>
      </c>
      <c r="B332" s="133" t="s">
        <v>153</v>
      </c>
      <c r="C332" s="724">
        <v>576000000</v>
      </c>
      <c r="D332" s="728">
        <f>C332/C327*100</f>
        <v>22.812784664739198</v>
      </c>
      <c r="E332" s="728">
        <f t="shared" si="107"/>
        <v>100</v>
      </c>
      <c r="F332" s="728">
        <f t="shared" si="108"/>
        <v>22.812784664739198</v>
      </c>
      <c r="G332" s="51">
        <f>576000000</f>
        <v>576000000</v>
      </c>
      <c r="H332" s="728">
        <f t="shared" si="109"/>
        <v>100</v>
      </c>
      <c r="I332" s="728">
        <f t="shared" si="110"/>
        <v>22.812784664739198</v>
      </c>
      <c r="J332" s="735">
        <v>0</v>
      </c>
      <c r="K332" s="313"/>
    </row>
    <row r="333" spans="1:11" x14ac:dyDescent="0.25">
      <c r="A333" s="70"/>
      <c r="B333" s="129" t="s">
        <v>95</v>
      </c>
      <c r="C333" s="51"/>
      <c r="D333" s="271">
        <f>SUM(D328:D332)</f>
        <v>100</v>
      </c>
      <c r="E333" s="134"/>
      <c r="F333" s="134"/>
      <c r="G333" s="137">
        <f>SUM(G328:G332)</f>
        <v>2459614500</v>
      </c>
      <c r="H333" s="134"/>
      <c r="I333" s="134"/>
      <c r="J333" s="734">
        <f>65285500</f>
        <v>65285500</v>
      </c>
      <c r="K333" s="130"/>
    </row>
    <row r="334" spans="1:11" x14ac:dyDescent="0.25">
      <c r="A334" s="50"/>
      <c r="B334" s="5"/>
      <c r="C334" s="50"/>
      <c r="D334" s="9"/>
      <c r="E334" s="23"/>
      <c r="F334" s="23"/>
      <c r="G334" s="11"/>
      <c r="H334" s="23"/>
      <c r="I334" s="23"/>
      <c r="J334" s="9"/>
      <c r="K334" s="9"/>
    </row>
    <row r="335" spans="1:11" x14ac:dyDescent="0.25">
      <c r="A335" s="50"/>
      <c r="B335" s="5"/>
      <c r="C335" s="50"/>
      <c r="D335" s="9"/>
      <c r="E335" s="23"/>
      <c r="F335" s="23"/>
      <c r="G335" s="11"/>
      <c r="H335" s="23"/>
      <c r="I335" s="23"/>
      <c r="J335" s="9"/>
      <c r="K335" s="9"/>
    </row>
    <row r="336" spans="1:11" x14ac:dyDescent="0.25">
      <c r="A336" s="1139" t="s">
        <v>2</v>
      </c>
      <c r="B336" s="1142" t="s">
        <v>175</v>
      </c>
      <c r="C336" s="290"/>
      <c r="D336" s="1145" t="s">
        <v>5</v>
      </c>
      <c r="E336" s="1146"/>
      <c r="F336" s="1147"/>
      <c r="G336" s="1148" t="s">
        <v>6</v>
      </c>
      <c r="H336" s="1149"/>
      <c r="I336" s="1150"/>
      <c r="J336" s="1138" t="s">
        <v>7</v>
      </c>
      <c r="K336" s="198" t="s">
        <v>8</v>
      </c>
    </row>
    <row r="337" spans="1:11" x14ac:dyDescent="0.25">
      <c r="A337" s="1140"/>
      <c r="B337" s="1143"/>
      <c r="C337" s="766" t="s">
        <v>4</v>
      </c>
      <c r="D337" s="198" t="s">
        <v>9</v>
      </c>
      <c r="E337" s="310" t="s">
        <v>10</v>
      </c>
      <c r="F337" s="310" t="s">
        <v>11</v>
      </c>
      <c r="G337" s="194" t="s">
        <v>12</v>
      </c>
      <c r="H337" s="193" t="s">
        <v>13</v>
      </c>
      <c r="I337" s="193" t="s">
        <v>11</v>
      </c>
      <c r="J337" s="1151"/>
      <c r="K337" s="192"/>
    </row>
    <row r="338" spans="1:11" x14ac:dyDescent="0.25">
      <c r="A338" s="1141"/>
      <c r="B338" s="1144"/>
      <c r="C338" s="229"/>
      <c r="D338" s="197" t="s">
        <v>14</v>
      </c>
      <c r="E338" s="195" t="s">
        <v>14</v>
      </c>
      <c r="F338" s="195" t="s">
        <v>14</v>
      </c>
      <c r="G338" s="196" t="s">
        <v>15</v>
      </c>
      <c r="H338" s="195" t="s">
        <v>14</v>
      </c>
      <c r="I338" s="195" t="s">
        <v>14</v>
      </c>
      <c r="J338" s="197" t="s">
        <v>15</v>
      </c>
      <c r="K338" s="197"/>
    </row>
    <row r="339" spans="1:11" ht="25.5" x14ac:dyDescent="0.25">
      <c r="A339" s="321" t="s">
        <v>180</v>
      </c>
      <c r="B339" s="696" t="s">
        <v>379</v>
      </c>
      <c r="C339" s="291"/>
      <c r="D339" s="121"/>
      <c r="E339" s="122"/>
      <c r="F339" s="122"/>
      <c r="G339" s="123"/>
      <c r="H339" s="122"/>
      <c r="I339" s="122"/>
      <c r="J339" s="121"/>
      <c r="K339" s="121"/>
    </row>
    <row r="340" spans="1:11" ht="25.5" x14ac:dyDescent="0.25">
      <c r="A340" s="160" t="s">
        <v>181</v>
      </c>
      <c r="B340" s="697" t="s">
        <v>380</v>
      </c>
      <c r="C340" s="261">
        <f>SUM(C341:C350)</f>
        <v>100000000</v>
      </c>
      <c r="D340" s="161"/>
      <c r="E340" s="161"/>
      <c r="F340" s="161"/>
      <c r="G340" s="82"/>
      <c r="H340" s="161"/>
      <c r="I340" s="161"/>
      <c r="J340" s="162"/>
      <c r="K340" s="162"/>
    </row>
    <row r="341" spans="1:11" ht="25.5" x14ac:dyDescent="0.25">
      <c r="A341" s="314" t="s">
        <v>44</v>
      </c>
      <c r="B341" s="707" t="s">
        <v>384</v>
      </c>
      <c r="C341" s="262">
        <v>5430000</v>
      </c>
      <c r="D341" s="134">
        <f>C341/C340*100</f>
        <v>5.43</v>
      </c>
      <c r="E341" s="134">
        <f t="shared" ref="E341:E349" si="111">G341/C341*100</f>
        <v>100</v>
      </c>
      <c r="F341" s="134">
        <f t="shared" ref="F341:F349" si="112">(D341*E341)/100</f>
        <v>5.43</v>
      </c>
      <c r="G341" s="6">
        <f>5430000</f>
        <v>5430000</v>
      </c>
      <c r="H341" s="134">
        <f t="shared" ref="H341:H349" si="113">G341/C341*100</f>
        <v>100</v>
      </c>
      <c r="I341" s="134">
        <f t="shared" ref="I341:I349" si="114">(D341*H341)/100</f>
        <v>5.43</v>
      </c>
      <c r="J341" s="56">
        <v>0</v>
      </c>
      <c r="K341" s="10"/>
    </row>
    <row r="342" spans="1:11" x14ac:dyDescent="0.25">
      <c r="A342" s="314" t="s">
        <v>59</v>
      </c>
      <c r="B342" s="707" t="s">
        <v>197</v>
      </c>
      <c r="C342" s="262">
        <v>12271375</v>
      </c>
      <c r="D342" s="134">
        <f>C342/C340*100</f>
        <v>12.271374999999999</v>
      </c>
      <c r="E342" s="134">
        <f t="shared" si="111"/>
        <v>100</v>
      </c>
      <c r="F342" s="134">
        <f t="shared" si="112"/>
        <v>12.271374999999999</v>
      </c>
      <c r="G342" s="6">
        <f>12271375</f>
        <v>12271375</v>
      </c>
      <c r="H342" s="134">
        <f t="shared" si="113"/>
        <v>100</v>
      </c>
      <c r="I342" s="134">
        <f t="shared" si="114"/>
        <v>12.271374999999999</v>
      </c>
      <c r="J342" s="56">
        <v>0</v>
      </c>
      <c r="K342" s="10"/>
    </row>
    <row r="343" spans="1:11" x14ac:dyDescent="0.25">
      <c r="A343" s="314" t="s">
        <v>62</v>
      </c>
      <c r="B343" s="707" t="s">
        <v>334</v>
      </c>
      <c r="C343" s="262">
        <v>5038625</v>
      </c>
      <c r="D343" s="134">
        <f>C343/C340*100</f>
        <v>5.0386249999999997</v>
      </c>
      <c r="E343" s="134">
        <f t="shared" si="111"/>
        <v>100</v>
      </c>
      <c r="F343" s="134">
        <f t="shared" si="112"/>
        <v>5.0386249999999997</v>
      </c>
      <c r="G343" s="6">
        <f>5038625</f>
        <v>5038625</v>
      </c>
      <c r="H343" s="134">
        <f t="shared" si="113"/>
        <v>100</v>
      </c>
      <c r="I343" s="134">
        <f t="shared" si="114"/>
        <v>5.0386249999999997</v>
      </c>
      <c r="J343" s="56">
        <v>0</v>
      </c>
      <c r="K343" s="10"/>
    </row>
    <row r="344" spans="1:11" ht="25.5" x14ac:dyDescent="0.25">
      <c r="A344" s="314" t="s">
        <v>193</v>
      </c>
      <c r="B344" s="316" t="s">
        <v>376</v>
      </c>
      <c r="C344" s="262">
        <v>0</v>
      </c>
      <c r="D344" s="134">
        <f>C344/C340*100</f>
        <v>0</v>
      </c>
      <c r="E344" s="134" t="e">
        <f t="shared" si="111"/>
        <v>#DIV/0!</v>
      </c>
      <c r="F344" s="134" t="e">
        <f t="shared" si="112"/>
        <v>#DIV/0!</v>
      </c>
      <c r="G344" s="6">
        <v>0</v>
      </c>
      <c r="H344" s="134" t="e">
        <f t="shared" si="113"/>
        <v>#DIV/0!</v>
      </c>
      <c r="I344" s="134" t="e">
        <f t="shared" si="114"/>
        <v>#DIV/0!</v>
      </c>
      <c r="J344" s="56">
        <v>0</v>
      </c>
      <c r="K344" s="10"/>
    </row>
    <row r="345" spans="1:11" x14ac:dyDescent="0.25">
      <c r="A345" s="314" t="s">
        <v>194</v>
      </c>
      <c r="B345" s="49" t="s">
        <v>139</v>
      </c>
      <c r="C345" s="263">
        <v>32710000</v>
      </c>
      <c r="D345" s="134">
        <f>C345/C340*100</f>
        <v>32.71</v>
      </c>
      <c r="E345" s="134">
        <f t="shared" si="111"/>
        <v>100</v>
      </c>
      <c r="F345" s="134">
        <f t="shared" si="112"/>
        <v>32.71</v>
      </c>
      <c r="G345" s="6">
        <f>32710000</f>
        <v>32710000</v>
      </c>
      <c r="H345" s="134">
        <f t="shared" si="113"/>
        <v>100</v>
      </c>
      <c r="I345" s="134">
        <f t="shared" si="114"/>
        <v>32.71</v>
      </c>
      <c r="J345" s="56">
        <v>0</v>
      </c>
      <c r="K345" s="10"/>
    </row>
    <row r="346" spans="1:11" x14ac:dyDescent="0.25">
      <c r="A346" s="314" t="s">
        <v>183</v>
      </c>
      <c r="B346" s="49" t="s">
        <v>417</v>
      </c>
      <c r="C346" s="263">
        <v>10000000</v>
      </c>
      <c r="D346" s="134"/>
      <c r="E346" s="134">
        <f t="shared" si="111"/>
        <v>100</v>
      </c>
      <c r="F346" s="134"/>
      <c r="G346" s="6">
        <f>10000000</f>
        <v>10000000</v>
      </c>
      <c r="H346" s="134">
        <f t="shared" si="113"/>
        <v>100</v>
      </c>
      <c r="I346" s="134"/>
      <c r="J346" s="56"/>
      <c r="K346" s="10"/>
    </row>
    <row r="347" spans="1:11" x14ac:dyDescent="0.25">
      <c r="A347" s="322" t="s">
        <v>195</v>
      </c>
      <c r="B347" s="170" t="s">
        <v>179</v>
      </c>
      <c r="C347" s="178">
        <v>15350000</v>
      </c>
      <c r="D347" s="134">
        <f>C347/C340*100</f>
        <v>15.35</v>
      </c>
      <c r="E347" s="134">
        <f t="shared" si="111"/>
        <v>100</v>
      </c>
      <c r="F347" s="134">
        <f t="shared" si="112"/>
        <v>15.35</v>
      </c>
      <c r="G347" s="6">
        <f>15350000</f>
        <v>15350000</v>
      </c>
      <c r="H347" s="134">
        <f t="shared" si="113"/>
        <v>100</v>
      </c>
      <c r="I347" s="134">
        <f t="shared" si="114"/>
        <v>15.35</v>
      </c>
      <c r="J347" s="56">
        <v>0</v>
      </c>
      <c r="K347" s="10"/>
    </row>
    <row r="348" spans="1:11" x14ac:dyDescent="0.25">
      <c r="A348" s="322" t="s">
        <v>62</v>
      </c>
      <c r="B348" s="170" t="s">
        <v>418</v>
      </c>
      <c r="C348" s="178">
        <v>2250000</v>
      </c>
      <c r="D348" s="134"/>
      <c r="E348" s="134"/>
      <c r="F348" s="134"/>
      <c r="G348" s="6">
        <f>2250000</f>
        <v>2250000</v>
      </c>
      <c r="H348" s="134"/>
      <c r="I348" s="134"/>
      <c r="J348" s="56"/>
      <c r="K348" s="10"/>
    </row>
    <row r="349" spans="1:11" ht="25.5" x14ac:dyDescent="0.25">
      <c r="A349" s="314" t="s">
        <v>106</v>
      </c>
      <c r="B349" s="316" t="s">
        <v>375</v>
      </c>
      <c r="C349" s="263">
        <v>13950000</v>
      </c>
      <c r="D349" s="134">
        <f>C349/C340*100</f>
        <v>13.950000000000001</v>
      </c>
      <c r="E349" s="134">
        <f t="shared" si="111"/>
        <v>100</v>
      </c>
      <c r="F349" s="134">
        <f t="shared" si="112"/>
        <v>13.95</v>
      </c>
      <c r="G349" s="135">
        <f>13950000</f>
        <v>13950000</v>
      </c>
      <c r="H349" s="134">
        <f t="shared" si="113"/>
        <v>100</v>
      </c>
      <c r="I349" s="134">
        <f t="shared" si="114"/>
        <v>13.95</v>
      </c>
      <c r="J349" s="56">
        <v>0</v>
      </c>
      <c r="K349" s="10"/>
    </row>
    <row r="350" spans="1:11" x14ac:dyDescent="0.25">
      <c r="A350" s="745" t="s">
        <v>293</v>
      </c>
      <c r="B350" s="746" t="s">
        <v>419</v>
      </c>
      <c r="C350" s="263">
        <v>3000000</v>
      </c>
      <c r="D350" s="134">
        <f>C350/C341*100</f>
        <v>55.248618784530393</v>
      </c>
      <c r="E350" s="134"/>
      <c r="F350" s="134"/>
      <c r="G350" s="6">
        <f>3000000</f>
        <v>3000000</v>
      </c>
      <c r="H350" s="134"/>
      <c r="I350" s="134"/>
      <c r="J350" s="56"/>
      <c r="K350" s="10"/>
    </row>
    <row r="351" spans="1:11" x14ac:dyDescent="0.25">
      <c r="A351" s="1152" t="s">
        <v>95</v>
      </c>
      <c r="B351" s="1153"/>
      <c r="C351" s="1154"/>
      <c r="D351" s="12">
        <f>SUM(D341:D349)</f>
        <v>84.75</v>
      </c>
      <c r="E351" s="134"/>
      <c r="F351" s="134"/>
      <c r="G351" s="13">
        <f>SUM(G341:G350)</f>
        <v>100000000</v>
      </c>
      <c r="H351" s="134"/>
      <c r="I351" s="134"/>
      <c r="J351" s="56">
        <v>0</v>
      </c>
      <c r="K351" s="3">
        <v>0</v>
      </c>
    </row>
    <row r="352" spans="1:11" x14ac:dyDescent="0.25">
      <c r="A352" s="5"/>
      <c r="B352" s="5"/>
      <c r="C352" s="5"/>
      <c r="D352" s="29"/>
      <c r="E352" s="30"/>
      <c r="F352" s="31"/>
      <c r="G352" s="36"/>
      <c r="H352" s="32"/>
      <c r="I352" s="31"/>
      <c r="J352" s="36"/>
      <c r="K352" s="37"/>
    </row>
    <row r="353" spans="1:14" ht="31.5" x14ac:dyDescent="0.25">
      <c r="A353" s="55"/>
      <c r="B353" s="46" t="s">
        <v>145</v>
      </c>
      <c r="C353" s="155"/>
      <c r="D353" s="44"/>
      <c r="E353" s="45"/>
      <c r="F353" s="45"/>
      <c r="G353" s="48"/>
      <c r="H353" s="45"/>
      <c r="I353" s="45"/>
      <c r="J353" s="44"/>
      <c r="K353" s="44"/>
      <c r="L353" s="1"/>
      <c r="M353" s="1"/>
      <c r="N353" s="1"/>
    </row>
    <row r="354" spans="1:14" x14ac:dyDescent="0.25">
      <c r="A354" s="1133" t="s">
        <v>2</v>
      </c>
      <c r="B354" s="1134" t="s">
        <v>175</v>
      </c>
      <c r="C354" s="1133" t="s">
        <v>4</v>
      </c>
      <c r="D354" s="1135" t="s">
        <v>5</v>
      </c>
      <c r="E354" s="1136"/>
      <c r="F354" s="1136"/>
      <c r="G354" s="1137" t="s">
        <v>6</v>
      </c>
      <c r="H354" s="1136"/>
      <c r="I354" s="1136"/>
      <c r="J354" s="1133" t="s">
        <v>7</v>
      </c>
      <c r="K354" s="198" t="s">
        <v>8</v>
      </c>
    </row>
    <row r="355" spans="1:14" x14ac:dyDescent="0.25">
      <c r="A355" s="1133"/>
      <c r="B355" s="1134"/>
      <c r="C355" s="1133"/>
      <c r="D355" s="198" t="s">
        <v>9</v>
      </c>
      <c r="E355" s="310" t="s">
        <v>10</v>
      </c>
      <c r="F355" s="310" t="s">
        <v>11</v>
      </c>
      <c r="G355" s="311" t="s">
        <v>12</v>
      </c>
      <c r="H355" s="310" t="s">
        <v>13</v>
      </c>
      <c r="I355" s="310" t="s">
        <v>11</v>
      </c>
      <c r="J355" s="1138"/>
      <c r="K355" s="192"/>
    </row>
    <row r="356" spans="1:14" x14ac:dyDescent="0.25">
      <c r="A356" s="1133"/>
      <c r="B356" s="1134"/>
      <c r="C356" s="1133"/>
      <c r="D356" s="197" t="s">
        <v>14</v>
      </c>
      <c r="E356" s="195" t="s">
        <v>14</v>
      </c>
      <c r="F356" s="195" t="s">
        <v>14</v>
      </c>
      <c r="G356" s="196" t="s">
        <v>15</v>
      </c>
      <c r="H356" s="195" t="s">
        <v>14</v>
      </c>
      <c r="I356" s="195" t="s">
        <v>14</v>
      </c>
      <c r="J356" s="197" t="s">
        <v>15</v>
      </c>
      <c r="K356" s="197"/>
    </row>
    <row r="357" spans="1:14" x14ac:dyDescent="0.25">
      <c r="A357" s="79" t="s">
        <v>185</v>
      </c>
      <c r="B357" s="199" t="s">
        <v>146</v>
      </c>
      <c r="C357" s="24"/>
      <c r="D357" s="10"/>
      <c r="E357" s="34"/>
      <c r="F357" s="34"/>
      <c r="G357" s="6"/>
      <c r="H357" s="34"/>
      <c r="I357" s="34"/>
      <c r="J357" s="10"/>
      <c r="K357" s="10"/>
    </row>
    <row r="358" spans="1:14" x14ac:dyDescent="0.25">
      <c r="A358" s="125" t="s">
        <v>184</v>
      </c>
      <c r="B358" s="280" t="s">
        <v>147</v>
      </c>
      <c r="C358" s="252">
        <f>SUM(C359:C360)</f>
        <v>1228450000</v>
      </c>
      <c r="D358" s="10"/>
      <c r="E358" s="34"/>
      <c r="F358" s="34"/>
      <c r="G358" s="6"/>
      <c r="H358" s="34"/>
      <c r="I358" s="34"/>
      <c r="J358" s="10"/>
      <c r="K358" s="10"/>
    </row>
    <row r="359" spans="1:14" ht="25.5" x14ac:dyDescent="0.25">
      <c r="A359" s="154" t="s">
        <v>44</v>
      </c>
      <c r="B359" s="707" t="s">
        <v>384</v>
      </c>
      <c r="C359" s="253">
        <v>28450000</v>
      </c>
      <c r="D359" s="134">
        <f>C359/C358*100</f>
        <v>2.3159265741381416</v>
      </c>
      <c r="E359" s="134">
        <f t="shared" ref="E359:E360" si="115">G359/C359*100</f>
        <v>100</v>
      </c>
      <c r="F359" s="134">
        <f t="shared" ref="F359:F360" si="116">(D359*E359)/100</f>
        <v>2.3159265741381416</v>
      </c>
      <c r="G359" s="135">
        <f>28450000</f>
        <v>28450000</v>
      </c>
      <c r="H359" s="134">
        <f t="shared" ref="H359:H360" si="117">G359/C359*100</f>
        <v>100</v>
      </c>
      <c r="I359" s="134">
        <f t="shared" ref="I359:I360" si="118">(D359*H359)/100</f>
        <v>2.3159265741381416</v>
      </c>
      <c r="J359" s="56">
        <v>0</v>
      </c>
      <c r="K359" s="10"/>
    </row>
    <row r="360" spans="1:14" ht="25.5" x14ac:dyDescent="0.25">
      <c r="A360" s="124" t="s">
        <v>148</v>
      </c>
      <c r="B360" s="133" t="s">
        <v>163</v>
      </c>
      <c r="C360" s="256">
        <v>1200000000</v>
      </c>
      <c r="D360" s="134">
        <f>C360/C358*100</f>
        <v>97.684073425861868</v>
      </c>
      <c r="E360" s="134">
        <f t="shared" si="115"/>
        <v>100</v>
      </c>
      <c r="F360" s="134">
        <f t="shared" si="116"/>
        <v>97.684073425861868</v>
      </c>
      <c r="G360" s="135">
        <f>186044000+1013956000</f>
        <v>1200000000</v>
      </c>
      <c r="H360" s="134">
        <f t="shared" si="117"/>
        <v>100</v>
      </c>
      <c r="I360" s="134">
        <f t="shared" si="118"/>
        <v>97.684073425861868</v>
      </c>
      <c r="J360" s="56">
        <v>0</v>
      </c>
      <c r="K360" s="10"/>
    </row>
    <row r="361" spans="1:14" x14ac:dyDescent="0.25">
      <c r="A361" s="70"/>
      <c r="B361" s="129" t="s">
        <v>95</v>
      </c>
      <c r="C361" s="51"/>
      <c r="D361" s="271">
        <f>SUM(D359:D360)</f>
        <v>100.00000000000001</v>
      </c>
      <c r="E361" s="134"/>
      <c r="F361" s="134"/>
      <c r="G361" s="137">
        <f>SUM(G359:G360)</f>
        <v>1228450000</v>
      </c>
      <c r="H361" s="134"/>
      <c r="I361" s="134"/>
      <c r="J361" s="56">
        <v>0</v>
      </c>
      <c r="K361" s="130"/>
    </row>
    <row r="362" spans="1:14" x14ac:dyDescent="0.25">
      <c r="A362" s="5"/>
      <c r="B362" s="5"/>
      <c r="C362" s="5"/>
      <c r="D362" s="29"/>
      <c r="E362" s="30"/>
      <c r="F362" s="31"/>
      <c r="G362" s="36"/>
      <c r="H362" s="32"/>
      <c r="I362" s="31"/>
      <c r="J362" s="36"/>
      <c r="K362" s="37"/>
    </row>
    <row r="363" spans="1:14" x14ac:dyDescent="0.25">
      <c r="A363" s="1133" t="s">
        <v>2</v>
      </c>
      <c r="B363" s="1134" t="s">
        <v>175</v>
      </c>
      <c r="C363" s="1133" t="s">
        <v>4</v>
      </c>
      <c r="D363" s="1135" t="s">
        <v>5</v>
      </c>
      <c r="E363" s="1136"/>
      <c r="F363" s="1136"/>
      <c r="G363" s="1137" t="s">
        <v>6</v>
      </c>
      <c r="H363" s="1136"/>
      <c r="I363" s="1136"/>
      <c r="J363" s="1133" t="s">
        <v>7</v>
      </c>
      <c r="K363" s="198" t="s">
        <v>8</v>
      </c>
    </row>
    <row r="364" spans="1:14" x14ac:dyDescent="0.25">
      <c r="A364" s="1133"/>
      <c r="B364" s="1134"/>
      <c r="C364" s="1133"/>
      <c r="D364" s="198" t="s">
        <v>9</v>
      </c>
      <c r="E364" s="310" t="s">
        <v>10</v>
      </c>
      <c r="F364" s="310" t="s">
        <v>11</v>
      </c>
      <c r="G364" s="311" t="s">
        <v>12</v>
      </c>
      <c r="H364" s="310" t="s">
        <v>13</v>
      </c>
      <c r="I364" s="310" t="s">
        <v>11</v>
      </c>
      <c r="J364" s="1138"/>
      <c r="K364" s="192"/>
    </row>
    <row r="365" spans="1:14" x14ac:dyDescent="0.25">
      <c r="A365" s="1133"/>
      <c r="B365" s="1134"/>
      <c r="C365" s="1133"/>
      <c r="D365" s="197" t="s">
        <v>14</v>
      </c>
      <c r="E365" s="195" t="s">
        <v>14</v>
      </c>
      <c r="F365" s="195" t="s">
        <v>14</v>
      </c>
      <c r="G365" s="196" t="s">
        <v>15</v>
      </c>
      <c r="H365" s="195" t="s">
        <v>14</v>
      </c>
      <c r="I365" s="195" t="s">
        <v>14</v>
      </c>
      <c r="J365" s="197" t="s">
        <v>15</v>
      </c>
      <c r="K365" s="197"/>
    </row>
    <row r="366" spans="1:14" x14ac:dyDescent="0.25">
      <c r="A366" s="79" t="s">
        <v>185</v>
      </c>
      <c r="B366" s="199" t="s">
        <v>146</v>
      </c>
      <c r="C366" s="24"/>
      <c r="D366" s="10"/>
      <c r="E366" s="34"/>
      <c r="F366" s="34"/>
      <c r="G366" s="6"/>
      <c r="H366" s="34"/>
      <c r="I366" s="34"/>
      <c r="J366" s="10"/>
      <c r="K366" s="10"/>
    </row>
    <row r="367" spans="1:14" x14ac:dyDescent="0.25">
      <c r="A367" s="125" t="s">
        <v>187</v>
      </c>
      <c r="B367" s="280" t="s">
        <v>156</v>
      </c>
      <c r="C367" s="252">
        <f>SUM(C368:C370)</f>
        <v>1063860000</v>
      </c>
      <c r="D367" s="10"/>
      <c r="E367" s="14"/>
      <c r="F367" s="34"/>
      <c r="G367" s="6"/>
      <c r="H367" s="34"/>
      <c r="I367" s="34"/>
      <c r="J367" s="35"/>
      <c r="K367" s="10"/>
    </row>
    <row r="368" spans="1:14" ht="25.5" x14ac:dyDescent="0.25">
      <c r="A368" s="49" t="s">
        <v>59</v>
      </c>
      <c r="B368" s="707" t="s">
        <v>384</v>
      </c>
      <c r="C368" s="256">
        <v>23860000</v>
      </c>
      <c r="D368" s="34">
        <f>C368/C367*100</f>
        <v>2.2427763051529337</v>
      </c>
      <c r="E368" s="134">
        <f t="shared" ref="E368:E370" si="119">G368/C368*100</f>
        <v>100</v>
      </c>
      <c r="F368" s="134">
        <f t="shared" ref="F368:F370" si="120">(D368*E368)/100</f>
        <v>2.2427763051529337</v>
      </c>
      <c r="G368" s="135">
        <f>23860000</f>
        <v>23860000</v>
      </c>
      <c r="H368" s="134">
        <f t="shared" ref="H368:H370" si="121">G368/C368*100</f>
        <v>100</v>
      </c>
      <c r="I368" s="134">
        <f t="shared" ref="I368:I370" si="122">(D368*H368)/100</f>
        <v>2.2427763051529337</v>
      </c>
      <c r="J368" s="56">
        <v>0</v>
      </c>
      <c r="K368" s="10"/>
    </row>
    <row r="369" spans="1:14" ht="25.5" x14ac:dyDescent="0.25">
      <c r="A369" s="49" t="s">
        <v>148</v>
      </c>
      <c r="B369" s="133" t="s">
        <v>161</v>
      </c>
      <c r="C369" s="264">
        <v>800000000</v>
      </c>
      <c r="D369" s="134">
        <f>C369/C367*100</f>
        <v>75.197864380651595</v>
      </c>
      <c r="E369" s="134">
        <f t="shared" si="119"/>
        <v>99.975000000000009</v>
      </c>
      <c r="F369" s="134">
        <f t="shared" si="120"/>
        <v>75.179064914556434</v>
      </c>
      <c r="G369" s="135">
        <f>84880400+714919600</f>
        <v>799800000</v>
      </c>
      <c r="H369" s="134">
        <f t="shared" si="121"/>
        <v>99.975000000000009</v>
      </c>
      <c r="I369" s="134">
        <f t="shared" si="122"/>
        <v>75.179064914556434</v>
      </c>
      <c r="J369" s="56">
        <f>200000</f>
        <v>200000</v>
      </c>
      <c r="K369" s="3"/>
    </row>
    <row r="370" spans="1:14" s="84" customFormat="1" ht="25.5" x14ac:dyDescent="0.25">
      <c r="A370" s="723" t="s">
        <v>152</v>
      </c>
      <c r="B370" s="133" t="s">
        <v>153</v>
      </c>
      <c r="C370" s="264">
        <v>240000000</v>
      </c>
      <c r="D370" s="134">
        <f>C370/C367*100</f>
        <v>22.559359314195476</v>
      </c>
      <c r="E370" s="134">
        <f t="shared" si="119"/>
        <v>100</v>
      </c>
      <c r="F370" s="134">
        <f t="shared" si="120"/>
        <v>22.559359314195476</v>
      </c>
      <c r="G370" s="135">
        <f>240000000</f>
        <v>240000000</v>
      </c>
      <c r="H370" s="134">
        <f t="shared" si="121"/>
        <v>100</v>
      </c>
      <c r="I370" s="134">
        <f t="shared" si="122"/>
        <v>22.559359314195476</v>
      </c>
      <c r="J370" s="56">
        <v>0</v>
      </c>
      <c r="K370" s="85"/>
    </row>
    <row r="371" spans="1:14" x14ac:dyDescent="0.25">
      <c r="A371" s="73"/>
      <c r="B371" s="136" t="s">
        <v>154</v>
      </c>
      <c r="C371" s="138"/>
      <c r="D371" s="272">
        <f>SUM(D368:D370)</f>
        <v>100</v>
      </c>
      <c r="E371" s="134"/>
      <c r="F371" s="134"/>
      <c r="G371" s="137">
        <f>SUM(G368:G370)</f>
        <v>1063660000</v>
      </c>
      <c r="H371" s="134"/>
      <c r="I371" s="134"/>
      <c r="J371" s="734">
        <f>200000</f>
        <v>200000</v>
      </c>
      <c r="K371" s="40"/>
    </row>
    <row r="372" spans="1:14" x14ac:dyDescent="0.25">
      <c r="A372" s="50"/>
      <c r="B372" s="5"/>
      <c r="C372" s="50" t="s">
        <v>141</v>
      </c>
      <c r="D372" s="9"/>
      <c r="E372" s="23"/>
      <c r="F372" s="23"/>
      <c r="G372" s="11"/>
      <c r="H372" s="23"/>
      <c r="I372" s="23"/>
      <c r="J372" s="9"/>
      <c r="K372" s="9"/>
    </row>
    <row r="373" spans="1:14" x14ac:dyDescent="0.25">
      <c r="A373" s="50"/>
      <c r="B373" s="5"/>
      <c r="C373" s="50"/>
      <c r="D373" s="9"/>
      <c r="E373" s="23"/>
      <c r="F373" s="23"/>
      <c r="G373" s="11"/>
      <c r="H373" s="23"/>
      <c r="I373" s="23"/>
      <c r="J373" s="9"/>
      <c r="K373" s="9"/>
    </row>
    <row r="374" spans="1:14" x14ac:dyDescent="0.25">
      <c r="A374" s="1123" t="s">
        <v>2</v>
      </c>
      <c r="B374" s="1126" t="s">
        <v>171</v>
      </c>
      <c r="C374" s="1123" t="s">
        <v>4</v>
      </c>
      <c r="D374" s="1155" t="s">
        <v>5</v>
      </c>
      <c r="E374" s="1156"/>
      <c r="F374" s="1157"/>
      <c r="G374" s="1158" t="s">
        <v>6</v>
      </c>
      <c r="H374" s="1159"/>
      <c r="I374" s="1160"/>
      <c r="J374" s="1123" t="s">
        <v>7</v>
      </c>
      <c r="K374" s="289" t="s">
        <v>8</v>
      </c>
    </row>
    <row r="375" spans="1:14" x14ac:dyDescent="0.25">
      <c r="A375" s="1124"/>
      <c r="B375" s="1127"/>
      <c r="C375" s="1124"/>
      <c r="D375" s="289" t="s">
        <v>9</v>
      </c>
      <c r="E375" s="308" t="s">
        <v>10</v>
      </c>
      <c r="F375" s="308" t="s">
        <v>11</v>
      </c>
      <c r="G375" s="309" t="s">
        <v>12</v>
      </c>
      <c r="H375" s="308" t="s">
        <v>13</v>
      </c>
      <c r="I375" s="308" t="s">
        <v>11</v>
      </c>
      <c r="J375" s="1124"/>
      <c r="K375" s="115"/>
    </row>
    <row r="376" spans="1:14" x14ac:dyDescent="0.25">
      <c r="A376" s="1125"/>
      <c r="B376" s="1128"/>
      <c r="C376" s="1125"/>
      <c r="D376" s="118" t="s">
        <v>14</v>
      </c>
      <c r="E376" s="119" t="s">
        <v>14</v>
      </c>
      <c r="F376" s="119" t="s">
        <v>14</v>
      </c>
      <c r="G376" s="120" t="s">
        <v>15</v>
      </c>
      <c r="H376" s="119" t="s">
        <v>14</v>
      </c>
      <c r="I376" s="119" t="s">
        <v>14</v>
      </c>
      <c r="J376" s="118" t="s">
        <v>15</v>
      </c>
      <c r="K376" s="118"/>
    </row>
    <row r="377" spans="1:14" ht="25.5" x14ac:dyDescent="0.25">
      <c r="A377" s="79" t="s">
        <v>180</v>
      </c>
      <c r="B377" s="696" t="s">
        <v>379</v>
      </c>
      <c r="C377" s="128"/>
      <c r="D377" s="10"/>
      <c r="E377" s="34"/>
      <c r="F377" s="34"/>
      <c r="G377" s="6"/>
      <c r="H377" s="34"/>
      <c r="I377" s="34"/>
      <c r="J377" s="10"/>
      <c r="K377" s="10"/>
    </row>
    <row r="378" spans="1:14" ht="25.5" x14ac:dyDescent="0.25">
      <c r="A378" s="158" t="s">
        <v>181</v>
      </c>
      <c r="B378" s="697" t="s">
        <v>380</v>
      </c>
      <c r="C378" s="265">
        <f>SUM(C379:C386)</f>
        <v>100000000</v>
      </c>
      <c r="D378" s="10"/>
      <c r="E378" s="34"/>
      <c r="F378" s="34"/>
      <c r="G378" s="6"/>
      <c r="H378" s="34"/>
      <c r="I378" s="34"/>
      <c r="J378" s="10"/>
      <c r="K378" s="10"/>
    </row>
    <row r="379" spans="1:14" ht="25.5" x14ac:dyDescent="0.25">
      <c r="A379" s="74" t="s">
        <v>44</v>
      </c>
      <c r="B379" s="707" t="s">
        <v>384</v>
      </c>
      <c r="C379" s="266">
        <v>4925000</v>
      </c>
      <c r="D379" s="134">
        <f>C379/C378*100</f>
        <v>4.9249999999999998</v>
      </c>
      <c r="E379" s="134">
        <f t="shared" ref="E379:E385" si="123">G379/C379*100</f>
        <v>100</v>
      </c>
      <c r="F379" s="134">
        <f t="shared" ref="F379:F385" si="124">(D379*E379)/100</f>
        <v>4.9249999999999998</v>
      </c>
      <c r="G379" s="135">
        <f>4925000</f>
        <v>4925000</v>
      </c>
      <c r="H379" s="134">
        <f t="shared" ref="H379:H385" si="125">G379/C379*100</f>
        <v>100</v>
      </c>
      <c r="I379" s="134">
        <f t="shared" ref="I379:I385" si="126">(D379*H379)/100</f>
        <v>4.9249999999999998</v>
      </c>
      <c r="J379" s="56">
        <v>0</v>
      </c>
      <c r="K379" s="10"/>
      <c r="L379" s="1"/>
      <c r="M379" s="1"/>
      <c r="N379" s="25"/>
    </row>
    <row r="380" spans="1:14" x14ac:dyDescent="0.25">
      <c r="A380" s="74" t="s">
        <v>59</v>
      </c>
      <c r="B380" s="707" t="s">
        <v>197</v>
      </c>
      <c r="C380" s="266">
        <v>15133500</v>
      </c>
      <c r="D380" s="134">
        <f>C380/C378*100</f>
        <v>15.1335</v>
      </c>
      <c r="E380" s="134">
        <f t="shared" si="123"/>
        <v>100</v>
      </c>
      <c r="F380" s="134">
        <f t="shared" si="124"/>
        <v>15.1335</v>
      </c>
      <c r="G380" s="6">
        <f>15133500</f>
        <v>15133500</v>
      </c>
      <c r="H380" s="134">
        <f t="shared" si="125"/>
        <v>100</v>
      </c>
      <c r="I380" s="134">
        <f t="shared" si="126"/>
        <v>15.1335</v>
      </c>
      <c r="J380" s="56">
        <v>0</v>
      </c>
      <c r="K380" s="10"/>
      <c r="L380" s="1"/>
      <c r="M380" s="1"/>
      <c r="N380" s="1"/>
    </row>
    <row r="381" spans="1:14" x14ac:dyDescent="0.25">
      <c r="A381" s="74" t="s">
        <v>62</v>
      </c>
      <c r="B381" s="707" t="s">
        <v>334</v>
      </c>
      <c r="C381" s="266">
        <v>4750000</v>
      </c>
      <c r="D381" s="134">
        <f>C381/C378*100</f>
        <v>4.75</v>
      </c>
      <c r="E381" s="134">
        <f t="shared" si="123"/>
        <v>100</v>
      </c>
      <c r="F381" s="134">
        <f t="shared" si="124"/>
        <v>4.75</v>
      </c>
      <c r="G381" s="6">
        <f>4750000</f>
        <v>4750000</v>
      </c>
      <c r="H381" s="134">
        <f t="shared" si="125"/>
        <v>100</v>
      </c>
      <c r="I381" s="134">
        <f t="shared" si="126"/>
        <v>4.75</v>
      </c>
      <c r="J381" s="56">
        <v>0</v>
      </c>
      <c r="K381" s="10"/>
      <c r="L381" s="1"/>
      <c r="M381" s="1"/>
      <c r="N381" s="1"/>
    </row>
    <row r="382" spans="1:14" x14ac:dyDescent="0.25">
      <c r="A382" s="74" t="s">
        <v>77</v>
      </c>
      <c r="B382" s="49" t="s">
        <v>143</v>
      </c>
      <c r="C382" s="266">
        <v>43375000</v>
      </c>
      <c r="D382" s="134">
        <f>C382/C378*100</f>
        <v>43.375</v>
      </c>
      <c r="E382" s="134">
        <f t="shared" si="123"/>
        <v>100</v>
      </c>
      <c r="F382" s="134">
        <f t="shared" si="124"/>
        <v>43.375</v>
      </c>
      <c r="G382" s="6">
        <f>43375000</f>
        <v>43375000</v>
      </c>
      <c r="H382" s="134">
        <f t="shared" si="125"/>
        <v>100</v>
      </c>
      <c r="I382" s="134">
        <f t="shared" si="126"/>
        <v>43.375</v>
      </c>
      <c r="J382" s="56">
        <v>0</v>
      </c>
      <c r="K382" s="10"/>
      <c r="L382" s="1"/>
      <c r="M382" s="1"/>
      <c r="N382" s="1"/>
    </row>
    <row r="383" spans="1:14" x14ac:dyDescent="0.25">
      <c r="A383" s="74" t="s">
        <v>225</v>
      </c>
      <c r="B383" s="49" t="s">
        <v>422</v>
      </c>
      <c r="C383" s="266">
        <v>9600000</v>
      </c>
      <c r="D383" s="134"/>
      <c r="E383" s="134"/>
      <c r="F383" s="134"/>
      <c r="G383" s="6">
        <f>9600000</f>
        <v>9600000</v>
      </c>
      <c r="H383" s="134"/>
      <c r="I383" s="134"/>
      <c r="J383" s="56"/>
      <c r="K383" s="10"/>
      <c r="L383" s="1"/>
      <c r="M383" s="1"/>
      <c r="N383" s="1"/>
    </row>
    <row r="384" spans="1:14" x14ac:dyDescent="0.25">
      <c r="A384" s="74" t="s">
        <v>186</v>
      </c>
      <c r="B384" s="170" t="s">
        <v>182</v>
      </c>
      <c r="C384" s="266">
        <v>7500000</v>
      </c>
      <c r="D384" s="134">
        <f>C384/C378*100</f>
        <v>7.5</v>
      </c>
      <c r="E384" s="134">
        <f t="shared" si="123"/>
        <v>100</v>
      </c>
      <c r="F384" s="134">
        <f t="shared" si="124"/>
        <v>7.5</v>
      </c>
      <c r="G384" s="6">
        <f>7500000</f>
        <v>7500000</v>
      </c>
      <c r="H384" s="134">
        <f t="shared" si="125"/>
        <v>100</v>
      </c>
      <c r="I384" s="134">
        <f t="shared" si="126"/>
        <v>7.5</v>
      </c>
      <c r="J384" s="56">
        <v>0</v>
      </c>
      <c r="K384" s="10"/>
      <c r="L384" s="1"/>
      <c r="M384" s="1"/>
      <c r="N384" s="1"/>
    </row>
    <row r="385" spans="1:14" ht="25.5" x14ac:dyDescent="0.25">
      <c r="A385" s="74" t="s">
        <v>106</v>
      </c>
      <c r="B385" s="316" t="s">
        <v>375</v>
      </c>
      <c r="C385" s="266">
        <v>12150000</v>
      </c>
      <c r="D385" s="134">
        <f>C385/C378*100</f>
        <v>12.15</v>
      </c>
      <c r="E385" s="134">
        <f t="shared" si="123"/>
        <v>100</v>
      </c>
      <c r="F385" s="134">
        <f t="shared" si="124"/>
        <v>12.15</v>
      </c>
      <c r="G385" s="135">
        <f>12150000</f>
        <v>12150000</v>
      </c>
      <c r="H385" s="134">
        <f t="shared" si="125"/>
        <v>100</v>
      </c>
      <c r="I385" s="134">
        <f t="shared" si="126"/>
        <v>12.15</v>
      </c>
      <c r="J385" s="56">
        <v>0</v>
      </c>
      <c r="K385" s="10"/>
      <c r="L385" s="1"/>
      <c r="M385" s="1"/>
      <c r="N385" s="1"/>
    </row>
    <row r="386" spans="1:14" ht="25.5" x14ac:dyDescent="0.25">
      <c r="A386" s="755" t="s">
        <v>116</v>
      </c>
      <c r="B386" s="316" t="s">
        <v>420</v>
      </c>
      <c r="C386" s="266">
        <v>2566500</v>
      </c>
      <c r="D386" s="134">
        <f>C386/C379*100</f>
        <v>52.111675126903556</v>
      </c>
      <c r="E386" s="134"/>
      <c r="F386" s="134"/>
      <c r="G386" s="6">
        <f>2566500</f>
        <v>2566500</v>
      </c>
      <c r="H386" s="134"/>
      <c r="I386" s="134"/>
      <c r="J386" s="56"/>
      <c r="K386" s="10"/>
      <c r="L386" s="1"/>
      <c r="M386" s="1"/>
      <c r="N386" s="1"/>
    </row>
    <row r="387" spans="1:14" x14ac:dyDescent="0.25">
      <c r="A387" s="1152" t="s">
        <v>128</v>
      </c>
      <c r="B387" s="1154"/>
      <c r="C387" s="57" t="s">
        <v>144</v>
      </c>
      <c r="D387" s="273">
        <f>SUM(D379:D385)</f>
        <v>87.833500000000001</v>
      </c>
      <c r="E387" s="134"/>
      <c r="F387" s="134"/>
      <c r="G387" s="13">
        <f>SUM(G379:G386)</f>
        <v>100000000</v>
      </c>
      <c r="H387" s="134"/>
      <c r="I387" s="134"/>
      <c r="J387" s="56">
        <v>0</v>
      </c>
      <c r="K387" s="12"/>
      <c r="L387" s="9"/>
      <c r="M387" s="9"/>
      <c r="N387" s="9"/>
    </row>
    <row r="388" spans="1:14" x14ac:dyDescent="0.25">
      <c r="A388" s="5"/>
      <c r="B388" s="5"/>
      <c r="C388" s="65"/>
      <c r="D388" s="66"/>
      <c r="E388" s="30"/>
      <c r="F388" s="31"/>
      <c r="G388" s="36"/>
      <c r="H388" s="30"/>
      <c r="I388" s="31"/>
      <c r="J388" s="33"/>
      <c r="K388" s="29"/>
      <c r="L388" s="9"/>
      <c r="M388" s="9"/>
      <c r="N388" s="9"/>
    </row>
    <row r="389" spans="1:14" ht="31.5" x14ac:dyDescent="0.25">
      <c r="A389" s="55"/>
      <c r="B389" s="46" t="s">
        <v>145</v>
      </c>
      <c r="C389" s="155"/>
      <c r="D389" s="44"/>
      <c r="E389" s="45"/>
      <c r="F389" s="45"/>
      <c r="G389" s="48"/>
      <c r="H389" s="45"/>
      <c r="I389" s="45"/>
      <c r="J389" s="44"/>
      <c r="K389" s="44"/>
      <c r="L389" s="1"/>
      <c r="M389" s="1"/>
      <c r="N389" s="1"/>
    </row>
    <row r="390" spans="1:14" x14ac:dyDescent="0.25">
      <c r="A390" s="1119" t="s">
        <v>2</v>
      </c>
      <c r="B390" s="1120" t="s">
        <v>171</v>
      </c>
      <c r="C390" s="1119" t="s">
        <v>4</v>
      </c>
      <c r="D390" s="1121" t="s">
        <v>5</v>
      </c>
      <c r="E390" s="1132"/>
      <c r="F390" s="1132"/>
      <c r="G390" s="1122" t="s">
        <v>6</v>
      </c>
      <c r="H390" s="1132"/>
      <c r="I390" s="1132"/>
      <c r="J390" s="1119" t="s">
        <v>7</v>
      </c>
      <c r="K390" s="289" t="s">
        <v>8</v>
      </c>
      <c r="L390" s="1"/>
      <c r="M390" s="1"/>
    </row>
    <row r="391" spans="1:14" x14ac:dyDescent="0.25">
      <c r="A391" s="1119"/>
      <c r="B391" s="1120"/>
      <c r="C391" s="1119"/>
      <c r="D391" s="289" t="s">
        <v>9</v>
      </c>
      <c r="E391" s="308" t="s">
        <v>10</v>
      </c>
      <c r="F391" s="308" t="s">
        <v>11</v>
      </c>
      <c r="G391" s="309" t="s">
        <v>12</v>
      </c>
      <c r="H391" s="308" t="s">
        <v>13</v>
      </c>
      <c r="I391" s="308" t="s">
        <v>11</v>
      </c>
      <c r="J391" s="1123"/>
      <c r="K391" s="115"/>
      <c r="L391" s="1"/>
      <c r="M391" s="1"/>
    </row>
    <row r="392" spans="1:14" x14ac:dyDescent="0.25">
      <c r="A392" s="1119"/>
      <c r="B392" s="1120"/>
      <c r="C392" s="1119"/>
      <c r="D392" s="118" t="s">
        <v>14</v>
      </c>
      <c r="E392" s="119" t="s">
        <v>14</v>
      </c>
      <c r="F392" s="119" t="s">
        <v>14</v>
      </c>
      <c r="G392" s="120" t="s">
        <v>15</v>
      </c>
      <c r="H392" s="119" t="s">
        <v>14</v>
      </c>
      <c r="I392" s="119" t="s">
        <v>14</v>
      </c>
      <c r="J392" s="118" t="s">
        <v>15</v>
      </c>
      <c r="K392" s="118"/>
      <c r="L392" s="1"/>
      <c r="M392" s="1"/>
    </row>
    <row r="393" spans="1:14" x14ac:dyDescent="0.25">
      <c r="A393" s="79" t="s">
        <v>185</v>
      </c>
      <c r="B393" s="199" t="s">
        <v>146</v>
      </c>
      <c r="C393" s="24"/>
      <c r="D393" s="10"/>
      <c r="E393" s="34"/>
      <c r="F393" s="34"/>
      <c r="G393" s="6"/>
      <c r="H393" s="34"/>
      <c r="I393" s="34"/>
      <c r="J393" s="10"/>
      <c r="K393" s="10"/>
      <c r="L393" s="1"/>
      <c r="M393" s="25"/>
    </row>
    <row r="394" spans="1:14" x14ac:dyDescent="0.25">
      <c r="A394" s="125" t="s">
        <v>184</v>
      </c>
      <c r="B394" s="280" t="s">
        <v>147</v>
      </c>
      <c r="C394" s="252">
        <f>SUM(C395:C397)</f>
        <v>5013255000</v>
      </c>
      <c r="D394" s="10"/>
      <c r="E394" s="34"/>
      <c r="F394" s="34"/>
      <c r="G394" s="6"/>
      <c r="H394" s="34"/>
      <c r="I394" s="34"/>
      <c r="J394" s="10"/>
      <c r="K394" s="10"/>
      <c r="L394" s="1"/>
      <c r="M394" s="1"/>
    </row>
    <row r="395" spans="1:14" ht="25.5" x14ac:dyDescent="0.25">
      <c r="A395" s="154" t="s">
        <v>44</v>
      </c>
      <c r="B395" s="707" t="s">
        <v>384</v>
      </c>
      <c r="C395" s="253">
        <v>33130000</v>
      </c>
      <c r="D395" s="134">
        <f>C395/C394*100</f>
        <v>0.6608480917088797</v>
      </c>
      <c r="E395" s="134">
        <f t="shared" ref="E395:E397" si="127">G395/C395*100</f>
        <v>100</v>
      </c>
      <c r="F395" s="134">
        <f t="shared" ref="F395:F397" si="128">(D395*E395)/100</f>
        <v>0.6608480917088797</v>
      </c>
      <c r="G395" s="135">
        <f>33130000</f>
        <v>33130000</v>
      </c>
      <c r="H395" s="134">
        <f t="shared" ref="H395:H397" si="129">G395/C395*100</f>
        <v>100</v>
      </c>
      <c r="I395" s="134">
        <f t="shared" ref="I395:I397" si="130">(D395*H395)/100</f>
        <v>0.6608480917088797</v>
      </c>
      <c r="J395" s="56">
        <v>0</v>
      </c>
      <c r="K395" s="10"/>
      <c r="L395" s="1"/>
      <c r="M395" s="1"/>
    </row>
    <row r="396" spans="1:14" x14ac:dyDescent="0.25">
      <c r="A396" s="154" t="s">
        <v>413</v>
      </c>
      <c r="B396" s="707" t="s">
        <v>414</v>
      </c>
      <c r="C396" s="253">
        <v>125000</v>
      </c>
      <c r="D396" s="134">
        <f>C396/C395*100</f>
        <v>0.37730153939028072</v>
      </c>
      <c r="E396" s="134"/>
      <c r="F396" s="134"/>
      <c r="G396" s="135">
        <v>125000</v>
      </c>
      <c r="H396" s="134"/>
      <c r="I396" s="134"/>
      <c r="J396" s="56"/>
      <c r="K396" s="10"/>
      <c r="L396" s="1"/>
      <c r="M396" s="1"/>
    </row>
    <row r="397" spans="1:14" ht="25.5" x14ac:dyDescent="0.25">
      <c r="A397" s="124" t="s">
        <v>148</v>
      </c>
      <c r="B397" s="133" t="s">
        <v>256</v>
      </c>
      <c r="C397" s="256">
        <v>4980000000</v>
      </c>
      <c r="D397" s="134">
        <f>C397/C394*100</f>
        <v>99.336658518268067</v>
      </c>
      <c r="E397" s="134">
        <f t="shared" si="127"/>
        <v>99.935723694779128</v>
      </c>
      <c r="F397" s="134">
        <f t="shared" si="128"/>
        <v>99.272808584442643</v>
      </c>
      <c r="G397" s="135">
        <f>1617695000+3359104040</f>
        <v>4976799040</v>
      </c>
      <c r="H397" s="134">
        <f t="shared" si="129"/>
        <v>99.935723694779128</v>
      </c>
      <c r="I397" s="134">
        <f t="shared" si="130"/>
        <v>99.272808584442643</v>
      </c>
      <c r="J397" s="56">
        <f>3200960</f>
        <v>3200960</v>
      </c>
      <c r="K397" s="10"/>
      <c r="L397" s="1"/>
      <c r="M397" s="1"/>
    </row>
    <row r="398" spans="1:14" x14ac:dyDescent="0.25">
      <c r="A398" s="72"/>
      <c r="B398" s="136" t="s">
        <v>154</v>
      </c>
      <c r="C398" s="132"/>
      <c r="D398" s="271">
        <f>SUM(D395:D397)</f>
        <v>100.37480814936723</v>
      </c>
      <c r="E398" s="134"/>
      <c r="F398" s="134"/>
      <c r="G398" s="137">
        <f>SUM(G395:G397)</f>
        <v>5010054040</v>
      </c>
      <c r="H398" s="134"/>
      <c r="I398" s="134"/>
      <c r="J398" s="734">
        <f>3200960</f>
        <v>3200960</v>
      </c>
      <c r="K398" s="130"/>
      <c r="L398" s="1"/>
      <c r="M398" s="1"/>
    </row>
    <row r="399" spans="1:14" x14ac:dyDescent="0.25">
      <c r="A399" s="5"/>
      <c r="B399" s="5"/>
      <c r="C399" s="65"/>
      <c r="D399" s="66"/>
      <c r="E399" s="30"/>
      <c r="F399" s="31"/>
      <c r="G399" s="36"/>
      <c r="H399" s="30"/>
      <c r="I399" s="31"/>
      <c r="J399" s="33"/>
      <c r="K399" s="29"/>
      <c r="L399" s="9"/>
      <c r="M399" s="9"/>
      <c r="N399" s="9"/>
    </row>
    <row r="400" spans="1:14" x14ac:dyDescent="0.25">
      <c r="A400" s="1119" t="s">
        <v>2</v>
      </c>
      <c r="B400" s="1120" t="s">
        <v>171</v>
      </c>
      <c r="C400" s="1119" t="s">
        <v>4</v>
      </c>
      <c r="D400" s="1121" t="s">
        <v>5</v>
      </c>
      <c r="E400" s="1132"/>
      <c r="F400" s="1132"/>
      <c r="G400" s="1122" t="s">
        <v>6</v>
      </c>
      <c r="H400" s="1132"/>
      <c r="I400" s="1132"/>
      <c r="J400" s="1119" t="s">
        <v>7</v>
      </c>
      <c r="K400" s="289" t="s">
        <v>8</v>
      </c>
      <c r="L400" s="1"/>
      <c r="M400" s="1"/>
    </row>
    <row r="401" spans="1:13" x14ac:dyDescent="0.25">
      <c r="A401" s="1119"/>
      <c r="B401" s="1120"/>
      <c r="C401" s="1119"/>
      <c r="D401" s="289" t="s">
        <v>9</v>
      </c>
      <c r="E401" s="308" t="s">
        <v>10</v>
      </c>
      <c r="F401" s="308" t="s">
        <v>11</v>
      </c>
      <c r="G401" s="309" t="s">
        <v>12</v>
      </c>
      <c r="H401" s="308" t="s">
        <v>13</v>
      </c>
      <c r="I401" s="308" t="s">
        <v>11</v>
      </c>
      <c r="J401" s="1123"/>
      <c r="K401" s="115"/>
      <c r="L401" s="1"/>
      <c r="M401" s="1"/>
    </row>
    <row r="402" spans="1:13" x14ac:dyDescent="0.25">
      <c r="A402" s="1119"/>
      <c r="B402" s="1120"/>
      <c r="C402" s="1119"/>
      <c r="D402" s="118" t="s">
        <v>14</v>
      </c>
      <c r="E402" s="119" t="s">
        <v>14</v>
      </c>
      <c r="F402" s="119" t="s">
        <v>14</v>
      </c>
      <c r="G402" s="120" t="s">
        <v>15</v>
      </c>
      <c r="H402" s="119" t="s">
        <v>14</v>
      </c>
      <c r="I402" s="119" t="s">
        <v>14</v>
      </c>
      <c r="J402" s="118" t="s">
        <v>15</v>
      </c>
      <c r="K402" s="118"/>
      <c r="L402" s="1"/>
      <c r="M402" s="1"/>
    </row>
    <row r="403" spans="1:13" x14ac:dyDescent="0.25">
      <c r="A403" s="79" t="s">
        <v>185</v>
      </c>
      <c r="B403" s="199" t="s">
        <v>146</v>
      </c>
      <c r="C403" s="24"/>
      <c r="D403" s="10"/>
      <c r="E403" s="34"/>
      <c r="F403" s="34"/>
      <c r="G403" s="6"/>
      <c r="H403" s="34"/>
      <c r="I403" s="34"/>
      <c r="J403" s="10"/>
      <c r="K403" s="10"/>
      <c r="L403" s="1"/>
      <c r="M403" s="1"/>
    </row>
    <row r="404" spans="1:13" x14ac:dyDescent="0.25">
      <c r="A404" s="125" t="s">
        <v>187</v>
      </c>
      <c r="B404" s="280" t="s">
        <v>164</v>
      </c>
      <c r="C404" s="252">
        <f>SUM(C405:C409)</f>
        <v>4349255000</v>
      </c>
      <c r="D404" s="10"/>
      <c r="E404" s="34"/>
      <c r="F404" s="34"/>
      <c r="G404" s="6"/>
      <c r="H404" s="34"/>
      <c r="I404" s="34"/>
      <c r="J404" s="10"/>
      <c r="K404" s="10"/>
      <c r="L404" s="1"/>
      <c r="M404" s="1"/>
    </row>
    <row r="405" spans="1:13" ht="25.5" x14ac:dyDescent="0.25">
      <c r="A405" s="154" t="s">
        <v>44</v>
      </c>
      <c r="B405" s="707" t="s">
        <v>384</v>
      </c>
      <c r="C405" s="253">
        <v>32745000</v>
      </c>
      <c r="D405" s="134">
        <f>C405/C404*100</f>
        <v>0.75288756350225505</v>
      </c>
      <c r="E405" s="134">
        <f t="shared" ref="E405:E409" si="131">G405/C405*100</f>
        <v>100</v>
      </c>
      <c r="F405" s="134">
        <f t="shared" ref="F405:F409" si="132">(D405*E405)/100</f>
        <v>0.75288756350225516</v>
      </c>
      <c r="G405" s="135">
        <f>32745000</f>
        <v>32745000</v>
      </c>
      <c r="H405" s="134">
        <f t="shared" ref="H405:H409" si="133">G405/C405*100</f>
        <v>100</v>
      </c>
      <c r="I405" s="134">
        <f t="shared" ref="I405:I409" si="134">(D405*H405)/100</f>
        <v>0.75288756350225516</v>
      </c>
      <c r="J405" s="56">
        <v>0</v>
      </c>
      <c r="K405" s="10"/>
      <c r="L405" s="1"/>
      <c r="M405" s="1"/>
    </row>
    <row r="406" spans="1:13" x14ac:dyDescent="0.25">
      <c r="A406" s="154" t="s">
        <v>415</v>
      </c>
      <c r="B406" s="707" t="s">
        <v>416</v>
      </c>
      <c r="C406" s="253">
        <v>160000</v>
      </c>
      <c r="D406" s="134"/>
      <c r="E406" s="134"/>
      <c r="F406" s="134"/>
      <c r="G406" s="135">
        <f>160000</f>
        <v>160000</v>
      </c>
      <c r="H406" s="134"/>
      <c r="I406" s="134"/>
      <c r="J406" s="56"/>
      <c r="K406" s="10"/>
      <c r="L406" s="1"/>
      <c r="M406" s="1"/>
    </row>
    <row r="407" spans="1:13" x14ac:dyDescent="0.25">
      <c r="A407" s="154" t="s">
        <v>413</v>
      </c>
      <c r="B407" s="707" t="s">
        <v>414</v>
      </c>
      <c r="C407" s="253">
        <v>350000</v>
      </c>
      <c r="D407" s="134"/>
      <c r="E407" s="134"/>
      <c r="F407" s="134"/>
      <c r="G407" s="135">
        <f>350000</f>
        <v>350000</v>
      </c>
      <c r="H407" s="134"/>
      <c r="I407" s="134"/>
      <c r="J407" s="56"/>
      <c r="K407" s="10"/>
      <c r="L407" s="1"/>
      <c r="M407" s="1"/>
    </row>
    <row r="408" spans="1:13" ht="25.5" x14ac:dyDescent="0.25">
      <c r="A408" s="124" t="s">
        <v>148</v>
      </c>
      <c r="B408" s="133" t="s">
        <v>165</v>
      </c>
      <c r="C408" s="256">
        <v>3320000000</v>
      </c>
      <c r="D408" s="134">
        <f>C408/C404*100</f>
        <v>76.334912530996689</v>
      </c>
      <c r="E408" s="134">
        <f t="shared" si="131"/>
        <v>97.418768072289154</v>
      </c>
      <c r="F408" s="134">
        <f t="shared" si="132"/>
        <v>74.364531396756462</v>
      </c>
      <c r="G408" s="135">
        <f>334415600+2899887500</f>
        <v>3234303100</v>
      </c>
      <c r="H408" s="134">
        <f t="shared" si="133"/>
        <v>97.418768072289154</v>
      </c>
      <c r="I408" s="134">
        <f t="shared" si="134"/>
        <v>74.364531396756462</v>
      </c>
      <c r="J408" s="56">
        <f>85696900</f>
        <v>85696900</v>
      </c>
      <c r="K408" s="10"/>
    </row>
    <row r="409" spans="1:13" s="84" customFormat="1" ht="25.5" x14ac:dyDescent="0.25">
      <c r="A409" s="124" t="s">
        <v>152</v>
      </c>
      <c r="B409" s="133" t="s">
        <v>166</v>
      </c>
      <c r="C409" s="256">
        <v>996000000</v>
      </c>
      <c r="D409" s="134">
        <f>C409/C404*100</f>
        <v>22.900473759299008</v>
      </c>
      <c r="E409" s="134">
        <f t="shared" si="131"/>
        <v>100</v>
      </c>
      <c r="F409" s="134">
        <f t="shared" si="132"/>
        <v>22.900473759299008</v>
      </c>
      <c r="G409" s="135">
        <f>996000000</f>
        <v>996000000</v>
      </c>
      <c r="H409" s="134">
        <f t="shared" si="133"/>
        <v>100</v>
      </c>
      <c r="I409" s="134">
        <f t="shared" si="134"/>
        <v>22.900473759299008</v>
      </c>
      <c r="J409" s="56">
        <v>0</v>
      </c>
      <c r="K409" s="38"/>
    </row>
    <row r="410" spans="1:13" x14ac:dyDescent="0.25">
      <c r="A410" s="70"/>
      <c r="B410" s="129" t="s">
        <v>95</v>
      </c>
      <c r="C410" s="51"/>
      <c r="D410" s="271">
        <f>SUM(D405:D409)</f>
        <v>99.988273853797949</v>
      </c>
      <c r="E410" s="134"/>
      <c r="F410" s="134"/>
      <c r="G410" s="137">
        <f>SUM(G405:G409)</f>
        <v>4263558100</v>
      </c>
      <c r="H410" s="134"/>
      <c r="I410" s="134"/>
      <c r="J410" s="780">
        <f>SUM(J407:J408)</f>
        <v>85696900</v>
      </c>
      <c r="K410" s="130"/>
    </row>
    <row r="411" spans="1:13" x14ac:dyDescent="0.25">
      <c r="J411" s="779"/>
    </row>
    <row r="413" spans="1:13" x14ac:dyDescent="0.25">
      <c r="A413" s="50"/>
      <c r="B413" s="5"/>
      <c r="C413" s="50"/>
      <c r="D413" s="29"/>
      <c r="E413" s="30"/>
      <c r="F413" s="31"/>
      <c r="G413" s="36"/>
      <c r="H413" s="32"/>
      <c r="I413" s="31"/>
      <c r="J413" s="36"/>
      <c r="K413" s="37"/>
    </row>
    <row r="414" spans="1:13" x14ac:dyDescent="0.25">
      <c r="A414" s="1"/>
      <c r="B414" s="16" t="s">
        <v>363</v>
      </c>
      <c r="C414" s="61"/>
      <c r="D414" s="1"/>
      <c r="E414" s="1"/>
      <c r="F414" s="1"/>
      <c r="G414" s="1"/>
      <c r="H414" s="1"/>
      <c r="I414" s="18" t="s">
        <v>442</v>
      </c>
      <c r="J414" s="17"/>
      <c r="K414" s="1"/>
    </row>
    <row r="415" spans="1:13" x14ac:dyDescent="0.25">
      <c r="A415" s="1"/>
      <c r="B415" s="19"/>
      <c r="C415" s="62"/>
      <c r="D415" s="1"/>
      <c r="E415" s="1"/>
      <c r="F415" s="1"/>
      <c r="G415" s="1"/>
      <c r="H415" s="1"/>
      <c r="I415" s="63"/>
      <c r="J415" s="16"/>
      <c r="K415" s="1"/>
    </row>
    <row r="416" spans="1:13" x14ac:dyDescent="0.25">
      <c r="A416" s="1"/>
      <c r="B416" s="19"/>
      <c r="C416" s="62"/>
      <c r="D416" s="1"/>
      <c r="E416" s="1"/>
      <c r="F416" s="1"/>
      <c r="G416" s="1"/>
      <c r="H416" s="1"/>
      <c r="I416" s="63"/>
      <c r="J416" s="16"/>
      <c r="K416" s="1"/>
    </row>
    <row r="417" spans="1:14" x14ac:dyDescent="0.25">
      <c r="A417" s="1"/>
      <c r="B417" s="19"/>
      <c r="C417" s="62"/>
      <c r="D417" s="1"/>
      <c r="E417" s="1"/>
      <c r="F417" s="1"/>
      <c r="G417" s="1"/>
      <c r="H417" s="1"/>
      <c r="I417" s="18"/>
      <c r="J417" s="19"/>
      <c r="K417" s="1"/>
    </row>
    <row r="418" spans="1:14" x14ac:dyDescent="0.25">
      <c r="A418" s="1"/>
      <c r="B418" s="75" t="s">
        <v>440</v>
      </c>
      <c r="C418" s="21"/>
      <c r="D418" s="1"/>
      <c r="E418" s="1"/>
      <c r="F418" s="1"/>
      <c r="G418" s="1"/>
      <c r="H418" s="1"/>
      <c r="I418" s="20"/>
      <c r="J418" s="21"/>
      <c r="K418" s="1"/>
    </row>
    <row r="419" spans="1:14" x14ac:dyDescent="0.25">
      <c r="A419" s="1"/>
      <c r="B419" s="739" t="s">
        <v>441</v>
      </c>
      <c r="C419" s="19"/>
      <c r="D419" s="1"/>
      <c r="E419" s="1"/>
      <c r="F419" s="1"/>
      <c r="G419" s="1"/>
      <c r="H419" s="1"/>
      <c r="I419" s="22"/>
      <c r="J419" s="19"/>
      <c r="K419" s="1"/>
    </row>
    <row r="420" spans="1:14" x14ac:dyDescent="0.25">
      <c r="A420" s="5"/>
      <c r="B420" s="5"/>
      <c r="C420" s="65"/>
      <c r="D420" s="66"/>
      <c r="E420" s="30"/>
      <c r="F420" s="31"/>
      <c r="G420" s="36"/>
      <c r="H420" s="30"/>
      <c r="I420" s="31"/>
      <c r="J420" s="33"/>
      <c r="K420" s="29"/>
      <c r="L420" s="9"/>
      <c r="M420" s="9"/>
      <c r="N420" s="9"/>
    </row>
  </sheetData>
  <mergeCells count="149">
    <mergeCell ref="J390:J391"/>
    <mergeCell ref="A400:A402"/>
    <mergeCell ref="B400:B402"/>
    <mergeCell ref="C400:C402"/>
    <mergeCell ref="D400:F400"/>
    <mergeCell ref="G400:I400"/>
    <mergeCell ref="J400:J401"/>
    <mergeCell ref="A387:B387"/>
    <mergeCell ref="A390:A392"/>
    <mergeCell ref="B390:B392"/>
    <mergeCell ref="C390:C392"/>
    <mergeCell ref="D390:F390"/>
    <mergeCell ref="G390:I390"/>
    <mergeCell ref="A374:A376"/>
    <mergeCell ref="B374:B376"/>
    <mergeCell ref="C374:C376"/>
    <mergeCell ref="D374:F374"/>
    <mergeCell ref="G374:I374"/>
    <mergeCell ref="J374:J375"/>
    <mergeCell ref="A363:A365"/>
    <mergeCell ref="B363:B365"/>
    <mergeCell ref="C363:C365"/>
    <mergeCell ref="D363:F363"/>
    <mergeCell ref="G363:I363"/>
    <mergeCell ref="J363:J364"/>
    <mergeCell ref="A354:A356"/>
    <mergeCell ref="B354:B356"/>
    <mergeCell ref="C354:C356"/>
    <mergeCell ref="D354:F354"/>
    <mergeCell ref="G354:I354"/>
    <mergeCell ref="J354:J355"/>
    <mergeCell ref="A336:A338"/>
    <mergeCell ref="B336:B338"/>
    <mergeCell ref="D336:F336"/>
    <mergeCell ref="G336:I336"/>
    <mergeCell ref="J336:J337"/>
    <mergeCell ref="A351:C351"/>
    <mergeCell ref="A323:A325"/>
    <mergeCell ref="B323:B325"/>
    <mergeCell ref="C323:C325"/>
    <mergeCell ref="D323:F323"/>
    <mergeCell ref="G323:I323"/>
    <mergeCell ref="J323:J324"/>
    <mergeCell ref="K290:K292"/>
    <mergeCell ref="A313:A315"/>
    <mergeCell ref="B313:B315"/>
    <mergeCell ref="C313:C315"/>
    <mergeCell ref="D313:F313"/>
    <mergeCell ref="G313:I313"/>
    <mergeCell ref="J313:J314"/>
    <mergeCell ref="A290:A292"/>
    <mergeCell ref="B290:B292"/>
    <mergeCell ref="C290:C292"/>
    <mergeCell ref="D290:F290"/>
    <mergeCell ref="G290:I290"/>
    <mergeCell ref="J290:J291"/>
    <mergeCell ref="A279:A281"/>
    <mergeCell ref="B279:B281"/>
    <mergeCell ref="C279:C281"/>
    <mergeCell ref="D279:F279"/>
    <mergeCell ref="G279:I279"/>
    <mergeCell ref="J279:J280"/>
    <mergeCell ref="K248:K250"/>
    <mergeCell ref="A270:A272"/>
    <mergeCell ref="B270:B272"/>
    <mergeCell ref="C270:C272"/>
    <mergeCell ref="D270:F270"/>
    <mergeCell ref="G270:I270"/>
    <mergeCell ref="J270:J271"/>
    <mergeCell ref="A248:A250"/>
    <mergeCell ref="B248:B250"/>
    <mergeCell ref="C248:C250"/>
    <mergeCell ref="D248:F248"/>
    <mergeCell ref="G248:I248"/>
    <mergeCell ref="J248:J249"/>
    <mergeCell ref="J225:J226"/>
    <mergeCell ref="A235:A237"/>
    <mergeCell ref="B235:B237"/>
    <mergeCell ref="C235:C237"/>
    <mergeCell ref="D235:F235"/>
    <mergeCell ref="G235:I235"/>
    <mergeCell ref="J235:J236"/>
    <mergeCell ref="A206:A208"/>
    <mergeCell ref="B206:B208"/>
    <mergeCell ref="D206:F206"/>
    <mergeCell ref="G206:I206"/>
    <mergeCell ref="J206:J207"/>
    <mergeCell ref="A225:A227"/>
    <mergeCell ref="B225:B227"/>
    <mergeCell ref="C225:C227"/>
    <mergeCell ref="D225:F225"/>
    <mergeCell ref="G225:I225"/>
    <mergeCell ref="A195:A197"/>
    <mergeCell ref="B195:B197"/>
    <mergeCell ref="C195:C197"/>
    <mergeCell ref="D195:F195"/>
    <mergeCell ref="G195:I195"/>
    <mergeCell ref="J195:J196"/>
    <mergeCell ref="A186:A188"/>
    <mergeCell ref="B186:B188"/>
    <mergeCell ref="C186:C188"/>
    <mergeCell ref="D186:F186"/>
    <mergeCell ref="G186:I186"/>
    <mergeCell ref="J186:J187"/>
    <mergeCell ref="A169:A171"/>
    <mergeCell ref="B169:B171"/>
    <mergeCell ref="C169:C171"/>
    <mergeCell ref="D169:F169"/>
    <mergeCell ref="G169:I169"/>
    <mergeCell ref="J169:J170"/>
    <mergeCell ref="A158:A160"/>
    <mergeCell ref="B158:B160"/>
    <mergeCell ref="C158:C160"/>
    <mergeCell ref="D158:F158"/>
    <mergeCell ref="G158:I158"/>
    <mergeCell ref="J158:J159"/>
    <mergeCell ref="K132:K134"/>
    <mergeCell ref="A145:B145"/>
    <mergeCell ref="A148:A150"/>
    <mergeCell ref="B148:B150"/>
    <mergeCell ref="C148:C150"/>
    <mergeCell ref="D148:F148"/>
    <mergeCell ref="G148:I148"/>
    <mergeCell ref="J148:J149"/>
    <mergeCell ref="A129:C129"/>
    <mergeCell ref="A132:A134"/>
    <mergeCell ref="B132:B134"/>
    <mergeCell ref="D132:F132"/>
    <mergeCell ref="G132:I132"/>
    <mergeCell ref="J132:J133"/>
    <mergeCell ref="A91:C91"/>
    <mergeCell ref="A93:K93"/>
    <mergeCell ref="A94:K94"/>
    <mergeCell ref="A95:K95"/>
    <mergeCell ref="A96:A98"/>
    <mergeCell ref="B96:B98"/>
    <mergeCell ref="C96:C98"/>
    <mergeCell ref="D96:F96"/>
    <mergeCell ref="G96:I96"/>
    <mergeCell ref="J96:J97"/>
    <mergeCell ref="A1:K1"/>
    <mergeCell ref="A2:K2"/>
    <mergeCell ref="A3:K3"/>
    <mergeCell ref="A5:A7"/>
    <mergeCell ref="B5:B7"/>
    <mergeCell ref="C5:C7"/>
    <mergeCell ref="D5:F5"/>
    <mergeCell ref="G5:I5"/>
    <mergeCell ref="J5:J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48"/>
  <sheetViews>
    <sheetView workbookViewId="0">
      <selection activeCell="O12" sqref="O12"/>
    </sheetView>
  </sheetViews>
  <sheetFormatPr defaultRowHeight="15" x14ac:dyDescent="0.25"/>
  <cols>
    <col min="1" max="1" width="13.7109375" customWidth="1"/>
    <col min="2" max="2" width="51.7109375" customWidth="1"/>
    <col min="3" max="3" width="13.42578125" customWidth="1"/>
    <col min="4" max="4" width="6.42578125" customWidth="1"/>
    <col min="5" max="5" width="5.85546875" customWidth="1"/>
    <col min="6" max="6" width="9.28515625" customWidth="1"/>
    <col min="7" max="7" width="12.140625" customWidth="1"/>
    <col min="8" max="8" width="7.28515625" customWidth="1"/>
    <col min="9" max="9" width="9.140625" customWidth="1"/>
    <col min="10" max="10" width="14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173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769" t="s">
        <v>1</v>
      </c>
      <c r="B4" s="769"/>
      <c r="C4" s="769"/>
      <c r="D4" s="769"/>
      <c r="E4" s="770"/>
      <c r="F4" s="770"/>
      <c r="G4" s="47"/>
      <c r="H4" s="770"/>
      <c r="I4" s="770"/>
      <c r="J4" s="769"/>
      <c r="K4" s="769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C10+C28+C51+C71+C78</f>
        <v>14442351744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>
        <f>C11+C16+C21+C29+C39+C44+C52+C54+C57+C62+C64+C68+C72+C76+C79+C85+C89+C91</f>
        <v>14442351744</v>
      </c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/>
      <c r="H12" s="161"/>
      <c r="I12" s="161"/>
      <c r="J12" s="6">
        <f>G12-C12</f>
        <v>-1150000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0</v>
      </c>
      <c r="F13" s="134">
        <f>(D13*E13)/100</f>
        <v>0</v>
      </c>
      <c r="G13" s="6">
        <v>0</v>
      </c>
      <c r="H13" s="134">
        <f>G13/C13*100</f>
        <v>0</v>
      </c>
      <c r="I13" s="134">
        <f>(D13*H13)/100</f>
        <v>0</v>
      </c>
      <c r="J13" s="6">
        <f t="shared" ref="J13:J15" si="0">G13-C13</f>
        <v>-4430000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v>0</v>
      </c>
      <c r="H14" s="134"/>
      <c r="I14" s="134"/>
      <c r="J14" s="6">
        <f t="shared" si="0"/>
        <v>-4320000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v>0</v>
      </c>
      <c r="H15" s="134"/>
      <c r="I15" s="134"/>
      <c r="J15" s="6">
        <f t="shared" si="0"/>
        <v>-20100000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v>0</v>
      </c>
      <c r="H18" s="134"/>
      <c r="I18" s="134"/>
      <c r="J18" s="6">
        <f t="shared" si="1"/>
        <v>-4720000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v>0</v>
      </c>
      <c r="H19" s="134"/>
      <c r="I19" s="134"/>
      <c r="J19" s="6">
        <f t="shared" si="1"/>
        <v>-5730000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v>0</v>
      </c>
      <c r="H20" s="134"/>
      <c r="I20" s="134"/>
      <c r="J20" s="6">
        <f t="shared" si="1"/>
        <v>-9380000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v>0</v>
      </c>
      <c r="H22" s="742"/>
      <c r="I22" s="742"/>
      <c r="J22" s="6">
        <f t="shared" ref="J22:J27" si="2">G22-C22</f>
        <v>-2310000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0</v>
      </c>
      <c r="F24" s="134">
        <f t="shared" ref="F24:F26" si="3">(D24*E24)/100</f>
        <v>0</v>
      </c>
      <c r="G24" s="6">
        <v>0</v>
      </c>
      <c r="H24" s="134">
        <f t="shared" ref="H24:H26" si="4">G24/C24*100</f>
        <v>0</v>
      </c>
      <c r="I24" s="134">
        <f t="shared" ref="I24:I26" si="5">(D24*H24)/100</f>
        <v>0</v>
      </c>
      <c r="J24" s="6">
        <f t="shared" si="2"/>
        <v>-5459000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0</v>
      </c>
      <c r="F25" s="134">
        <f t="shared" si="3"/>
        <v>0</v>
      </c>
      <c r="G25" s="6">
        <v>0</v>
      </c>
      <c r="H25" s="134">
        <f t="shared" si="4"/>
        <v>0</v>
      </c>
      <c r="I25" s="134">
        <f t="shared" si="5"/>
        <v>0</v>
      </c>
      <c r="J25" s="6">
        <f t="shared" si="2"/>
        <v>-9661000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0</v>
      </c>
      <c r="F26" s="134">
        <f t="shared" si="3"/>
        <v>0</v>
      </c>
      <c r="G26" s="6">
        <v>0</v>
      </c>
      <c r="H26" s="134">
        <f t="shared" si="4"/>
        <v>0</v>
      </c>
      <c r="I26" s="134">
        <f t="shared" si="5"/>
        <v>0</v>
      </c>
      <c r="J26" s="6">
        <f t="shared" si="2"/>
        <v>-14400000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v>0</v>
      </c>
      <c r="H27" s="134"/>
      <c r="I27" s="134"/>
      <c r="J27" s="6">
        <f t="shared" si="2"/>
        <v>-18000000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SUM(C30:C38)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5307521700</v>
      </c>
      <c r="D30" s="200">
        <f>C30/C29*100</f>
        <v>45.312528533916776</v>
      </c>
      <c r="E30" s="134">
        <f>G30/C30*100</f>
        <v>5.9987451393745594</v>
      </c>
      <c r="F30" s="134">
        <f t="shared" ref="F30:F38" si="6">(D30*E30)/100</f>
        <v>2.718183102956043</v>
      </c>
      <c r="G30" s="6">
        <f>318384700</f>
        <v>318384700</v>
      </c>
      <c r="H30" s="134">
        <f>G30/C30*100</f>
        <v>5.9987451393745594</v>
      </c>
      <c r="I30" s="134">
        <f t="shared" ref="I30:I38" si="7">(D30*H30)/100</f>
        <v>2.718183102956043</v>
      </c>
      <c r="J30" s="6">
        <f t="shared" ref="J30:J38" si="8">G30-C30</f>
        <v>-4989137000</v>
      </c>
      <c r="K30" s="163"/>
      <c r="L30" s="4"/>
      <c r="M30" s="11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8" si="9">G31/C31*100</f>
        <v>4.415263099873969</v>
      </c>
      <c r="F31" s="134">
        <f t="shared" si="6"/>
        <v>0.26568501250356269</v>
      </c>
      <c r="G31" s="6">
        <f>31120068</f>
        <v>31120068</v>
      </c>
      <c r="H31" s="134">
        <f t="shared" ref="H31:H38" si="10">G31/C31*100</f>
        <v>4.415263099873969</v>
      </c>
      <c r="I31" s="134">
        <f t="shared" si="7"/>
        <v>0.26568501250356269</v>
      </c>
      <c r="J31" s="6">
        <f t="shared" si="8"/>
        <v>-673709232</v>
      </c>
      <c r="K31" s="163"/>
      <c r="L31" s="4"/>
      <c r="M31" s="11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5.8499792839809039</v>
      </c>
      <c r="F32" s="134">
        <f t="shared" si="6"/>
        <v>0.19576298280282331</v>
      </c>
      <c r="G32" s="6">
        <f>22930000</f>
        <v>22930000</v>
      </c>
      <c r="H32" s="134">
        <f t="shared" si="10"/>
        <v>5.8499792839809039</v>
      </c>
      <c r="I32" s="134">
        <f t="shared" si="7"/>
        <v>0.19576298280282331</v>
      </c>
      <c r="J32" s="6">
        <f t="shared" si="8"/>
        <v>-369037200</v>
      </c>
      <c r="K32" s="163"/>
      <c r="L32" s="4"/>
      <c r="M32" s="11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2.8506787330316743</v>
      </c>
      <c r="F33" s="134">
        <f t="shared" si="6"/>
        <v>1.0757146024053962E-2</v>
      </c>
      <c r="G33" s="6">
        <f>1260000</f>
        <v>1260000</v>
      </c>
      <c r="H33" s="134">
        <f t="shared" si="10"/>
        <v>2.8506787330316743</v>
      </c>
      <c r="I33" s="134">
        <f t="shared" si="7"/>
        <v>1.0757146024053962E-2</v>
      </c>
      <c r="J33" s="6">
        <f t="shared" si="8"/>
        <v>-42940000</v>
      </c>
      <c r="K33" s="163"/>
      <c r="L33" s="4"/>
      <c r="M33" s="11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6.8594334336338836</v>
      </c>
      <c r="F34" s="134">
        <f t="shared" si="6"/>
        <v>6.6677230514175762E-2</v>
      </c>
      <c r="G34" s="6">
        <f>7810000</f>
        <v>7810000</v>
      </c>
      <c r="H34" s="134">
        <f>G34/C34*100</f>
        <v>6.8594334336338836</v>
      </c>
      <c r="I34" s="134">
        <f t="shared" si="7"/>
        <v>6.6677230514175762E-2</v>
      </c>
      <c r="J34" s="6">
        <f t="shared" si="8"/>
        <v>-106047800</v>
      </c>
      <c r="K34" s="163"/>
      <c r="L34" s="4"/>
      <c r="M34" s="11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7.1428571428571423</v>
      </c>
      <c r="F35" s="134">
        <f t="shared" si="6"/>
        <v>0.16693553894185459</v>
      </c>
      <c r="G35" s="6">
        <f>19553400</f>
        <v>19553400</v>
      </c>
      <c r="H35" s="134">
        <f t="shared" si="10"/>
        <v>7.1428571428571423</v>
      </c>
      <c r="I35" s="134">
        <f t="shared" si="7"/>
        <v>0.16693553894185459</v>
      </c>
      <c r="J35" s="6">
        <f t="shared" si="8"/>
        <v>-254194200</v>
      </c>
      <c r="K35" s="163"/>
      <c r="L35" s="4"/>
      <c r="M35" s="11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0.45811999999999997</v>
      </c>
      <c r="F36" s="134">
        <f t="shared" si="6"/>
        <v>5.8667425434995269E-4</v>
      </c>
      <c r="G36" s="6">
        <f>68718</f>
        <v>68718</v>
      </c>
      <c r="H36" s="134">
        <f t="shared" si="10"/>
        <v>0.45811999999999997</v>
      </c>
      <c r="I36" s="134">
        <f t="shared" si="7"/>
        <v>5.8667425434995269E-4</v>
      </c>
      <c r="J36" s="6">
        <f t="shared" si="8"/>
        <v>-14931282</v>
      </c>
      <c r="K36" s="163"/>
      <c r="L36" s="4"/>
      <c r="M36" s="11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0.70990237099023712</v>
      </c>
      <c r="F37" s="134">
        <f t="shared" si="6"/>
        <v>3.4764363976148999E-5</v>
      </c>
      <c r="G37" s="6">
        <f>4072</f>
        <v>4072</v>
      </c>
      <c r="H37" s="134">
        <f>G37/C37*100</f>
        <v>0.70990237099023712</v>
      </c>
      <c r="I37" s="134">
        <f t="shared" si="7"/>
        <v>3.4764363976148999E-5</v>
      </c>
      <c r="J37" s="6">
        <f t="shared" si="8"/>
        <v>-569528</v>
      </c>
      <c r="K37" s="163"/>
      <c r="L37" s="4"/>
      <c r="M37" s="11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4861446762</v>
      </c>
      <c r="D38" s="200">
        <f>C38/C29*100</f>
        <v>41.504200561109776</v>
      </c>
      <c r="E38" s="134">
        <f t="shared" si="9"/>
        <v>0</v>
      </c>
      <c r="F38" s="134">
        <f t="shared" si="6"/>
        <v>0</v>
      </c>
      <c r="G38" s="6">
        <v>0</v>
      </c>
      <c r="H38" s="134">
        <f t="shared" si="10"/>
        <v>0</v>
      </c>
      <c r="I38" s="134">
        <f t="shared" si="7"/>
        <v>0</v>
      </c>
      <c r="J38" s="6">
        <f t="shared" si="8"/>
        <v>-4861446762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238" t="s">
        <v>498</v>
      </c>
      <c r="B39" s="238" t="s">
        <v>390</v>
      </c>
      <c r="C39" s="239">
        <f>SUM(C40:C43)</f>
        <v>1853928000</v>
      </c>
      <c r="D39" s="241"/>
      <c r="E39" s="242"/>
      <c r="F39" s="242"/>
      <c r="G39" s="791">
        <v>0</v>
      </c>
      <c r="H39" s="242"/>
      <c r="I39" s="242"/>
      <c r="J39" s="791">
        <v>0</v>
      </c>
      <c r="K39" s="237"/>
      <c r="L39" s="4"/>
      <c r="M39" s="4"/>
      <c r="N39" s="4"/>
      <c r="O39" s="4"/>
      <c r="P39" s="4"/>
      <c r="Q39" s="9"/>
      <c r="R39" s="1"/>
    </row>
    <row r="40" spans="1:18" x14ac:dyDescent="0.25">
      <c r="A40" s="49" t="s">
        <v>460</v>
      </c>
      <c r="B40" s="78" t="s">
        <v>47</v>
      </c>
      <c r="C40" s="56">
        <v>1723250000</v>
      </c>
      <c r="D40" s="200">
        <f>C40/C39*100</f>
        <v>92.95129044925153</v>
      </c>
      <c r="E40" s="134">
        <f>G40/C40*100</f>
        <v>0</v>
      </c>
      <c r="F40" s="134">
        <f t="shared" ref="F40:F43" si="11">(D40*E40)/100</f>
        <v>0</v>
      </c>
      <c r="G40" s="6">
        <v>0</v>
      </c>
      <c r="H40" s="134">
        <f t="shared" ref="H40:H43" si="12">G40/C40*100</f>
        <v>0</v>
      </c>
      <c r="I40" s="134">
        <f t="shared" ref="I40:I43" si="13">(D40*H40)/100</f>
        <v>0</v>
      </c>
      <c r="J40" s="6">
        <f t="shared" ref="J40:J43" si="14">G40-C40</f>
        <v>-1723250000</v>
      </c>
      <c r="K40" s="163"/>
      <c r="L40" s="4"/>
      <c r="M40" s="4"/>
      <c r="N40" s="4"/>
      <c r="O40" s="4"/>
      <c r="P40" s="4"/>
      <c r="Q40" s="4"/>
      <c r="R40" s="9"/>
    </row>
    <row r="41" spans="1:18" x14ac:dyDescent="0.25">
      <c r="A41" s="49" t="s">
        <v>461</v>
      </c>
      <c r="B41" s="78" t="s">
        <v>51</v>
      </c>
      <c r="C41" s="56">
        <v>122730550</v>
      </c>
      <c r="D41" s="200">
        <f>C41/C39*100</f>
        <v>6.6200278543719069</v>
      </c>
      <c r="E41" s="134">
        <f t="shared" ref="E41:E43" si="15">G41/C41*100</f>
        <v>0</v>
      </c>
      <c r="F41" s="134">
        <f t="shared" si="11"/>
        <v>0</v>
      </c>
      <c r="G41" s="6">
        <v>0</v>
      </c>
      <c r="H41" s="134">
        <f t="shared" si="12"/>
        <v>0</v>
      </c>
      <c r="I41" s="134">
        <f t="shared" si="13"/>
        <v>0</v>
      </c>
      <c r="J41" s="6">
        <f t="shared" si="14"/>
        <v>-122730550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462</v>
      </c>
      <c r="B42" s="78" t="s">
        <v>203</v>
      </c>
      <c r="C42" s="56">
        <v>3532200</v>
      </c>
      <c r="D42" s="200">
        <f>C42/C39*100</f>
        <v>0.19052519838958148</v>
      </c>
      <c r="E42" s="134">
        <f t="shared" si="15"/>
        <v>0</v>
      </c>
      <c r="F42" s="134">
        <f t="shared" si="11"/>
        <v>0</v>
      </c>
      <c r="G42" s="6">
        <v>0</v>
      </c>
      <c r="H42" s="134">
        <f t="shared" si="12"/>
        <v>0</v>
      </c>
      <c r="I42" s="134">
        <f t="shared" si="13"/>
        <v>0</v>
      </c>
      <c r="J42" s="6">
        <f t="shared" si="14"/>
        <v>-3532200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463</v>
      </c>
      <c r="B43" s="78" t="s">
        <v>204</v>
      </c>
      <c r="C43" s="56">
        <v>4415250</v>
      </c>
      <c r="D43" s="200">
        <f>C43/C39*100</f>
        <v>0.23815649798697683</v>
      </c>
      <c r="E43" s="134">
        <f t="shared" si="15"/>
        <v>0</v>
      </c>
      <c r="F43" s="134">
        <f t="shared" si="11"/>
        <v>0</v>
      </c>
      <c r="G43" s="6">
        <v>0</v>
      </c>
      <c r="H43" s="134">
        <f t="shared" si="12"/>
        <v>0</v>
      </c>
      <c r="I43" s="134">
        <f t="shared" si="13"/>
        <v>0</v>
      </c>
      <c r="J43" s="6">
        <f t="shared" si="14"/>
        <v>-4415250</v>
      </c>
      <c r="K43" s="163"/>
      <c r="L43" s="4"/>
      <c r="M43" s="4"/>
      <c r="N43" s="4"/>
      <c r="O43" s="4"/>
      <c r="P43" s="4"/>
      <c r="Q43" s="4"/>
      <c r="R43" s="9"/>
    </row>
    <row r="44" spans="1:18" ht="16.5" customHeight="1" x14ac:dyDescent="0.25">
      <c r="A44" s="238" t="s">
        <v>499</v>
      </c>
      <c r="B44" s="706" t="s">
        <v>205</v>
      </c>
      <c r="C44" s="239">
        <f>SUM(C45:C50)</f>
        <v>50000000</v>
      </c>
      <c r="D44" s="241"/>
      <c r="E44" s="242"/>
      <c r="F44" s="242"/>
      <c r="G44" s="791">
        <v>0</v>
      </c>
      <c r="H44" s="242"/>
      <c r="I44" s="242"/>
      <c r="J44" s="791">
        <v>0</v>
      </c>
      <c r="K44" s="237"/>
      <c r="L44" s="4"/>
      <c r="M44" s="4"/>
      <c r="N44" s="4"/>
      <c r="O44" s="4"/>
      <c r="P44" s="4"/>
      <c r="Q44" s="4"/>
      <c r="R44" s="9"/>
    </row>
    <row r="45" spans="1:18" s="783" customFormat="1" ht="16.5" customHeight="1" x14ac:dyDescent="0.25">
      <c r="A45" s="124" t="s">
        <v>450</v>
      </c>
      <c r="B45" s="707" t="s">
        <v>384</v>
      </c>
      <c r="C45" s="743">
        <v>2310000</v>
      </c>
      <c r="D45" s="741"/>
      <c r="E45" s="742"/>
      <c r="F45" s="742"/>
      <c r="G45" s="6">
        <v>0</v>
      </c>
      <c r="H45" s="742"/>
      <c r="I45" s="742"/>
      <c r="J45" s="6">
        <f t="shared" ref="J45:J50" si="16">G45-C45</f>
        <v>-2310000</v>
      </c>
      <c r="K45" s="744"/>
      <c r="L45" s="737"/>
      <c r="M45" s="737"/>
      <c r="N45" s="737"/>
      <c r="O45" s="737"/>
      <c r="P45" s="737"/>
      <c r="Q45" s="737"/>
      <c r="R45" s="782"/>
    </row>
    <row r="46" spans="1:18" s="783" customFormat="1" ht="16.5" customHeight="1" x14ac:dyDescent="0.25">
      <c r="A46" s="124" t="s">
        <v>448</v>
      </c>
      <c r="B46" s="707" t="s">
        <v>445</v>
      </c>
      <c r="C46" s="743">
        <v>170000</v>
      </c>
      <c r="D46" s="741"/>
      <c r="E46" s="742"/>
      <c r="F46" s="742"/>
      <c r="G46" s="6">
        <v>0</v>
      </c>
      <c r="H46" s="742"/>
      <c r="I46" s="742"/>
      <c r="J46" s="6">
        <f t="shared" si="16"/>
        <v>-170000</v>
      </c>
      <c r="K46" s="744"/>
      <c r="L46" s="737"/>
      <c r="M46" s="737"/>
      <c r="N46" s="737"/>
      <c r="O46" s="737"/>
      <c r="P46" s="737"/>
      <c r="Q46" s="737"/>
      <c r="R46" s="782"/>
    </row>
    <row r="47" spans="1:18" x14ac:dyDescent="0.25">
      <c r="A47" s="49" t="s">
        <v>415</v>
      </c>
      <c r="B47" s="707" t="s">
        <v>197</v>
      </c>
      <c r="C47" s="56">
        <v>8775400</v>
      </c>
      <c r="D47" s="200">
        <f>C47/C44*100</f>
        <v>17.550799999999999</v>
      </c>
      <c r="E47" s="134">
        <f t="shared" ref="E47:E49" si="17">G47/C47*100</f>
        <v>0</v>
      </c>
      <c r="F47" s="134">
        <f t="shared" ref="F47:F49" si="18">(D47*E47)/100</f>
        <v>0</v>
      </c>
      <c r="G47" s="6">
        <v>0</v>
      </c>
      <c r="H47" s="134">
        <f t="shared" ref="H47:H49" si="19">G47/C47*100</f>
        <v>0</v>
      </c>
      <c r="I47" s="134">
        <f t="shared" ref="I47:I49" si="20">(D47*H47)/100</f>
        <v>0</v>
      </c>
      <c r="J47" s="6">
        <f t="shared" si="16"/>
        <v>-8775400</v>
      </c>
      <c r="K47" s="163"/>
      <c r="L47" s="4"/>
      <c r="M47" s="4"/>
      <c r="N47" s="4"/>
      <c r="O47" s="4"/>
      <c r="P47" s="4"/>
      <c r="Q47" s="4"/>
      <c r="R47" s="9"/>
    </row>
    <row r="48" spans="1:18" x14ac:dyDescent="0.25">
      <c r="A48" s="49" t="s">
        <v>413</v>
      </c>
      <c r="B48" s="707" t="s">
        <v>334</v>
      </c>
      <c r="C48" s="56">
        <v>4124600</v>
      </c>
      <c r="D48" s="200">
        <f>C48/C44*100</f>
        <v>8.2492000000000001</v>
      </c>
      <c r="E48" s="134">
        <f t="shared" si="17"/>
        <v>0</v>
      </c>
      <c r="F48" s="134">
        <f t="shared" si="18"/>
        <v>0</v>
      </c>
      <c r="G48" s="6">
        <v>0</v>
      </c>
      <c r="H48" s="134">
        <f t="shared" si="19"/>
        <v>0</v>
      </c>
      <c r="I48" s="134">
        <f t="shared" si="20"/>
        <v>0</v>
      </c>
      <c r="J48" s="6">
        <f t="shared" si="16"/>
        <v>-4124600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391</v>
      </c>
      <c r="B49" s="218" t="s">
        <v>198</v>
      </c>
      <c r="C49" s="56">
        <v>14520000</v>
      </c>
      <c r="D49" s="200">
        <f>C49/C44*100</f>
        <v>29.04</v>
      </c>
      <c r="E49" s="134">
        <f t="shared" si="17"/>
        <v>0</v>
      </c>
      <c r="F49" s="134">
        <f t="shared" si="18"/>
        <v>0</v>
      </c>
      <c r="G49" s="6">
        <v>0</v>
      </c>
      <c r="H49" s="134">
        <f t="shared" si="19"/>
        <v>0</v>
      </c>
      <c r="I49" s="134">
        <f t="shared" si="20"/>
        <v>0</v>
      </c>
      <c r="J49" s="6">
        <f t="shared" si="16"/>
        <v>-14520000</v>
      </c>
      <c r="K49" s="163"/>
      <c r="L49" s="4"/>
      <c r="M49" s="4"/>
      <c r="N49" s="4"/>
      <c r="O49" s="4"/>
      <c r="P49" s="4"/>
      <c r="Q49" s="4"/>
      <c r="R49" s="9"/>
    </row>
    <row r="50" spans="1:18" ht="26.25" thickBot="1" x14ac:dyDescent="0.3">
      <c r="A50" s="784" t="s">
        <v>447</v>
      </c>
      <c r="B50" s="316" t="s">
        <v>107</v>
      </c>
      <c r="C50" s="785">
        <v>20100000</v>
      </c>
      <c r="D50" s="200"/>
      <c r="E50" s="134"/>
      <c r="F50" s="134"/>
      <c r="G50" s="6">
        <v>0</v>
      </c>
      <c r="H50" s="134"/>
      <c r="I50" s="134"/>
      <c r="J50" s="6">
        <f t="shared" si="16"/>
        <v>-20100000</v>
      </c>
      <c r="K50" s="163"/>
      <c r="L50" s="4"/>
      <c r="M50" s="4"/>
      <c r="N50" s="4"/>
      <c r="O50" s="4"/>
      <c r="P50" s="4"/>
      <c r="Q50" s="4"/>
      <c r="R50" s="9"/>
    </row>
    <row r="51" spans="1:18" ht="15.75" thickBot="1" x14ac:dyDescent="0.3">
      <c r="A51" s="220" t="s">
        <v>500</v>
      </c>
      <c r="B51" s="225" t="s">
        <v>52</v>
      </c>
      <c r="C51" s="222"/>
      <c r="D51" s="216"/>
      <c r="E51" s="134"/>
      <c r="F51" s="134"/>
      <c r="G51" s="6">
        <v>0</v>
      </c>
      <c r="H51" s="134"/>
      <c r="I51" s="134"/>
      <c r="J51" s="6">
        <v>0</v>
      </c>
      <c r="K51" s="163"/>
      <c r="L51" s="4"/>
      <c r="M51" s="4"/>
      <c r="N51" s="4"/>
      <c r="O51" s="4"/>
      <c r="P51" s="4"/>
      <c r="Q51" s="4"/>
      <c r="R51" s="9"/>
    </row>
    <row r="52" spans="1:18" ht="26.25" x14ac:dyDescent="0.25">
      <c r="A52" s="233" t="s">
        <v>501</v>
      </c>
      <c r="B52" s="691" t="s">
        <v>382</v>
      </c>
      <c r="C52" s="234">
        <v>13476500</v>
      </c>
      <c r="D52" s="241"/>
      <c r="E52" s="242"/>
      <c r="F52" s="242"/>
      <c r="G52" s="791">
        <v>0</v>
      </c>
      <c r="H52" s="242"/>
      <c r="I52" s="242"/>
      <c r="J52" s="791">
        <v>0</v>
      </c>
      <c r="K52" s="237"/>
      <c r="L52" s="4"/>
      <c r="M52" s="4"/>
      <c r="N52" s="4"/>
      <c r="O52" s="713"/>
      <c r="P52" s="4"/>
      <c r="Q52" s="4"/>
      <c r="R52" s="9"/>
    </row>
    <row r="53" spans="1:18" x14ac:dyDescent="0.25">
      <c r="A53" s="49" t="s">
        <v>464</v>
      </c>
      <c r="B53" s="78" t="s">
        <v>55</v>
      </c>
      <c r="C53" s="56">
        <v>13476500</v>
      </c>
      <c r="D53" s="200">
        <f>C53/C52*100</f>
        <v>100</v>
      </c>
      <c r="E53" s="134">
        <f>G53/C53*100</f>
        <v>0</v>
      </c>
      <c r="F53" s="134">
        <f t="shared" ref="F53:F56" si="21">(D53*E53)/100</f>
        <v>0</v>
      </c>
      <c r="G53" s="6">
        <v>0</v>
      </c>
      <c r="H53" s="134">
        <f>G53/C53*100</f>
        <v>0</v>
      </c>
      <c r="I53" s="134">
        <f>(D53*H53)/100</f>
        <v>0</v>
      </c>
      <c r="J53" s="6">
        <f>G53-C53</f>
        <v>-13476500</v>
      </c>
      <c r="K53" s="163"/>
      <c r="L53" s="4"/>
      <c r="M53" s="4"/>
      <c r="N53" s="4"/>
      <c r="O53" s="4"/>
      <c r="P53" s="4"/>
      <c r="Q53" s="4"/>
      <c r="R53" s="9"/>
    </row>
    <row r="54" spans="1:18" x14ac:dyDescent="0.25">
      <c r="A54" s="238" t="s">
        <v>502</v>
      </c>
      <c r="B54" s="238" t="s">
        <v>58</v>
      </c>
      <c r="C54" s="239">
        <f>SUM(C55:C56)</f>
        <v>6708000</v>
      </c>
      <c r="D54" s="241"/>
      <c r="E54" s="242"/>
      <c r="F54" s="242"/>
      <c r="G54" s="791">
        <v>0</v>
      </c>
      <c r="H54" s="242"/>
      <c r="I54" s="242"/>
      <c r="J54" s="791">
        <v>0</v>
      </c>
      <c r="K54" s="237"/>
      <c r="L54" s="4"/>
      <c r="M54" s="4"/>
      <c r="N54" s="4"/>
      <c r="O54" s="4"/>
      <c r="P54" s="4"/>
      <c r="Q54" s="4"/>
      <c r="R54" s="9"/>
    </row>
    <row r="55" spans="1:18" x14ac:dyDescent="0.25">
      <c r="A55" s="49" t="s">
        <v>448</v>
      </c>
      <c r="B55" s="707" t="s">
        <v>445</v>
      </c>
      <c r="C55" s="56">
        <v>170000</v>
      </c>
      <c r="D55" s="200">
        <f>C55/C54*100</f>
        <v>2.5342874180083479</v>
      </c>
      <c r="E55" s="134">
        <f t="shared" ref="E55:E56" si="22">G55/C55*100</f>
        <v>0</v>
      </c>
      <c r="F55" s="134">
        <f t="shared" si="21"/>
        <v>0</v>
      </c>
      <c r="G55" s="6">
        <v>0</v>
      </c>
      <c r="H55" s="134">
        <f t="shared" ref="H55:H57" si="23">G55/C55*100</f>
        <v>0</v>
      </c>
      <c r="I55" s="134">
        <f t="shared" ref="I55:I56" si="24">(D55*H55)/100</f>
        <v>0</v>
      </c>
      <c r="J55" s="6">
        <f>G55-C55</f>
        <v>-170000</v>
      </c>
      <c r="K55" s="163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465</v>
      </c>
      <c r="B56" s="707" t="s">
        <v>466</v>
      </c>
      <c r="C56" s="56">
        <v>6538000</v>
      </c>
      <c r="D56" s="200">
        <f>C56/C54*100</f>
        <v>97.465712581991653</v>
      </c>
      <c r="E56" s="134">
        <f t="shared" si="22"/>
        <v>0</v>
      </c>
      <c r="F56" s="134">
        <f t="shared" si="21"/>
        <v>0</v>
      </c>
      <c r="G56" s="6">
        <v>0</v>
      </c>
      <c r="H56" s="134">
        <f t="shared" si="23"/>
        <v>0</v>
      </c>
      <c r="I56" s="134">
        <f t="shared" si="24"/>
        <v>0</v>
      </c>
      <c r="J56" s="6">
        <f>G56-C56</f>
        <v>-6538000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238" t="s">
        <v>503</v>
      </c>
      <c r="B57" s="238" t="s">
        <v>61</v>
      </c>
      <c r="C57" s="239">
        <v>44599800</v>
      </c>
      <c r="D57" s="241"/>
      <c r="E57" s="242"/>
      <c r="F57" s="242"/>
      <c r="G57" s="791">
        <v>0</v>
      </c>
      <c r="H57" s="242">
        <f t="shared" si="23"/>
        <v>0</v>
      </c>
      <c r="I57" s="242"/>
      <c r="J57" s="791">
        <v>0</v>
      </c>
      <c r="K57" s="237"/>
      <c r="L57" s="4"/>
      <c r="M57" s="4"/>
      <c r="N57" s="4"/>
      <c r="O57" s="4"/>
      <c r="P57" s="4"/>
      <c r="Q57" s="4"/>
      <c r="R57" s="9"/>
    </row>
    <row r="58" spans="1:18" ht="22.5" customHeight="1" x14ac:dyDescent="0.25">
      <c r="A58" s="49" t="s">
        <v>450</v>
      </c>
      <c r="B58" s="707" t="s">
        <v>384</v>
      </c>
      <c r="C58" s="56">
        <v>3090000</v>
      </c>
      <c r="D58" s="200">
        <f>C58/C57*100</f>
        <v>6.9282821896062314</v>
      </c>
      <c r="E58" s="134">
        <f>G58/C58*100</f>
        <v>0</v>
      </c>
      <c r="F58" s="134">
        <f t="shared" ref="F58:F70" si="25">(D58*E58)/100</f>
        <v>0</v>
      </c>
      <c r="G58" s="6">
        <v>0</v>
      </c>
      <c r="H58" s="134">
        <f>G58/C58*100</f>
        <v>0</v>
      </c>
      <c r="I58" s="134">
        <f>(D58*H58)/100</f>
        <v>0</v>
      </c>
      <c r="J58" s="6">
        <f t="shared" ref="J58:J67" si="26">G58-C58</f>
        <v>-3090000</v>
      </c>
      <c r="K58" s="163"/>
      <c r="L58" s="4"/>
      <c r="M58" s="4"/>
      <c r="N58" s="4"/>
      <c r="O58" s="4"/>
      <c r="P58" s="4"/>
      <c r="Q58" s="4"/>
      <c r="R58" s="9"/>
    </row>
    <row r="59" spans="1:18" x14ac:dyDescent="0.25">
      <c r="A59" s="49" t="s">
        <v>448</v>
      </c>
      <c r="B59" s="707" t="s">
        <v>445</v>
      </c>
      <c r="C59" s="56">
        <v>170000</v>
      </c>
      <c r="D59" s="200"/>
      <c r="E59" s="134"/>
      <c r="F59" s="134"/>
      <c r="G59" s="6">
        <v>0</v>
      </c>
      <c r="H59" s="134"/>
      <c r="I59" s="134"/>
      <c r="J59" s="6">
        <f t="shared" si="26"/>
        <v>-170000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415</v>
      </c>
      <c r="B60" s="707" t="s">
        <v>197</v>
      </c>
      <c r="C60" s="56">
        <v>7993000</v>
      </c>
      <c r="D60" s="200"/>
      <c r="E60" s="134"/>
      <c r="F60" s="134"/>
      <c r="G60" s="6">
        <v>0</v>
      </c>
      <c r="H60" s="134"/>
      <c r="I60" s="134"/>
      <c r="J60" s="6">
        <f t="shared" si="26"/>
        <v>-7993000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413</v>
      </c>
      <c r="B61" s="707" t="s">
        <v>334</v>
      </c>
      <c r="C61" s="56">
        <v>51346600</v>
      </c>
      <c r="D61" s="200"/>
      <c r="E61" s="134"/>
      <c r="F61" s="134"/>
      <c r="G61" s="6">
        <v>0</v>
      </c>
      <c r="H61" s="134"/>
      <c r="I61" s="134"/>
      <c r="J61" s="6">
        <f t="shared" si="26"/>
        <v>-51346600</v>
      </c>
      <c r="K61" s="163"/>
      <c r="L61" s="4"/>
      <c r="M61" s="4"/>
      <c r="N61" s="4"/>
      <c r="O61" s="4"/>
      <c r="P61" s="4"/>
      <c r="Q61" s="4"/>
      <c r="R61" s="9"/>
    </row>
    <row r="62" spans="1:18" s="796" customFormat="1" x14ac:dyDescent="0.25">
      <c r="A62" s="799" t="s">
        <v>468</v>
      </c>
      <c r="B62" s="736" t="s">
        <v>467</v>
      </c>
      <c r="C62" s="800">
        <v>3000000</v>
      </c>
      <c r="D62" s="789"/>
      <c r="E62" s="790"/>
      <c r="F62" s="790"/>
      <c r="G62" s="791">
        <v>0</v>
      </c>
      <c r="H62" s="790"/>
      <c r="I62" s="790"/>
      <c r="J62" s="6">
        <f t="shared" si="26"/>
        <v>-3000000</v>
      </c>
      <c r="K62" s="793"/>
      <c r="L62" s="794"/>
      <c r="M62" s="794"/>
      <c r="N62" s="794"/>
      <c r="O62" s="794"/>
      <c r="P62" s="794"/>
      <c r="Q62" s="794"/>
      <c r="R62" s="795"/>
    </row>
    <row r="63" spans="1:18" x14ac:dyDescent="0.25">
      <c r="A63" s="49" t="s">
        <v>413</v>
      </c>
      <c r="B63" s="707" t="s">
        <v>334</v>
      </c>
      <c r="C63" s="56">
        <v>3000000</v>
      </c>
      <c r="D63" s="200"/>
      <c r="E63" s="134"/>
      <c r="F63" s="134"/>
      <c r="G63" s="6">
        <v>0</v>
      </c>
      <c r="H63" s="134"/>
      <c r="I63" s="134"/>
      <c r="J63" s="6">
        <f t="shared" si="26"/>
        <v>-3000000</v>
      </c>
      <c r="K63" s="163"/>
      <c r="L63" s="4"/>
      <c r="M63" s="4"/>
      <c r="N63" s="4"/>
      <c r="O63" s="4"/>
      <c r="P63" s="4"/>
      <c r="Q63" s="4"/>
      <c r="R63" s="9"/>
    </row>
    <row r="64" spans="1:18" s="796" customFormat="1" x14ac:dyDescent="0.25">
      <c r="A64" s="799" t="s">
        <v>469</v>
      </c>
      <c r="B64" s="736" t="s">
        <v>470</v>
      </c>
      <c r="C64" s="800">
        <f>SUM(C65:C67)</f>
        <v>12000000</v>
      </c>
      <c r="D64" s="789"/>
      <c r="E64" s="790"/>
      <c r="F64" s="790"/>
      <c r="G64" s="791">
        <v>0</v>
      </c>
      <c r="H64" s="790"/>
      <c r="I64" s="790"/>
      <c r="J64" s="6">
        <f t="shared" si="26"/>
        <v>-12000000</v>
      </c>
      <c r="K64" s="793"/>
      <c r="L64" s="794"/>
      <c r="M64" s="794"/>
      <c r="N64" s="794"/>
      <c r="O64" s="794"/>
      <c r="P64" s="794"/>
      <c r="Q64" s="794"/>
      <c r="R64" s="795"/>
    </row>
    <row r="65" spans="1:18" x14ac:dyDescent="0.25">
      <c r="A65" s="49" t="s">
        <v>448</v>
      </c>
      <c r="B65" s="707" t="s">
        <v>445</v>
      </c>
      <c r="C65" s="56">
        <v>170000</v>
      </c>
      <c r="D65" s="200"/>
      <c r="E65" s="134"/>
      <c r="F65" s="134"/>
      <c r="G65" s="6">
        <v>0</v>
      </c>
      <c r="H65" s="134"/>
      <c r="I65" s="134"/>
      <c r="J65" s="6">
        <f t="shared" si="26"/>
        <v>-170000</v>
      </c>
      <c r="K65" s="163"/>
      <c r="L65" s="4"/>
      <c r="M65" s="4"/>
      <c r="N65" s="4"/>
      <c r="O65" s="4"/>
      <c r="P65" s="4"/>
      <c r="Q65" s="4"/>
      <c r="R65" s="9"/>
    </row>
    <row r="66" spans="1:18" x14ac:dyDescent="0.25">
      <c r="A66" s="49" t="s">
        <v>413</v>
      </c>
      <c r="B66" s="707" t="s">
        <v>334</v>
      </c>
      <c r="C66" s="56">
        <v>820000</v>
      </c>
      <c r="D66" s="200"/>
      <c r="E66" s="134"/>
      <c r="F66" s="134"/>
      <c r="G66" s="6">
        <v>0</v>
      </c>
      <c r="H66" s="134"/>
      <c r="I66" s="134"/>
      <c r="J66" s="6">
        <f t="shared" si="26"/>
        <v>-820000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391</v>
      </c>
      <c r="B67" s="218" t="s">
        <v>198</v>
      </c>
      <c r="C67" s="56">
        <v>11010000</v>
      </c>
      <c r="D67" s="200"/>
      <c r="E67" s="134"/>
      <c r="F67" s="134"/>
      <c r="G67" s="6">
        <v>0</v>
      </c>
      <c r="H67" s="134"/>
      <c r="I67" s="134"/>
      <c r="J67" s="6">
        <f t="shared" si="26"/>
        <v>-11010000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238" t="s">
        <v>504</v>
      </c>
      <c r="B68" s="238" t="s">
        <v>64</v>
      </c>
      <c r="C68" s="239">
        <f>SUM(C69:C70)</f>
        <v>148714000</v>
      </c>
      <c r="D68" s="241"/>
      <c r="E68" s="242"/>
      <c r="F68" s="242"/>
      <c r="G68" s="791">
        <v>0</v>
      </c>
      <c r="H68" s="242"/>
      <c r="I68" s="242"/>
      <c r="J68" s="791">
        <v>0</v>
      </c>
      <c r="K68" s="237"/>
      <c r="L68" s="4"/>
      <c r="M68" s="4"/>
      <c r="N68" s="4"/>
      <c r="O68" s="4"/>
      <c r="P68" s="4"/>
      <c r="Q68" s="4"/>
      <c r="R68" s="9"/>
    </row>
    <row r="69" spans="1:18" ht="21" customHeight="1" x14ac:dyDescent="0.25">
      <c r="A69" s="49" t="s">
        <v>450</v>
      </c>
      <c r="B69" s="707" t="s">
        <v>384</v>
      </c>
      <c r="C69" s="56">
        <v>3480000</v>
      </c>
      <c r="D69" s="200">
        <f>C69/C68*100</f>
        <v>2.3400621326842126</v>
      </c>
      <c r="E69" s="134">
        <f t="shared" ref="E69:E70" si="27">G69/C69*100</f>
        <v>0</v>
      </c>
      <c r="F69" s="134">
        <f t="shared" si="25"/>
        <v>0</v>
      </c>
      <c r="G69" s="6">
        <v>0</v>
      </c>
      <c r="H69" s="134">
        <f t="shared" ref="H69:H70" si="28">G69/C69*100</f>
        <v>0</v>
      </c>
      <c r="I69" s="134">
        <f t="shared" ref="I69:I70" si="29">(D69*H69)/100</f>
        <v>0</v>
      </c>
      <c r="J69" s="6">
        <f t="shared" ref="J69:J70" si="30">G69-C69</f>
        <v>-3480000</v>
      </c>
      <c r="K69" s="163"/>
      <c r="L69" s="4"/>
      <c r="M69" s="4"/>
      <c r="N69" s="4"/>
      <c r="O69" s="4"/>
      <c r="P69" s="4"/>
      <c r="Q69" s="4"/>
      <c r="R69" s="9"/>
    </row>
    <row r="70" spans="1:18" ht="15.75" thickBot="1" x14ac:dyDescent="0.3">
      <c r="A70" s="217" t="s">
        <v>449</v>
      </c>
      <c r="B70" s="78" t="s">
        <v>23</v>
      </c>
      <c r="C70" s="219">
        <v>145234000</v>
      </c>
      <c r="D70" s="200">
        <f>C70/C68*100</f>
        <v>97.659937867315776</v>
      </c>
      <c r="E70" s="134">
        <f t="shared" si="27"/>
        <v>0</v>
      </c>
      <c r="F70" s="134">
        <f t="shared" si="25"/>
        <v>0</v>
      </c>
      <c r="G70" s="6">
        <v>0</v>
      </c>
      <c r="H70" s="134">
        <f t="shared" si="28"/>
        <v>0</v>
      </c>
      <c r="I70" s="134">
        <f t="shared" si="29"/>
        <v>0</v>
      </c>
      <c r="J70" s="6">
        <f t="shared" si="30"/>
        <v>-145234000</v>
      </c>
      <c r="K70" s="163"/>
      <c r="L70" s="4"/>
      <c r="M70" s="4"/>
      <c r="N70" s="4"/>
      <c r="O70" s="694"/>
      <c r="P70" s="4"/>
      <c r="Q70" s="4"/>
      <c r="R70" s="9"/>
    </row>
    <row r="71" spans="1:18" ht="15.75" thickBot="1" x14ac:dyDescent="0.3">
      <c r="A71" s="689" t="s">
        <v>248</v>
      </c>
      <c r="B71" s="708" t="s">
        <v>68</v>
      </c>
      <c r="C71" s="690"/>
      <c r="D71" s="216"/>
      <c r="E71" s="134"/>
      <c r="F71" s="134"/>
      <c r="G71" s="6">
        <v>0</v>
      </c>
      <c r="H71" s="134"/>
      <c r="I71" s="134"/>
      <c r="J71" s="6">
        <v>0</v>
      </c>
      <c r="K71" s="163"/>
      <c r="L71" s="4"/>
      <c r="M71" s="4"/>
      <c r="N71" s="4"/>
      <c r="O71" s="4"/>
      <c r="P71" s="4"/>
      <c r="Q71" s="4"/>
      <c r="R71" s="9"/>
    </row>
    <row r="72" spans="1:18" x14ac:dyDescent="0.25">
      <c r="A72" s="233" t="s">
        <v>249</v>
      </c>
      <c r="B72" s="696" t="s">
        <v>387</v>
      </c>
      <c r="C72" s="234">
        <f>SUM(C73:C75)</f>
        <v>237367500</v>
      </c>
      <c r="D72" s="241"/>
      <c r="E72" s="242"/>
      <c r="F72" s="242"/>
      <c r="G72" s="791">
        <v>0</v>
      </c>
      <c r="H72" s="242"/>
      <c r="I72" s="242"/>
      <c r="J72" s="791">
        <v>0</v>
      </c>
      <c r="K72" s="237"/>
      <c r="L72" s="4"/>
      <c r="M72" s="4"/>
      <c r="N72" s="4"/>
      <c r="O72" s="713"/>
      <c r="P72" s="4"/>
      <c r="Q72" s="4"/>
      <c r="R72" s="9"/>
    </row>
    <row r="73" spans="1:18" x14ac:dyDescent="0.25">
      <c r="A73" s="49" t="s">
        <v>471</v>
      </c>
      <c r="B73" s="78" t="s">
        <v>388</v>
      </c>
      <c r="C73" s="56">
        <v>54000000</v>
      </c>
      <c r="D73" s="200">
        <f>C73/C72*100</f>
        <v>22.749533950519762</v>
      </c>
      <c r="E73" s="134">
        <f t="shared" ref="E73:E75" si="31">G73/C73*100</f>
        <v>6.6198000000000006</v>
      </c>
      <c r="F73" s="134">
        <f t="shared" ref="F73:F75" si="32">(D73*E73)/100</f>
        <v>1.5059736484565074</v>
      </c>
      <c r="G73" s="6">
        <f>3574692</f>
        <v>3574692</v>
      </c>
      <c r="H73" s="134">
        <f t="shared" ref="H73:H77" si="33">G73/C73*100</f>
        <v>6.6198000000000006</v>
      </c>
      <c r="I73" s="134">
        <f t="shared" ref="I73:I75" si="34">(D73*H73)/100</f>
        <v>1.5059736484565074</v>
      </c>
      <c r="J73" s="6">
        <f t="shared" ref="J73:J75" si="35">G73-C73</f>
        <v>-50425308</v>
      </c>
      <c r="K73" s="163"/>
      <c r="L73" s="4"/>
      <c r="M73" s="730"/>
      <c r="N73" s="4"/>
      <c r="O73" s="4"/>
      <c r="P73" s="4"/>
      <c r="Q73" s="4"/>
      <c r="R73" s="9"/>
    </row>
    <row r="74" spans="1:18" x14ac:dyDescent="0.25">
      <c r="A74" s="49" t="s">
        <v>472</v>
      </c>
      <c r="B74" s="78" t="s">
        <v>73</v>
      </c>
      <c r="C74" s="56">
        <v>39000000</v>
      </c>
      <c r="D74" s="200">
        <f>C74/C72*100</f>
        <v>16.430218964264274</v>
      </c>
      <c r="E74" s="134">
        <f t="shared" si="31"/>
        <v>3.9759230769230767</v>
      </c>
      <c r="F74" s="134">
        <f t="shared" si="32"/>
        <v>0.65325286738917498</v>
      </c>
      <c r="G74" s="6">
        <f>1550610</f>
        <v>1550610</v>
      </c>
      <c r="H74" s="134">
        <f t="shared" si="33"/>
        <v>3.9759230769230767</v>
      </c>
      <c r="I74" s="134">
        <f t="shared" si="34"/>
        <v>0.65325286738917498</v>
      </c>
      <c r="J74" s="6">
        <f t="shared" si="35"/>
        <v>-37449390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473</v>
      </c>
      <c r="B75" s="78" t="s">
        <v>75</v>
      </c>
      <c r="C75" s="56">
        <v>144367500</v>
      </c>
      <c r="D75" s="200">
        <f>C75/C72*100</f>
        <v>60.820247085215961</v>
      </c>
      <c r="E75" s="134">
        <f t="shared" si="31"/>
        <v>8.4825677524373564</v>
      </c>
      <c r="F75" s="134">
        <f t="shared" si="32"/>
        <v>5.1591186662032502</v>
      </c>
      <c r="G75" s="6">
        <f>12246071</f>
        <v>12246071</v>
      </c>
      <c r="H75" s="134">
        <f t="shared" si="33"/>
        <v>8.4825677524373564</v>
      </c>
      <c r="I75" s="134">
        <f t="shared" si="34"/>
        <v>5.1591186662032502</v>
      </c>
      <c r="J75" s="6">
        <f t="shared" si="35"/>
        <v>-132121429</v>
      </c>
      <c r="K75" s="163"/>
      <c r="L75" s="4"/>
      <c r="M75" s="4"/>
      <c r="N75" s="4"/>
      <c r="O75" s="4"/>
      <c r="P75" s="4"/>
      <c r="Q75" s="4"/>
      <c r="R75" s="9"/>
    </row>
    <row r="76" spans="1:18" x14ac:dyDescent="0.25">
      <c r="A76" s="238" t="s">
        <v>505</v>
      </c>
      <c r="B76" s="238" t="s">
        <v>76</v>
      </c>
      <c r="C76" s="239">
        <f>SUM(C77:C77)</f>
        <v>20000000</v>
      </c>
      <c r="D76" s="241"/>
      <c r="E76" s="242"/>
      <c r="F76" s="242"/>
      <c r="G76" s="791">
        <v>0</v>
      </c>
      <c r="H76" s="242"/>
      <c r="I76" s="242"/>
      <c r="J76" s="791">
        <v>0</v>
      </c>
      <c r="K76" s="237"/>
      <c r="L76" s="4"/>
      <c r="M76" s="4"/>
      <c r="N76" s="4"/>
      <c r="O76" s="4"/>
      <c r="P76" s="4"/>
      <c r="Q76" s="4"/>
      <c r="R76" s="9"/>
    </row>
    <row r="77" spans="1:18" ht="14.25" customHeight="1" thickBot="1" x14ac:dyDescent="0.3">
      <c r="A77" s="49" t="s">
        <v>450</v>
      </c>
      <c r="B77" s="707" t="s">
        <v>384</v>
      </c>
      <c r="C77" s="56">
        <v>20000000</v>
      </c>
      <c r="D77" s="200">
        <f>C77/C76*100</f>
        <v>100</v>
      </c>
      <c r="E77" s="134">
        <f t="shared" ref="E77" si="36">G77/C77*100</f>
        <v>0</v>
      </c>
      <c r="F77" s="134">
        <f t="shared" ref="F77" si="37">(D77*E77)/100</f>
        <v>0</v>
      </c>
      <c r="G77" s="6">
        <v>0</v>
      </c>
      <c r="H77" s="134">
        <f t="shared" si="33"/>
        <v>0</v>
      </c>
      <c r="I77" s="134">
        <f t="shared" ref="I77" si="38">(D77*H77)/100</f>
        <v>0</v>
      </c>
      <c r="J77" s="6">
        <f>G77-C77</f>
        <v>-20000000</v>
      </c>
      <c r="K77" s="163"/>
      <c r="L77" s="4"/>
      <c r="M77" s="4"/>
      <c r="N77" s="4"/>
      <c r="O77" s="4"/>
      <c r="P77" s="4"/>
      <c r="Q77" s="4"/>
      <c r="R77" s="9"/>
    </row>
    <row r="78" spans="1:18" ht="26.25" thickBot="1" x14ac:dyDescent="0.3">
      <c r="A78" s="689" t="s">
        <v>506</v>
      </c>
      <c r="B78" s="692" t="s">
        <v>377</v>
      </c>
      <c r="C78" s="690"/>
      <c r="D78" s="216"/>
      <c r="E78" s="134"/>
      <c r="F78" s="134"/>
      <c r="G78" s="6">
        <v>0</v>
      </c>
      <c r="H78" s="134"/>
      <c r="I78" s="134"/>
      <c r="J78" s="6">
        <v>0</v>
      </c>
      <c r="K78" s="163"/>
      <c r="L78" s="4"/>
      <c r="M78" s="4"/>
      <c r="N78" s="4"/>
      <c r="O78" s="694"/>
      <c r="P78" s="4"/>
      <c r="Q78" s="4"/>
      <c r="R78" s="9"/>
    </row>
    <row r="79" spans="1:18" ht="26.25" x14ac:dyDescent="0.25">
      <c r="A79" s="693" t="s">
        <v>507</v>
      </c>
      <c r="B79" s="691" t="s">
        <v>474</v>
      </c>
      <c r="C79" s="234">
        <f>SUM(C80:C84)</f>
        <v>151843982</v>
      </c>
      <c r="D79" s="241"/>
      <c r="E79" s="242"/>
      <c r="F79" s="242"/>
      <c r="G79" s="791">
        <v>0</v>
      </c>
      <c r="H79" s="242"/>
      <c r="I79" s="242"/>
      <c r="J79" s="791">
        <v>0</v>
      </c>
      <c r="K79" s="244"/>
      <c r="L79" s="4"/>
      <c r="M79" s="4"/>
      <c r="N79" s="4"/>
      <c r="O79" s="4"/>
      <c r="P79" s="4"/>
      <c r="Q79" s="4"/>
      <c r="R79" s="9"/>
    </row>
    <row r="80" spans="1:18" s="783" customFormat="1" ht="25.5" x14ac:dyDescent="0.25">
      <c r="A80" s="801" t="s">
        <v>450</v>
      </c>
      <c r="B80" s="707" t="s">
        <v>384</v>
      </c>
      <c r="C80" s="788">
        <v>7330000</v>
      </c>
      <c r="D80" s="741"/>
      <c r="E80" s="742"/>
      <c r="F80" s="742"/>
      <c r="G80" s="6">
        <v>0</v>
      </c>
      <c r="H80" s="742"/>
      <c r="I80" s="742"/>
      <c r="J80" s="6">
        <f t="shared" ref="J80:J84" si="39">G80-C80</f>
        <v>-7330000</v>
      </c>
      <c r="K80" s="743"/>
      <c r="L80" s="737"/>
      <c r="M80" s="737"/>
      <c r="N80" s="737"/>
      <c r="O80" s="737"/>
      <c r="P80" s="737"/>
      <c r="Q80" s="737"/>
      <c r="R80" s="782"/>
    </row>
    <row r="81" spans="1:18" x14ac:dyDescent="0.25">
      <c r="A81" s="224" t="s">
        <v>475</v>
      </c>
      <c r="B81" s="78" t="s">
        <v>81</v>
      </c>
      <c r="C81" s="56">
        <v>79356018</v>
      </c>
      <c r="D81" s="200">
        <f>C81/C79*100</f>
        <v>52.261549621373874</v>
      </c>
      <c r="E81" s="134">
        <f t="shared" ref="E81:E84" si="40">G81/C81*100</f>
        <v>0</v>
      </c>
      <c r="F81" s="134">
        <f t="shared" ref="F81:F84" si="41">(D81*E81)/100</f>
        <v>0</v>
      </c>
      <c r="G81" s="6">
        <v>0</v>
      </c>
      <c r="H81" s="134">
        <f t="shared" ref="H81:H84" si="42">G81/C81*100</f>
        <v>0</v>
      </c>
      <c r="I81" s="134">
        <f t="shared" ref="I81:I84" si="43">(D81*H81)/100</f>
        <v>0</v>
      </c>
      <c r="J81" s="6">
        <f t="shared" si="39"/>
        <v>-79356018</v>
      </c>
      <c r="K81" s="56"/>
      <c r="L81" s="4"/>
      <c r="M81" s="4"/>
      <c r="N81" s="4"/>
      <c r="O81" s="4"/>
      <c r="P81" s="4"/>
      <c r="Q81" s="4"/>
      <c r="R81" s="9"/>
    </row>
    <row r="82" spans="1:18" x14ac:dyDescent="0.25">
      <c r="A82" s="49" t="s">
        <v>476</v>
      </c>
      <c r="B82" s="78" t="s">
        <v>83</v>
      </c>
      <c r="C82" s="56">
        <v>22600000</v>
      </c>
      <c r="D82" s="200">
        <f>C82/C79*100</f>
        <v>14.883698189632566</v>
      </c>
      <c r="E82" s="134">
        <f t="shared" si="40"/>
        <v>0</v>
      </c>
      <c r="F82" s="134">
        <f t="shared" si="41"/>
        <v>0</v>
      </c>
      <c r="G82" s="6">
        <v>0</v>
      </c>
      <c r="H82" s="134">
        <f t="shared" si="42"/>
        <v>0</v>
      </c>
      <c r="I82" s="134">
        <f t="shared" si="43"/>
        <v>0</v>
      </c>
      <c r="J82" s="6">
        <f t="shared" si="39"/>
        <v>-22600000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477</v>
      </c>
      <c r="B83" s="78" t="s">
        <v>85</v>
      </c>
      <c r="C83" s="56">
        <v>13307964</v>
      </c>
      <c r="D83" s="200">
        <f>C83/C79*100</f>
        <v>8.7642353847121832</v>
      </c>
      <c r="E83" s="134">
        <f t="shared" si="40"/>
        <v>0</v>
      </c>
      <c r="F83" s="134">
        <f t="shared" si="41"/>
        <v>0</v>
      </c>
      <c r="G83" s="6">
        <v>0</v>
      </c>
      <c r="H83" s="134">
        <f t="shared" si="42"/>
        <v>0</v>
      </c>
      <c r="I83" s="134">
        <f t="shared" si="43"/>
        <v>0</v>
      </c>
      <c r="J83" s="6">
        <f t="shared" si="39"/>
        <v>-13307964</v>
      </c>
      <c r="K83" s="56"/>
      <c r="L83" s="4"/>
      <c r="M83" s="4"/>
      <c r="N83" s="4"/>
      <c r="O83" s="713"/>
      <c r="P83" s="4"/>
      <c r="Q83" s="4"/>
      <c r="R83" s="9"/>
    </row>
    <row r="84" spans="1:18" ht="25.5" x14ac:dyDescent="0.25">
      <c r="A84" s="49" t="s">
        <v>478</v>
      </c>
      <c r="B84" s="77" t="s">
        <v>87</v>
      </c>
      <c r="C84" s="56">
        <v>29250000</v>
      </c>
      <c r="D84" s="200">
        <f>C84/C79*100</f>
        <v>19.263193453396134</v>
      </c>
      <c r="E84" s="134">
        <f t="shared" si="40"/>
        <v>0</v>
      </c>
      <c r="F84" s="134">
        <f t="shared" si="41"/>
        <v>0</v>
      </c>
      <c r="G84" s="6">
        <v>0</v>
      </c>
      <c r="H84" s="134">
        <f t="shared" si="42"/>
        <v>0</v>
      </c>
      <c r="I84" s="134">
        <f t="shared" si="43"/>
        <v>0</v>
      </c>
      <c r="J84" s="6">
        <f t="shared" si="39"/>
        <v>-29250000</v>
      </c>
      <c r="K84" s="56"/>
      <c r="L84" s="4"/>
      <c r="M84" s="4"/>
      <c r="N84" s="4"/>
      <c r="O84" s="4"/>
      <c r="P84" s="4"/>
      <c r="Q84" s="4"/>
      <c r="R84" s="9"/>
    </row>
    <row r="85" spans="1:18" s="796" customFormat="1" x14ac:dyDescent="0.25">
      <c r="A85" s="799" t="s">
        <v>483</v>
      </c>
      <c r="B85" s="691" t="s">
        <v>479</v>
      </c>
      <c r="C85" s="800">
        <f>SUM(C86:C88)</f>
        <v>30280000</v>
      </c>
      <c r="D85" s="789"/>
      <c r="E85" s="790"/>
      <c r="F85" s="790"/>
      <c r="G85" s="791">
        <v>0</v>
      </c>
      <c r="H85" s="790"/>
      <c r="I85" s="790"/>
      <c r="J85" s="791">
        <v>0</v>
      </c>
      <c r="K85" s="792"/>
      <c r="L85" s="794"/>
      <c r="M85" s="794"/>
      <c r="N85" s="794"/>
      <c r="O85" s="794"/>
      <c r="P85" s="794"/>
      <c r="Q85" s="794"/>
      <c r="R85" s="795"/>
    </row>
    <row r="86" spans="1:18" ht="25.5" x14ac:dyDescent="0.25">
      <c r="A86" s="49" t="s">
        <v>484</v>
      </c>
      <c r="B86" s="77" t="s">
        <v>480</v>
      </c>
      <c r="C86" s="56">
        <v>4110000</v>
      </c>
      <c r="D86" s="200"/>
      <c r="E86" s="134"/>
      <c r="F86" s="134"/>
      <c r="G86" s="6">
        <v>0</v>
      </c>
      <c r="H86" s="134"/>
      <c r="I86" s="134"/>
      <c r="J86" s="6">
        <f t="shared" ref="J86:J88" si="44">G86-C86</f>
        <v>-4110000</v>
      </c>
      <c r="K86" s="56"/>
      <c r="L86" s="4"/>
      <c r="M86" s="4"/>
      <c r="N86" s="4"/>
      <c r="O86" s="4"/>
      <c r="P86" s="4"/>
      <c r="Q86" s="4"/>
      <c r="R86" s="9"/>
    </row>
    <row r="87" spans="1:18" ht="25.5" x14ac:dyDescent="0.25">
      <c r="A87" s="49" t="s">
        <v>485</v>
      </c>
      <c r="B87" s="77" t="s">
        <v>481</v>
      </c>
      <c r="C87" s="56">
        <v>14490000</v>
      </c>
      <c r="D87" s="200"/>
      <c r="E87" s="134"/>
      <c r="F87" s="134"/>
      <c r="G87" s="6">
        <v>0</v>
      </c>
      <c r="H87" s="134"/>
      <c r="I87" s="134"/>
      <c r="J87" s="6">
        <f t="shared" si="44"/>
        <v>-14490000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486</v>
      </c>
      <c r="B88" s="77" t="s">
        <v>482</v>
      </c>
      <c r="C88" s="56">
        <v>11680000</v>
      </c>
      <c r="D88" s="200"/>
      <c r="E88" s="134"/>
      <c r="F88" s="134"/>
      <c r="G88" s="6">
        <v>0</v>
      </c>
      <c r="H88" s="134"/>
      <c r="I88" s="134"/>
      <c r="J88" s="6">
        <f t="shared" si="44"/>
        <v>-11680000</v>
      </c>
      <c r="K88" s="56"/>
      <c r="L88" s="4"/>
      <c r="M88" s="4"/>
      <c r="N88" s="4"/>
      <c r="O88" s="4"/>
      <c r="P88" s="4"/>
      <c r="Q88" s="4"/>
      <c r="R88" s="9"/>
    </row>
    <row r="89" spans="1:18" s="796" customFormat="1" ht="25.5" x14ac:dyDescent="0.25">
      <c r="A89" s="799" t="s">
        <v>508</v>
      </c>
      <c r="B89" s="802" t="s">
        <v>90</v>
      </c>
      <c r="C89" s="800">
        <v>10280000</v>
      </c>
      <c r="D89" s="789"/>
      <c r="E89" s="790"/>
      <c r="F89" s="790"/>
      <c r="G89" s="791"/>
      <c r="H89" s="790"/>
      <c r="I89" s="790"/>
      <c r="J89" s="791"/>
      <c r="K89" s="792"/>
      <c r="L89" s="794"/>
      <c r="M89" s="794"/>
      <c r="N89" s="794"/>
      <c r="O89" s="794"/>
      <c r="P89" s="794"/>
      <c r="Q89" s="794"/>
      <c r="R89" s="795"/>
    </row>
    <row r="90" spans="1:18" ht="25.5" x14ac:dyDescent="0.25">
      <c r="A90" s="49" t="s">
        <v>487</v>
      </c>
      <c r="B90" s="77" t="s">
        <v>509</v>
      </c>
      <c r="C90" s="56">
        <v>10280000</v>
      </c>
      <c r="D90" s="200"/>
      <c r="E90" s="134"/>
      <c r="F90" s="134"/>
      <c r="G90" s="6"/>
      <c r="H90" s="134"/>
      <c r="I90" s="134"/>
      <c r="J90" s="6">
        <f>G90-C90</f>
        <v>-10280000</v>
      </c>
      <c r="K90" s="56"/>
      <c r="L90" s="4"/>
      <c r="M90" s="4"/>
      <c r="N90" s="4"/>
      <c r="O90" s="4"/>
      <c r="P90" s="4"/>
      <c r="Q90" s="4"/>
      <c r="R90" s="9"/>
    </row>
    <row r="91" spans="1:18" ht="25.5" x14ac:dyDescent="0.25">
      <c r="A91" s="238" t="s">
        <v>510</v>
      </c>
      <c r="B91" s="240" t="s">
        <v>90</v>
      </c>
      <c r="C91" s="239">
        <v>47010000</v>
      </c>
      <c r="D91" s="241"/>
      <c r="E91" s="242"/>
      <c r="F91" s="242"/>
      <c r="G91" s="791">
        <v>0</v>
      </c>
      <c r="H91" s="242"/>
      <c r="I91" s="242"/>
      <c r="J91" s="791">
        <v>0</v>
      </c>
      <c r="K91" s="244"/>
      <c r="L91" s="4"/>
      <c r="M91" s="4"/>
      <c r="N91" s="4"/>
      <c r="O91" s="4"/>
      <c r="P91" s="4"/>
      <c r="Q91" s="4"/>
      <c r="R91" s="9"/>
    </row>
    <row r="92" spans="1:18" s="783" customFormat="1" x14ac:dyDescent="0.25">
      <c r="A92" s="124" t="s">
        <v>448</v>
      </c>
      <c r="B92" s="707" t="s">
        <v>445</v>
      </c>
      <c r="C92" s="743">
        <v>170000</v>
      </c>
      <c r="D92" s="741"/>
      <c r="E92" s="742"/>
      <c r="F92" s="742"/>
      <c r="G92" s="6">
        <v>0</v>
      </c>
      <c r="H92" s="742"/>
      <c r="I92" s="742"/>
      <c r="J92" s="6">
        <f t="shared" ref="J92:J94" si="45">G92-C92</f>
        <v>-170000</v>
      </c>
      <c r="K92" s="743"/>
      <c r="L92" s="737"/>
      <c r="M92" s="737"/>
      <c r="N92" s="737"/>
      <c r="O92" s="737"/>
      <c r="P92" s="737"/>
      <c r="Q92" s="737"/>
      <c r="R92" s="782"/>
    </row>
    <row r="93" spans="1:18" x14ac:dyDescent="0.25">
      <c r="A93" s="49" t="s">
        <v>490</v>
      </c>
      <c r="B93" s="316" t="s">
        <v>488</v>
      </c>
      <c r="C93" s="56">
        <v>8500000</v>
      </c>
      <c r="D93" s="200">
        <f>C93/C91*100</f>
        <v>18.081259306530526</v>
      </c>
      <c r="E93" s="134">
        <f t="shared" ref="E93:E94" si="46">G93/C93*100</f>
        <v>0</v>
      </c>
      <c r="F93" s="134">
        <f t="shared" ref="F93:F94" si="47">(D93*E93)/100</f>
        <v>0</v>
      </c>
      <c r="G93" s="6">
        <v>0</v>
      </c>
      <c r="H93" s="134">
        <f t="shared" ref="H93:H94" si="48">G93/C93*100</f>
        <v>0</v>
      </c>
      <c r="I93" s="134">
        <f t="shared" ref="I93:I94" si="49">(D93*H93)/100</f>
        <v>0</v>
      </c>
      <c r="J93" s="6">
        <f t="shared" si="45"/>
        <v>-8500000</v>
      </c>
      <c r="K93" s="56"/>
      <c r="L93" s="4"/>
      <c r="M93" s="4"/>
      <c r="N93" s="4"/>
      <c r="O93" s="4"/>
      <c r="P93" s="4"/>
      <c r="Q93" s="4"/>
      <c r="R93" s="9"/>
    </row>
    <row r="94" spans="1:18" ht="25.5" x14ac:dyDescent="0.25">
      <c r="A94" s="49" t="s">
        <v>491</v>
      </c>
      <c r="B94" s="77" t="s">
        <v>489</v>
      </c>
      <c r="C94" s="56">
        <v>38340000</v>
      </c>
      <c r="D94" s="200">
        <f>C94/C91*100</f>
        <v>81.557115507338864</v>
      </c>
      <c r="E94" s="134">
        <f t="shared" si="46"/>
        <v>0</v>
      </c>
      <c r="F94" s="134">
        <f t="shared" si="47"/>
        <v>0</v>
      </c>
      <c r="G94" s="6">
        <v>0</v>
      </c>
      <c r="H94" s="134">
        <f t="shared" si="48"/>
        <v>0</v>
      </c>
      <c r="I94" s="134">
        <f t="shared" si="49"/>
        <v>0</v>
      </c>
      <c r="J94" s="6">
        <f t="shared" si="45"/>
        <v>-38340000</v>
      </c>
      <c r="K94" s="56"/>
      <c r="L94" s="4"/>
      <c r="M94" s="695"/>
      <c r="N94" s="4"/>
      <c r="O94" s="4"/>
      <c r="P94" s="4"/>
      <c r="Q94" s="4"/>
      <c r="R94" s="9"/>
    </row>
    <row r="95" spans="1:18" x14ac:dyDescent="0.25">
      <c r="A95" s="1045" t="s">
        <v>95</v>
      </c>
      <c r="B95" s="1046"/>
      <c r="C95" s="1047"/>
      <c r="D95" s="81"/>
      <c r="E95" s="134"/>
      <c r="F95" s="134"/>
      <c r="G95" s="768">
        <f>SUM(G8:G94)</f>
        <v>418502331</v>
      </c>
      <c r="H95" s="134"/>
      <c r="I95" s="134"/>
      <c r="J95" s="781">
        <v>0</v>
      </c>
      <c r="K95" s="130"/>
      <c r="L95" s="1"/>
      <c r="M95" s="1"/>
      <c r="N95" s="1"/>
      <c r="O95" s="1"/>
      <c r="P95" s="1"/>
      <c r="Q95" s="1"/>
      <c r="R95" s="1"/>
    </row>
    <row r="96" spans="1:18" x14ac:dyDescent="0.25">
      <c r="A96" s="50"/>
      <c r="B96" s="5"/>
      <c r="C96" s="50"/>
      <c r="D96" s="9"/>
      <c r="E96" s="23"/>
      <c r="F96" s="23"/>
      <c r="G96" s="11"/>
      <c r="H96" s="23"/>
      <c r="I96" s="23"/>
      <c r="J96" s="4"/>
      <c r="K96" s="9"/>
      <c r="L96" s="1"/>
      <c r="M96" s="1"/>
      <c r="N96" s="1"/>
      <c r="O96" s="1"/>
      <c r="P96" s="1"/>
      <c r="Q96" s="1"/>
      <c r="R96" s="1"/>
    </row>
    <row r="97" spans="1:18" x14ac:dyDescent="0.25">
      <c r="A97" s="1036" t="s">
        <v>0</v>
      </c>
      <c r="B97" s="1036"/>
      <c r="C97" s="1036"/>
      <c r="D97" s="1036"/>
      <c r="E97" s="1037"/>
      <c r="F97" s="1037"/>
      <c r="G97" s="1038"/>
      <c r="H97" s="1037"/>
      <c r="I97" s="1037"/>
      <c r="J97" s="1036"/>
      <c r="K97" s="1036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511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9"/>
      <c r="M98" s="9"/>
      <c r="N98" s="9"/>
      <c r="O98" s="9"/>
      <c r="P98" s="9"/>
      <c r="Q98" s="9"/>
      <c r="R98" s="9"/>
    </row>
    <row r="99" spans="1:18" x14ac:dyDescent="0.25">
      <c r="A99" s="1161" t="s">
        <v>173</v>
      </c>
      <c r="B99" s="1161"/>
      <c r="C99" s="1161"/>
      <c r="D99" s="1161"/>
      <c r="E99" s="1161"/>
      <c r="F99" s="1161"/>
      <c r="G99" s="1161"/>
      <c r="H99" s="1161"/>
      <c r="I99" s="1161"/>
      <c r="J99" s="1161"/>
      <c r="K99" s="1161"/>
      <c r="L99" s="9"/>
      <c r="M99" s="9"/>
      <c r="N99" s="9"/>
      <c r="O99" s="9"/>
      <c r="P99" s="9"/>
      <c r="Q99" s="9"/>
      <c r="R99" s="9"/>
    </row>
    <row r="100" spans="1:18" x14ac:dyDescent="0.25">
      <c r="A100" s="1048" t="s">
        <v>2</v>
      </c>
      <c r="B100" s="1051" t="s">
        <v>3</v>
      </c>
      <c r="C100" s="1048" t="s">
        <v>4</v>
      </c>
      <c r="D100" s="1054" t="s">
        <v>5</v>
      </c>
      <c r="E100" s="1055"/>
      <c r="F100" s="1055"/>
      <c r="G100" s="1044" t="s">
        <v>6</v>
      </c>
      <c r="H100" s="1055"/>
      <c r="I100" s="1055"/>
      <c r="J100" s="1048" t="s">
        <v>7</v>
      </c>
      <c r="K100" s="213" t="s">
        <v>8</v>
      </c>
      <c r="L100" s="9"/>
      <c r="M100" s="9"/>
      <c r="N100" s="9"/>
      <c r="O100" s="9"/>
      <c r="P100" s="9"/>
      <c r="Q100" s="9"/>
      <c r="R100" s="9"/>
    </row>
    <row r="101" spans="1:18" x14ac:dyDescent="0.25">
      <c r="A101" s="1049"/>
      <c r="B101" s="1052"/>
      <c r="C101" s="1049"/>
      <c r="D101" s="209" t="s">
        <v>9</v>
      </c>
      <c r="E101" s="214" t="s">
        <v>10</v>
      </c>
      <c r="F101" s="214" t="s">
        <v>11</v>
      </c>
      <c r="G101" s="209" t="s">
        <v>12</v>
      </c>
      <c r="H101" s="214" t="s">
        <v>13</v>
      </c>
      <c r="I101" s="214" t="s">
        <v>11</v>
      </c>
      <c r="J101" s="1049"/>
      <c r="K101" s="209"/>
      <c r="L101" s="1"/>
      <c r="M101" s="1"/>
      <c r="N101" s="1"/>
      <c r="O101" s="1"/>
      <c r="P101" s="1"/>
      <c r="Q101" s="1"/>
      <c r="R101" s="1"/>
    </row>
    <row r="102" spans="1:18" x14ac:dyDescent="0.25">
      <c r="A102" s="1050"/>
      <c r="B102" s="1053"/>
      <c r="C102" s="1050"/>
      <c r="D102" s="212" t="s">
        <v>14</v>
      </c>
      <c r="E102" s="215" t="s">
        <v>14</v>
      </c>
      <c r="F102" s="215" t="s">
        <v>14</v>
      </c>
      <c r="G102" s="212" t="s">
        <v>15</v>
      </c>
      <c r="H102" s="215" t="s">
        <v>14</v>
      </c>
      <c r="I102" s="215" t="s">
        <v>14</v>
      </c>
      <c r="J102" s="212" t="s">
        <v>15</v>
      </c>
      <c r="K102" s="212"/>
      <c r="L102" s="1"/>
      <c r="M102" s="1"/>
      <c r="N102" s="1"/>
      <c r="O102" s="1"/>
      <c r="P102" s="1"/>
      <c r="Q102" s="1"/>
      <c r="R102" s="1"/>
    </row>
    <row r="103" spans="1:18" ht="26.25" thickBot="1" x14ac:dyDescent="0.3">
      <c r="A103" s="227" t="s">
        <v>220</v>
      </c>
      <c r="B103" s="704" t="s">
        <v>212</v>
      </c>
      <c r="C103" s="245">
        <f>SUM(C104:C104)</f>
        <v>1071720000</v>
      </c>
      <c r="D103" s="6"/>
      <c r="E103" s="203"/>
      <c r="F103" s="204"/>
      <c r="G103" s="6"/>
      <c r="H103" s="204"/>
      <c r="I103" s="204"/>
      <c r="J103" s="6"/>
      <c r="K103" s="6"/>
      <c r="L103" s="1"/>
      <c r="M103" s="1"/>
      <c r="N103" s="1"/>
      <c r="O103" s="714"/>
      <c r="P103" s="1"/>
      <c r="Q103" s="1"/>
      <c r="R103" s="1"/>
    </row>
    <row r="104" spans="1:18" ht="26.25" thickBot="1" x14ac:dyDescent="0.3">
      <c r="A104" s="703" t="s">
        <v>180</v>
      </c>
      <c r="B104" s="705" t="s">
        <v>379</v>
      </c>
      <c r="C104" s="246">
        <f>SUM(C105:C105)</f>
        <v>1071720000</v>
      </c>
      <c r="D104" s="226"/>
      <c r="E104" s="204"/>
      <c r="F104" s="204"/>
      <c r="G104" s="6"/>
      <c r="H104" s="204"/>
      <c r="I104" s="204"/>
      <c r="J104" s="6"/>
      <c r="K104" s="6"/>
      <c r="L104" s="1"/>
      <c r="M104" s="1"/>
      <c r="N104" s="1"/>
      <c r="O104" s="1"/>
      <c r="P104" s="1"/>
      <c r="Q104" s="1"/>
      <c r="R104" s="1"/>
    </row>
    <row r="105" spans="1:18" ht="25.5" x14ac:dyDescent="0.25">
      <c r="A105" s="698" t="s">
        <v>181</v>
      </c>
      <c r="B105" s="706" t="s">
        <v>380</v>
      </c>
      <c r="C105" s="246">
        <f>SUM(C106:C127)</f>
        <v>1071720000</v>
      </c>
      <c r="D105" s="236"/>
      <c r="E105" s="278"/>
      <c r="F105" s="278"/>
      <c r="G105" s="236"/>
      <c r="H105" s="278"/>
      <c r="I105" s="278"/>
      <c r="J105" s="236"/>
      <c r="K105" s="236"/>
      <c r="L105" s="1"/>
      <c r="M105" s="1"/>
      <c r="N105" s="1"/>
      <c r="O105" s="715"/>
      <c r="P105" s="1"/>
      <c r="Q105" s="1"/>
      <c r="R105" s="1"/>
    </row>
    <row r="106" spans="1:18" ht="15" customHeight="1" x14ac:dyDescent="0.25">
      <c r="A106" s="315" t="s">
        <v>44</v>
      </c>
      <c r="B106" s="707" t="s">
        <v>384</v>
      </c>
      <c r="C106" s="722">
        <v>53020000</v>
      </c>
      <c r="D106" s="722">
        <f>C106/C104*100</f>
        <v>4.947187698279401</v>
      </c>
      <c r="E106" s="134">
        <f t="shared" ref="E106:E126" si="50">G106/C106*100</f>
        <v>0</v>
      </c>
      <c r="F106" s="134">
        <f t="shared" ref="F106:F126" si="51">(D106*E106)/100</f>
        <v>0</v>
      </c>
      <c r="G106" s="6">
        <v>0</v>
      </c>
      <c r="H106" s="134">
        <f t="shared" ref="H106:H126" si="52">G106/C106*100</f>
        <v>0</v>
      </c>
      <c r="I106" s="134">
        <f t="shared" ref="I106:I126" si="53">(D106*H106)/100</f>
        <v>0</v>
      </c>
      <c r="J106" s="6">
        <f t="shared" ref="J106:J127" si="54">G106-C106</f>
        <v>-53020000</v>
      </c>
      <c r="K106" s="6"/>
      <c r="L106" s="1"/>
      <c r="M106" s="1"/>
      <c r="N106" s="1"/>
      <c r="O106" s="1"/>
      <c r="P106" s="1"/>
      <c r="Q106" s="1"/>
      <c r="R106" s="1"/>
    </row>
    <row r="107" spans="1:18" ht="15" customHeight="1" x14ac:dyDescent="0.25">
      <c r="A107" s="315" t="s">
        <v>518</v>
      </c>
      <c r="B107" s="707" t="s">
        <v>512</v>
      </c>
      <c r="C107" s="722">
        <v>1500000</v>
      </c>
      <c r="D107" s="722"/>
      <c r="E107" s="134"/>
      <c r="F107" s="134"/>
      <c r="G107" s="6"/>
      <c r="H107" s="134"/>
      <c r="I107" s="134"/>
      <c r="J107" s="6">
        <f t="shared" si="54"/>
        <v>-1500000</v>
      </c>
      <c r="K107" s="6"/>
      <c r="L107" s="1"/>
      <c r="M107" s="1"/>
      <c r="N107" s="1"/>
      <c r="O107" s="1"/>
      <c r="P107" s="1"/>
      <c r="Q107" s="1"/>
      <c r="R107" s="1"/>
    </row>
    <row r="108" spans="1:18" x14ac:dyDescent="0.25">
      <c r="A108" s="315" t="s">
        <v>59</v>
      </c>
      <c r="B108" s="707" t="s">
        <v>197</v>
      </c>
      <c r="C108" s="247">
        <v>24044000</v>
      </c>
      <c r="D108" s="279">
        <f>C108/C104*100</f>
        <v>2.2434964356361737</v>
      </c>
      <c r="E108" s="134">
        <f t="shared" si="50"/>
        <v>0</v>
      </c>
      <c r="F108" s="134">
        <f t="shared" si="51"/>
        <v>0</v>
      </c>
      <c r="G108" s="6">
        <v>0</v>
      </c>
      <c r="H108" s="134">
        <f t="shared" si="52"/>
        <v>0</v>
      </c>
      <c r="I108" s="134">
        <f t="shared" si="53"/>
        <v>0</v>
      </c>
      <c r="J108" s="6">
        <f t="shared" si="54"/>
        <v>-24044000</v>
      </c>
      <c r="K108" s="6"/>
      <c r="L108" s="1"/>
      <c r="M108" s="25"/>
    </row>
    <row r="109" spans="1:18" x14ac:dyDescent="0.25">
      <c r="A109" s="228" t="s">
        <v>62</v>
      </c>
      <c r="B109" s="707" t="s">
        <v>334</v>
      </c>
      <c r="C109" s="247">
        <v>25150000</v>
      </c>
      <c r="D109" s="279">
        <f>C109/C104*100</f>
        <v>2.3466950322845519</v>
      </c>
      <c r="E109" s="134">
        <f t="shared" si="50"/>
        <v>0</v>
      </c>
      <c r="F109" s="134">
        <f t="shared" si="51"/>
        <v>0</v>
      </c>
      <c r="G109" s="6">
        <v>0</v>
      </c>
      <c r="H109" s="134">
        <f t="shared" si="52"/>
        <v>0</v>
      </c>
      <c r="I109" s="134">
        <f t="shared" si="53"/>
        <v>0</v>
      </c>
      <c r="J109" s="6">
        <f t="shared" si="54"/>
        <v>-25150000</v>
      </c>
      <c r="K109" s="6"/>
      <c r="L109" s="1"/>
      <c r="M109" s="1"/>
      <c r="O109" s="716"/>
    </row>
    <row r="110" spans="1:18" x14ac:dyDescent="0.25">
      <c r="A110" s="315" t="s">
        <v>54</v>
      </c>
      <c r="B110" s="707" t="s">
        <v>386</v>
      </c>
      <c r="C110" s="248">
        <v>6000000</v>
      </c>
      <c r="D110" s="279">
        <f>C110/C104*100</f>
        <v>0.55984772141977379</v>
      </c>
      <c r="E110" s="134">
        <f t="shared" si="50"/>
        <v>0</v>
      </c>
      <c r="F110" s="134">
        <f t="shared" si="51"/>
        <v>0</v>
      </c>
      <c r="G110" s="6">
        <v>0</v>
      </c>
      <c r="H110" s="134">
        <f t="shared" si="52"/>
        <v>0</v>
      </c>
      <c r="I110" s="134">
        <f t="shared" si="53"/>
        <v>0</v>
      </c>
      <c r="J110" s="6">
        <f t="shared" si="54"/>
        <v>-6000000</v>
      </c>
      <c r="K110" s="6"/>
      <c r="L110" s="1"/>
      <c r="M110" s="1"/>
    </row>
    <row r="111" spans="1:18" ht="25.5" x14ac:dyDescent="0.25">
      <c r="A111" s="315" t="s">
        <v>86</v>
      </c>
      <c r="B111" s="707" t="s">
        <v>545</v>
      </c>
      <c r="C111" s="732">
        <v>6000000</v>
      </c>
      <c r="D111" s="279"/>
      <c r="E111" s="134"/>
      <c r="F111" s="134"/>
      <c r="G111" s="6"/>
      <c r="H111" s="134"/>
      <c r="I111" s="134"/>
      <c r="J111" s="6">
        <f t="shared" si="54"/>
        <v>-6000000</v>
      </c>
      <c r="K111" s="6"/>
      <c r="L111" s="1"/>
      <c r="M111" s="1"/>
    </row>
    <row r="112" spans="1:18" ht="25.5" x14ac:dyDescent="0.25">
      <c r="A112" s="315" t="s">
        <v>193</v>
      </c>
      <c r="B112" s="316" t="s">
        <v>372</v>
      </c>
      <c r="C112" s="732">
        <v>20000000</v>
      </c>
      <c r="D112" s="279">
        <f>C112/C104*100</f>
        <v>1.8661590713992462</v>
      </c>
      <c r="E112" s="134">
        <f t="shared" si="50"/>
        <v>0</v>
      </c>
      <c r="F112" s="134">
        <f t="shared" si="51"/>
        <v>0</v>
      </c>
      <c r="G112" s="6">
        <v>0</v>
      </c>
      <c r="H112" s="134">
        <f t="shared" si="52"/>
        <v>0</v>
      </c>
      <c r="I112" s="134">
        <f t="shared" si="53"/>
        <v>0</v>
      </c>
      <c r="J112" s="6">
        <f t="shared" si="54"/>
        <v>-20000000</v>
      </c>
      <c r="K112" s="6"/>
      <c r="L112" s="1"/>
      <c r="M112" s="716"/>
    </row>
    <row r="113" spans="1:13" x14ac:dyDescent="0.25">
      <c r="A113" s="315" t="s">
        <v>519</v>
      </c>
      <c r="B113" s="315" t="s">
        <v>513</v>
      </c>
      <c r="C113" s="248">
        <v>2292000</v>
      </c>
      <c r="D113" s="279">
        <f>C113/C104*100</f>
        <v>0.21386182958235359</v>
      </c>
      <c r="E113" s="134">
        <v>0</v>
      </c>
      <c r="F113" s="134">
        <f t="shared" si="51"/>
        <v>0</v>
      </c>
      <c r="G113" s="6">
        <v>0</v>
      </c>
      <c r="H113" s="134">
        <v>0</v>
      </c>
      <c r="I113" s="134">
        <f t="shared" si="53"/>
        <v>0</v>
      </c>
      <c r="J113" s="6">
        <f t="shared" si="54"/>
        <v>-2292000</v>
      </c>
      <c r="K113" s="6"/>
      <c r="L113" s="1"/>
      <c r="M113" s="1"/>
    </row>
    <row r="114" spans="1:13" x14ac:dyDescent="0.25">
      <c r="A114" s="228" t="s">
        <v>77</v>
      </c>
      <c r="B114" s="315" t="s">
        <v>103</v>
      </c>
      <c r="C114" s="247">
        <v>325910000</v>
      </c>
      <c r="D114" s="279">
        <f>C114/C104*100</f>
        <v>30.409995147986415</v>
      </c>
      <c r="E114" s="134">
        <f t="shared" si="50"/>
        <v>0</v>
      </c>
      <c r="F114" s="134">
        <f t="shared" si="51"/>
        <v>0</v>
      </c>
      <c r="G114" s="6">
        <v>0</v>
      </c>
      <c r="H114" s="134">
        <f t="shared" si="52"/>
        <v>0</v>
      </c>
      <c r="I114" s="134">
        <f t="shared" si="53"/>
        <v>0</v>
      </c>
      <c r="J114" s="6">
        <f t="shared" si="54"/>
        <v>-325910000</v>
      </c>
      <c r="K114" s="6"/>
      <c r="L114" s="1"/>
      <c r="M114" s="1"/>
    </row>
    <row r="115" spans="1:13" x14ac:dyDescent="0.25">
      <c r="A115" s="228" t="s">
        <v>225</v>
      </c>
      <c r="B115" s="315" t="s">
        <v>217</v>
      </c>
      <c r="C115" s="247">
        <v>600000</v>
      </c>
      <c r="D115" s="279">
        <f>C115/C104*100</f>
        <v>5.5984772141977376E-2</v>
      </c>
      <c r="E115" s="134">
        <f t="shared" si="50"/>
        <v>0</v>
      </c>
      <c r="F115" s="134">
        <f t="shared" si="51"/>
        <v>0</v>
      </c>
      <c r="G115" s="6">
        <v>0</v>
      </c>
      <c r="H115" s="134">
        <f t="shared" si="52"/>
        <v>0</v>
      </c>
      <c r="I115" s="134">
        <f t="shared" si="53"/>
        <v>0</v>
      </c>
      <c r="J115" s="6">
        <f t="shared" si="54"/>
        <v>-600000</v>
      </c>
      <c r="K115" s="6"/>
      <c r="L115" s="1"/>
      <c r="M115" s="1"/>
    </row>
    <row r="116" spans="1:13" x14ac:dyDescent="0.25">
      <c r="A116" s="228" t="s">
        <v>283</v>
      </c>
      <c r="B116" s="315" t="s">
        <v>514</v>
      </c>
      <c r="C116" s="247">
        <v>5000000</v>
      </c>
      <c r="D116" s="279">
        <f>C116/C104*100</f>
        <v>0.46653976784981155</v>
      </c>
      <c r="E116" s="134">
        <f t="shared" si="50"/>
        <v>0</v>
      </c>
      <c r="F116" s="134">
        <f t="shared" si="51"/>
        <v>0</v>
      </c>
      <c r="G116" s="6">
        <v>0</v>
      </c>
      <c r="H116" s="134">
        <f t="shared" si="52"/>
        <v>0</v>
      </c>
      <c r="I116" s="134">
        <f t="shared" si="53"/>
        <v>0</v>
      </c>
      <c r="J116" s="6">
        <f t="shared" si="54"/>
        <v>-5000000</v>
      </c>
      <c r="K116" s="6"/>
      <c r="L116" s="1"/>
      <c r="M116" s="1"/>
    </row>
    <row r="117" spans="1:13" x14ac:dyDescent="0.25">
      <c r="A117" s="228" t="s">
        <v>104</v>
      </c>
      <c r="B117" s="315" t="s">
        <v>105</v>
      </c>
      <c r="C117" s="249">
        <v>76700000</v>
      </c>
      <c r="D117" s="279">
        <f>C117/C104*100</f>
        <v>7.1567200388161085</v>
      </c>
      <c r="E117" s="134">
        <f t="shared" si="50"/>
        <v>0</v>
      </c>
      <c r="F117" s="134">
        <f t="shared" si="51"/>
        <v>0</v>
      </c>
      <c r="G117" s="6">
        <v>0</v>
      </c>
      <c r="H117" s="134">
        <f t="shared" si="52"/>
        <v>0</v>
      </c>
      <c r="I117" s="134">
        <f t="shared" si="53"/>
        <v>0</v>
      </c>
      <c r="J117" s="6">
        <f t="shared" si="54"/>
        <v>-76700000</v>
      </c>
      <c r="K117" s="6"/>
      <c r="L117" s="1"/>
      <c r="M117" s="1"/>
    </row>
    <row r="118" spans="1:13" x14ac:dyDescent="0.25">
      <c r="A118" s="228" t="s">
        <v>130</v>
      </c>
      <c r="B118" s="315" t="s">
        <v>392</v>
      </c>
      <c r="C118" s="249">
        <v>28200000</v>
      </c>
      <c r="D118" s="279"/>
      <c r="E118" s="134"/>
      <c r="F118" s="134"/>
      <c r="G118" s="6">
        <v>0</v>
      </c>
      <c r="H118" s="134"/>
      <c r="I118" s="134"/>
      <c r="J118" s="6">
        <f t="shared" si="54"/>
        <v>-28200000</v>
      </c>
      <c r="K118" s="6"/>
      <c r="L118" s="1"/>
      <c r="M118" s="1"/>
    </row>
    <row r="119" spans="1:13" ht="25.5" x14ac:dyDescent="0.25">
      <c r="A119" s="228" t="s">
        <v>106</v>
      </c>
      <c r="B119" s="316" t="s">
        <v>107</v>
      </c>
      <c r="C119" s="251">
        <v>139200000</v>
      </c>
      <c r="D119" s="279">
        <f>C119/C104*100</f>
        <v>12.988467136938752</v>
      </c>
      <c r="E119" s="134">
        <f t="shared" si="50"/>
        <v>0</v>
      </c>
      <c r="F119" s="134">
        <f t="shared" si="51"/>
        <v>0</v>
      </c>
      <c r="G119" s="6">
        <v>0</v>
      </c>
      <c r="H119" s="134">
        <f t="shared" si="52"/>
        <v>0</v>
      </c>
      <c r="I119" s="134">
        <f t="shared" si="53"/>
        <v>0</v>
      </c>
      <c r="J119" s="6">
        <f t="shared" si="54"/>
        <v>-139200000</v>
      </c>
      <c r="K119" s="6"/>
      <c r="L119" s="1"/>
      <c r="M119" s="1"/>
    </row>
    <row r="120" spans="1:13" x14ac:dyDescent="0.25">
      <c r="A120" s="228" t="s">
        <v>227</v>
      </c>
      <c r="B120" s="315" t="s">
        <v>218</v>
      </c>
      <c r="C120" s="250">
        <v>219000000</v>
      </c>
      <c r="D120" s="279">
        <f>C120/C104*100</f>
        <v>20.434441831821744</v>
      </c>
      <c r="E120" s="134">
        <f t="shared" si="50"/>
        <v>0</v>
      </c>
      <c r="F120" s="134">
        <f t="shared" si="51"/>
        <v>0</v>
      </c>
      <c r="G120" s="6">
        <v>0</v>
      </c>
      <c r="H120" s="134">
        <f t="shared" si="52"/>
        <v>0</v>
      </c>
      <c r="I120" s="134">
        <f t="shared" si="53"/>
        <v>0</v>
      </c>
      <c r="J120" s="6">
        <f t="shared" si="54"/>
        <v>-219000000</v>
      </c>
      <c r="K120" s="6"/>
      <c r="L120" s="1"/>
      <c r="M120" s="1"/>
    </row>
    <row r="121" spans="1:13" x14ac:dyDescent="0.25">
      <c r="A121" s="315" t="s">
        <v>108</v>
      </c>
      <c r="B121" s="315" t="s">
        <v>109</v>
      </c>
      <c r="C121" s="250">
        <v>1200000</v>
      </c>
      <c r="D121" s="279">
        <f>C121/C104*100</f>
        <v>0.11196954428395475</v>
      </c>
      <c r="E121" s="134">
        <f t="shared" si="50"/>
        <v>0</v>
      </c>
      <c r="F121" s="134">
        <f t="shared" si="51"/>
        <v>0</v>
      </c>
      <c r="G121" s="6">
        <v>0</v>
      </c>
      <c r="H121" s="134">
        <f t="shared" si="52"/>
        <v>0</v>
      </c>
      <c r="I121" s="134">
        <f t="shared" si="53"/>
        <v>0</v>
      </c>
      <c r="J121" s="6">
        <f t="shared" si="54"/>
        <v>-1200000</v>
      </c>
      <c r="K121" s="6"/>
      <c r="L121" s="1"/>
      <c r="M121" s="1"/>
    </row>
    <row r="122" spans="1:13" x14ac:dyDescent="0.25">
      <c r="A122" s="83" t="s">
        <v>162</v>
      </c>
      <c r="B122" s="315" t="s">
        <v>515</v>
      </c>
      <c r="C122" s="250">
        <v>3000000</v>
      </c>
      <c r="D122" s="279">
        <f>C122/C104*100</f>
        <v>0.2799238607098869</v>
      </c>
      <c r="E122" s="134">
        <f t="shared" si="50"/>
        <v>0</v>
      </c>
      <c r="F122" s="134">
        <f t="shared" si="51"/>
        <v>0</v>
      </c>
      <c r="G122" s="6">
        <v>0</v>
      </c>
      <c r="H122" s="134">
        <f t="shared" si="52"/>
        <v>0</v>
      </c>
      <c r="I122" s="134">
        <f t="shared" si="53"/>
        <v>0</v>
      </c>
      <c r="J122" s="6">
        <f t="shared" si="54"/>
        <v>-3000000</v>
      </c>
      <c r="K122" s="6"/>
      <c r="L122" s="1"/>
      <c r="M122" s="1"/>
    </row>
    <row r="123" spans="1:13" ht="25.5" x14ac:dyDescent="0.25">
      <c r="A123" s="315" t="s">
        <v>116</v>
      </c>
      <c r="B123" s="316" t="s">
        <v>516</v>
      </c>
      <c r="C123" s="250">
        <v>7603000</v>
      </c>
      <c r="D123" s="279">
        <f>C123/C104*100</f>
        <v>0.70942037099242339</v>
      </c>
      <c r="E123" s="134">
        <f t="shared" si="50"/>
        <v>0</v>
      </c>
      <c r="F123" s="134">
        <f t="shared" si="51"/>
        <v>0</v>
      </c>
      <c r="G123" s="6">
        <v>0</v>
      </c>
      <c r="H123" s="134">
        <f t="shared" si="52"/>
        <v>0</v>
      </c>
      <c r="I123" s="134">
        <f t="shared" si="53"/>
        <v>0</v>
      </c>
      <c r="J123" s="6">
        <f t="shared" si="54"/>
        <v>-7603000</v>
      </c>
      <c r="K123" s="6"/>
      <c r="L123" s="1"/>
      <c r="M123" s="1"/>
    </row>
    <row r="124" spans="1:13" x14ac:dyDescent="0.25">
      <c r="A124" s="228" t="s">
        <v>65</v>
      </c>
      <c r="B124" s="315" t="s">
        <v>393</v>
      </c>
      <c r="C124" s="251">
        <v>43666000</v>
      </c>
      <c r="D124" s="279">
        <f>C124/C105*100</f>
        <v>4.0743851005859737</v>
      </c>
      <c r="E124" s="134">
        <f t="shared" si="50"/>
        <v>0</v>
      </c>
      <c r="F124" s="134">
        <f t="shared" ref="F124:F125" si="55">(D124*E124)/100</f>
        <v>0</v>
      </c>
      <c r="G124" s="6">
        <v>0</v>
      </c>
      <c r="H124" s="134">
        <f t="shared" si="52"/>
        <v>0</v>
      </c>
      <c r="I124" s="134">
        <f t="shared" si="53"/>
        <v>0</v>
      </c>
      <c r="J124" s="6">
        <f t="shared" si="54"/>
        <v>-43666000</v>
      </c>
      <c r="K124" s="6"/>
    </row>
    <row r="125" spans="1:13" x14ac:dyDescent="0.25">
      <c r="A125" s="228" t="s">
        <v>66</v>
      </c>
      <c r="B125" s="315" t="s">
        <v>120</v>
      </c>
      <c r="C125" s="251">
        <v>38885000</v>
      </c>
      <c r="D125" s="279">
        <f>C125/C106*100</f>
        <v>73.340248962655593</v>
      </c>
      <c r="E125" s="134">
        <f t="shared" si="50"/>
        <v>0</v>
      </c>
      <c r="F125" s="134">
        <f t="shared" si="55"/>
        <v>0</v>
      </c>
      <c r="G125" s="6">
        <v>0</v>
      </c>
      <c r="H125" s="134">
        <v>0</v>
      </c>
      <c r="I125" s="134">
        <v>0</v>
      </c>
      <c r="J125" s="6">
        <f t="shared" si="54"/>
        <v>-38885000</v>
      </c>
      <c r="K125" s="6"/>
    </row>
    <row r="126" spans="1:13" x14ac:dyDescent="0.25">
      <c r="A126" s="315" t="s">
        <v>287</v>
      </c>
      <c r="B126" s="315" t="s">
        <v>191</v>
      </c>
      <c r="C126" s="250">
        <v>15000000</v>
      </c>
      <c r="D126" s="279">
        <f>C126/C104*100</f>
        <v>1.3996193035494346</v>
      </c>
      <c r="E126" s="134">
        <f t="shared" si="50"/>
        <v>0</v>
      </c>
      <c r="F126" s="134">
        <f t="shared" si="51"/>
        <v>0</v>
      </c>
      <c r="G126" s="6">
        <v>0</v>
      </c>
      <c r="H126" s="134">
        <f t="shared" si="52"/>
        <v>0</v>
      </c>
      <c r="I126" s="134">
        <f t="shared" si="53"/>
        <v>0</v>
      </c>
      <c r="J126" s="6">
        <f t="shared" si="54"/>
        <v>-15000000</v>
      </c>
      <c r="K126" s="6"/>
    </row>
    <row r="127" spans="1:13" x14ac:dyDescent="0.25">
      <c r="A127" s="803" t="s">
        <v>520</v>
      </c>
      <c r="B127" s="315" t="s">
        <v>517</v>
      </c>
      <c r="C127" s="250">
        <v>29750000</v>
      </c>
      <c r="D127" s="279"/>
      <c r="E127" s="134"/>
      <c r="F127" s="134"/>
      <c r="G127" s="6"/>
      <c r="H127" s="134"/>
      <c r="I127" s="134"/>
      <c r="J127" s="6">
        <f t="shared" si="54"/>
        <v>-29750000</v>
      </c>
      <c r="K127" s="6"/>
    </row>
    <row r="128" spans="1:13" x14ac:dyDescent="0.25">
      <c r="A128" s="1066" t="s">
        <v>95</v>
      </c>
      <c r="B128" s="1067"/>
      <c r="C128" s="1068"/>
      <c r="D128" s="277"/>
      <c r="E128" s="134"/>
      <c r="F128" s="134"/>
      <c r="G128" s="26">
        <f>SUM(G106:G126)</f>
        <v>0</v>
      </c>
      <c r="H128" s="134"/>
      <c r="I128" s="134"/>
      <c r="J128" s="734"/>
      <c r="K128" s="26">
        <v>0</v>
      </c>
    </row>
    <row r="129" spans="1:15" x14ac:dyDescent="0.25">
      <c r="A129" s="52"/>
      <c r="B129" s="8"/>
      <c r="C129" s="52"/>
      <c r="D129" s="27"/>
      <c r="E129" s="28"/>
      <c r="F129" s="23"/>
      <c r="G129" s="11"/>
      <c r="H129" s="23"/>
      <c r="I129" s="23"/>
      <c r="J129" s="9"/>
      <c r="K129" s="9"/>
    </row>
    <row r="130" spans="1:15" x14ac:dyDescent="0.25">
      <c r="A130" s="50"/>
      <c r="B130" s="5"/>
      <c r="C130" s="50"/>
      <c r="D130" s="9"/>
      <c r="E130" s="23"/>
      <c r="F130" s="23"/>
      <c r="G130" s="11"/>
      <c r="H130" s="23"/>
      <c r="I130" s="23"/>
      <c r="J130" s="9"/>
      <c r="K130" s="9"/>
    </row>
    <row r="131" spans="1:15" x14ac:dyDescent="0.25">
      <c r="A131" s="1069" t="s">
        <v>2</v>
      </c>
      <c r="B131" s="1069" t="s">
        <v>123</v>
      </c>
      <c r="C131" s="772"/>
      <c r="D131" s="1063" t="s">
        <v>5</v>
      </c>
      <c r="E131" s="1064"/>
      <c r="F131" s="1064"/>
      <c r="G131" s="1065" t="s">
        <v>6</v>
      </c>
      <c r="H131" s="1064"/>
      <c r="I131" s="1064"/>
      <c r="J131" s="1056" t="s">
        <v>7</v>
      </c>
      <c r="K131" s="1056" t="s">
        <v>8</v>
      </c>
    </row>
    <row r="132" spans="1:15" x14ac:dyDescent="0.25">
      <c r="A132" s="1070"/>
      <c r="B132" s="1070"/>
      <c r="C132" s="773" t="s">
        <v>124</v>
      </c>
      <c r="D132" s="89" t="s">
        <v>9</v>
      </c>
      <c r="E132" s="90" t="s">
        <v>10</v>
      </c>
      <c r="F132" s="90" t="s">
        <v>11</v>
      </c>
      <c r="G132" s="91" t="s">
        <v>12</v>
      </c>
      <c r="H132" s="90" t="s">
        <v>13</v>
      </c>
      <c r="I132" s="90" t="s">
        <v>11</v>
      </c>
      <c r="J132" s="1057"/>
      <c r="K132" s="1057"/>
      <c r="O132" s="713"/>
    </row>
    <row r="133" spans="1:15" x14ac:dyDescent="0.25">
      <c r="A133" s="1071"/>
      <c r="B133" s="1071"/>
      <c r="C133" s="773"/>
      <c r="D133" s="92" t="s">
        <v>14</v>
      </c>
      <c r="E133" s="93" t="s">
        <v>14</v>
      </c>
      <c r="F133" s="93" t="s">
        <v>14</v>
      </c>
      <c r="G133" s="94" t="s">
        <v>15</v>
      </c>
      <c r="H133" s="93" t="s">
        <v>14</v>
      </c>
      <c r="I133" s="93" t="s">
        <v>14</v>
      </c>
      <c r="J133" s="92" t="s">
        <v>15</v>
      </c>
      <c r="K133" s="1058"/>
    </row>
    <row r="134" spans="1:15" ht="25.5" x14ac:dyDescent="0.25">
      <c r="A134" s="139" t="s">
        <v>180</v>
      </c>
      <c r="B134" s="696" t="s">
        <v>379</v>
      </c>
      <c r="C134" s="58"/>
      <c r="D134" s="38"/>
      <c r="E134" s="134"/>
      <c r="F134" s="134"/>
      <c r="G134" s="135"/>
      <c r="H134" s="134"/>
      <c r="I134" s="134"/>
      <c r="J134" s="38"/>
      <c r="K134" s="10"/>
    </row>
    <row r="135" spans="1:15" ht="25.5" x14ac:dyDescent="0.25">
      <c r="A135" s="176" t="s">
        <v>181</v>
      </c>
      <c r="B135" s="697" t="s">
        <v>380</v>
      </c>
      <c r="C135" s="86">
        <f>SUM(C136:C148)</f>
        <v>185000000</v>
      </c>
      <c r="D135" s="179"/>
      <c r="E135" s="180"/>
      <c r="F135" s="180"/>
      <c r="G135" s="181"/>
      <c r="H135" s="180"/>
      <c r="I135" s="180"/>
      <c r="J135" s="179"/>
      <c r="K135" s="167"/>
    </row>
    <row r="136" spans="1:15" ht="25.5" x14ac:dyDescent="0.25">
      <c r="A136" s="170" t="s">
        <v>44</v>
      </c>
      <c r="B136" s="707" t="s">
        <v>384</v>
      </c>
      <c r="C136" s="58">
        <v>8580000</v>
      </c>
      <c r="D136" s="180">
        <f>C136/C135*100</f>
        <v>4.6378378378378375</v>
      </c>
      <c r="E136" s="134">
        <f t="shared" ref="E136:E143" si="56">G136/C136*100</f>
        <v>0</v>
      </c>
      <c r="F136" s="134">
        <f t="shared" ref="F136:F143" si="57">(D136*E136)/100</f>
        <v>0</v>
      </c>
      <c r="G136" s="181">
        <v>0</v>
      </c>
      <c r="H136" s="134">
        <f t="shared" ref="H136:H143" si="58">G136/C136*100</f>
        <v>0</v>
      </c>
      <c r="I136" s="134">
        <f t="shared" ref="I136:I143" si="59">(D136*H136)/100</f>
        <v>0</v>
      </c>
      <c r="J136" s="6">
        <f t="shared" ref="J136:J148" si="60">G136-C136</f>
        <v>-8580000</v>
      </c>
      <c r="K136" s="167"/>
    </row>
    <row r="137" spans="1:15" x14ac:dyDescent="0.25">
      <c r="A137" s="170" t="s">
        <v>59</v>
      </c>
      <c r="B137" s="707" t="s">
        <v>197</v>
      </c>
      <c r="C137" s="58">
        <v>13390000</v>
      </c>
      <c r="D137" s="180">
        <f>C137/C135*100</f>
        <v>7.2378378378378381</v>
      </c>
      <c r="E137" s="134">
        <f t="shared" si="56"/>
        <v>0</v>
      </c>
      <c r="F137" s="134">
        <f t="shared" si="57"/>
        <v>0</v>
      </c>
      <c r="G137" s="181">
        <v>0</v>
      </c>
      <c r="H137" s="134">
        <f t="shared" si="58"/>
        <v>0</v>
      </c>
      <c r="I137" s="134">
        <f t="shared" si="59"/>
        <v>0</v>
      </c>
      <c r="J137" s="6">
        <f t="shared" si="60"/>
        <v>-13390000</v>
      </c>
      <c r="K137" s="167"/>
    </row>
    <row r="138" spans="1:15" x14ac:dyDescent="0.25">
      <c r="A138" s="170" t="s">
        <v>62</v>
      </c>
      <c r="B138" s="707" t="s">
        <v>334</v>
      </c>
      <c r="C138" s="58">
        <v>8840000</v>
      </c>
      <c r="D138" s="180">
        <v>2.34</v>
      </c>
      <c r="E138" s="134">
        <f t="shared" si="56"/>
        <v>0</v>
      </c>
      <c r="F138" s="134">
        <f t="shared" si="57"/>
        <v>0</v>
      </c>
      <c r="G138" s="181">
        <v>0</v>
      </c>
      <c r="H138" s="134">
        <f t="shared" si="58"/>
        <v>0</v>
      </c>
      <c r="I138" s="134">
        <f t="shared" si="59"/>
        <v>0</v>
      </c>
      <c r="J138" s="6">
        <f t="shared" si="60"/>
        <v>-8840000</v>
      </c>
      <c r="K138" s="167"/>
    </row>
    <row r="139" spans="1:15" ht="25.5" x14ac:dyDescent="0.25">
      <c r="A139" s="170" t="s">
        <v>193</v>
      </c>
      <c r="B139" s="316" t="s">
        <v>372</v>
      </c>
      <c r="C139" s="58">
        <v>6300000</v>
      </c>
      <c r="D139" s="180"/>
      <c r="E139" s="134"/>
      <c r="F139" s="134"/>
      <c r="G139" s="181">
        <v>0</v>
      </c>
      <c r="H139" s="134"/>
      <c r="I139" s="134"/>
      <c r="J139" s="6">
        <f t="shared" si="60"/>
        <v>-6300000</v>
      </c>
      <c r="K139" s="167"/>
    </row>
    <row r="140" spans="1:15" x14ac:dyDescent="0.25">
      <c r="A140" s="170" t="s">
        <v>148</v>
      </c>
      <c r="B140" s="133" t="s">
        <v>531</v>
      </c>
      <c r="C140" s="58">
        <v>10000000</v>
      </c>
      <c r="D140" s="180"/>
      <c r="E140" s="134"/>
      <c r="F140" s="134"/>
      <c r="G140" s="181">
        <v>0</v>
      </c>
      <c r="H140" s="134"/>
      <c r="I140" s="134"/>
      <c r="J140" s="6">
        <f t="shared" si="60"/>
        <v>-10000000</v>
      </c>
      <c r="K140" s="167"/>
    </row>
    <row r="141" spans="1:15" x14ac:dyDescent="0.25">
      <c r="A141" s="170" t="s">
        <v>77</v>
      </c>
      <c r="B141" s="170" t="s">
        <v>127</v>
      </c>
      <c r="C141" s="58">
        <v>67741000</v>
      </c>
      <c r="D141" s="180">
        <f>C141/C135*100</f>
        <v>36.616756756756757</v>
      </c>
      <c r="E141" s="134">
        <f t="shared" si="56"/>
        <v>0</v>
      </c>
      <c r="F141" s="134">
        <f t="shared" si="57"/>
        <v>0</v>
      </c>
      <c r="G141" s="181">
        <v>0</v>
      </c>
      <c r="H141" s="134">
        <f t="shared" si="58"/>
        <v>0</v>
      </c>
      <c r="I141" s="134">
        <f t="shared" si="59"/>
        <v>0</v>
      </c>
      <c r="J141" s="6">
        <f t="shared" si="60"/>
        <v>-67741000</v>
      </c>
      <c r="K141" s="167"/>
    </row>
    <row r="142" spans="1:15" x14ac:dyDescent="0.25">
      <c r="A142" s="170" t="s">
        <v>183</v>
      </c>
      <c r="B142" s="170" t="s">
        <v>178</v>
      </c>
      <c r="C142" s="58">
        <v>12000000</v>
      </c>
      <c r="D142" s="180">
        <f>C142/C135*100</f>
        <v>6.4864864864864868</v>
      </c>
      <c r="E142" s="134">
        <f t="shared" si="56"/>
        <v>0</v>
      </c>
      <c r="F142" s="134">
        <f t="shared" si="57"/>
        <v>0</v>
      </c>
      <c r="G142" s="181">
        <v>0</v>
      </c>
      <c r="H142" s="134">
        <f t="shared" si="58"/>
        <v>0</v>
      </c>
      <c r="I142" s="134">
        <f t="shared" si="59"/>
        <v>0</v>
      </c>
      <c r="J142" s="6">
        <f t="shared" si="60"/>
        <v>-12000000</v>
      </c>
      <c r="K142" s="167"/>
    </row>
    <row r="143" spans="1:15" x14ac:dyDescent="0.25">
      <c r="A143" s="170" t="s">
        <v>104</v>
      </c>
      <c r="B143" s="170" t="s">
        <v>182</v>
      </c>
      <c r="C143" s="58">
        <v>23200000</v>
      </c>
      <c r="D143" s="180">
        <f>C143/C135*100</f>
        <v>12.54054054054054</v>
      </c>
      <c r="E143" s="134">
        <f t="shared" si="56"/>
        <v>0</v>
      </c>
      <c r="F143" s="134">
        <f t="shared" si="57"/>
        <v>0</v>
      </c>
      <c r="G143" s="181">
        <v>0</v>
      </c>
      <c r="H143" s="134">
        <f t="shared" si="58"/>
        <v>0</v>
      </c>
      <c r="I143" s="134">
        <f t="shared" si="59"/>
        <v>0</v>
      </c>
      <c r="J143" s="6">
        <f t="shared" si="60"/>
        <v>-23200000</v>
      </c>
      <c r="K143" s="167"/>
    </row>
    <row r="144" spans="1:15" ht="25.5" x14ac:dyDescent="0.25">
      <c r="A144" s="170" t="s">
        <v>106</v>
      </c>
      <c r="B144" s="316" t="s">
        <v>107</v>
      </c>
      <c r="C144" s="58">
        <v>22200000</v>
      </c>
      <c r="D144" s="180"/>
      <c r="E144" s="134"/>
      <c r="F144" s="134"/>
      <c r="G144" s="181">
        <v>0</v>
      </c>
      <c r="H144" s="134"/>
      <c r="I144" s="134"/>
      <c r="J144" s="6">
        <f t="shared" si="60"/>
        <v>-22200000</v>
      </c>
      <c r="K144" s="167"/>
    </row>
    <row r="145" spans="1:14" x14ac:dyDescent="0.25">
      <c r="A145" s="170" t="s">
        <v>162</v>
      </c>
      <c r="B145" s="315" t="s">
        <v>515</v>
      </c>
      <c r="C145" s="58">
        <v>2000000</v>
      </c>
      <c r="D145" s="180"/>
      <c r="E145" s="134"/>
      <c r="F145" s="134"/>
      <c r="G145" s="181"/>
      <c r="H145" s="134"/>
      <c r="I145" s="134"/>
      <c r="J145" s="6">
        <f t="shared" si="60"/>
        <v>-2000000</v>
      </c>
      <c r="K145" s="167"/>
    </row>
    <row r="146" spans="1:14" x14ac:dyDescent="0.25">
      <c r="A146" s="170" t="s">
        <v>521</v>
      </c>
      <c r="B146" s="316" t="s">
        <v>526</v>
      </c>
      <c r="C146" s="58">
        <v>1000000</v>
      </c>
      <c r="D146" s="180"/>
      <c r="E146" s="134"/>
      <c r="F146" s="134"/>
      <c r="G146" s="181"/>
      <c r="H146" s="134"/>
      <c r="I146" s="134"/>
      <c r="J146" s="6">
        <f t="shared" si="60"/>
        <v>-1000000</v>
      </c>
      <c r="K146" s="167"/>
    </row>
    <row r="147" spans="1:14" ht="25.5" x14ac:dyDescent="0.25">
      <c r="A147" s="747" t="s">
        <v>116</v>
      </c>
      <c r="B147" s="316" t="s">
        <v>420</v>
      </c>
      <c r="C147" s="58">
        <v>2749000</v>
      </c>
      <c r="D147" s="180"/>
      <c r="E147" s="134"/>
      <c r="F147" s="134"/>
      <c r="G147" s="181">
        <v>0</v>
      </c>
      <c r="H147" s="134"/>
      <c r="I147" s="134"/>
      <c r="J147" s="6">
        <f t="shared" si="60"/>
        <v>-2749000</v>
      </c>
      <c r="K147" s="167"/>
    </row>
    <row r="148" spans="1:14" x14ac:dyDescent="0.25">
      <c r="A148" s="747" t="s">
        <v>65</v>
      </c>
      <c r="B148" s="315" t="s">
        <v>393</v>
      </c>
      <c r="C148" s="58">
        <v>7000000</v>
      </c>
      <c r="D148" s="180"/>
      <c r="E148" s="134"/>
      <c r="F148" s="134"/>
      <c r="G148" s="181">
        <v>0</v>
      </c>
      <c r="H148" s="134"/>
      <c r="I148" s="134"/>
      <c r="J148" s="6">
        <f t="shared" si="60"/>
        <v>-7000000</v>
      </c>
      <c r="K148" s="167"/>
    </row>
    <row r="149" spans="1:14" x14ac:dyDescent="0.25">
      <c r="A149" s="1059" t="s">
        <v>128</v>
      </c>
      <c r="B149" s="1060"/>
      <c r="C149" s="60">
        <f>SUM(C136:C148)</f>
        <v>185000000</v>
      </c>
      <c r="D149" s="276">
        <f>SUM(D136:D146)</f>
        <v>69.859459459459458</v>
      </c>
      <c r="E149" s="134"/>
      <c r="F149" s="134"/>
      <c r="G149" s="181">
        <v>0</v>
      </c>
      <c r="H149" s="134"/>
      <c r="I149" s="134"/>
      <c r="J149" s="56">
        <v>0</v>
      </c>
      <c r="K149" s="3"/>
    </row>
    <row r="150" spans="1:14" x14ac:dyDescent="0.25">
      <c r="A150" s="54"/>
      <c r="B150" s="54"/>
      <c r="C150" s="59"/>
      <c r="D150" s="182"/>
      <c r="E150" s="183"/>
      <c r="F150" s="183"/>
      <c r="G150" s="184"/>
      <c r="H150" s="183"/>
      <c r="I150" s="183"/>
      <c r="J150" s="185"/>
      <c r="K150" s="37"/>
    </row>
    <row r="151" spans="1:14" ht="31.5" x14ac:dyDescent="0.25">
      <c r="A151" s="55"/>
      <c r="B151" s="46" t="s">
        <v>145</v>
      </c>
      <c r="C151" s="155"/>
      <c r="D151" s="44"/>
      <c r="E151" s="45"/>
      <c r="F151" s="45"/>
      <c r="G151" s="48"/>
      <c r="H151" s="45"/>
      <c r="I151" s="45"/>
      <c r="J151" s="44"/>
      <c r="K151" s="44"/>
      <c r="L151" s="1"/>
      <c r="M151" s="1"/>
      <c r="N151" s="1"/>
    </row>
    <row r="152" spans="1:14" x14ac:dyDescent="0.25">
      <c r="A152" s="1061" t="s">
        <v>2</v>
      </c>
      <c r="B152" s="1062" t="s">
        <v>176</v>
      </c>
      <c r="C152" s="1061" t="s">
        <v>4</v>
      </c>
      <c r="D152" s="1063" t="s">
        <v>5</v>
      </c>
      <c r="E152" s="1064"/>
      <c r="F152" s="1064"/>
      <c r="G152" s="1065" t="s">
        <v>6</v>
      </c>
      <c r="H152" s="1064"/>
      <c r="I152" s="1064"/>
      <c r="J152" s="1061" t="s">
        <v>7</v>
      </c>
      <c r="K152" s="281" t="s">
        <v>8</v>
      </c>
      <c r="L152" s="1"/>
      <c r="M152" s="1"/>
      <c r="N152" s="1"/>
    </row>
    <row r="153" spans="1:14" x14ac:dyDescent="0.25">
      <c r="A153" s="1061"/>
      <c r="B153" s="1062"/>
      <c r="C153" s="1061"/>
      <c r="D153" s="281" t="s">
        <v>9</v>
      </c>
      <c r="E153" s="292" t="s">
        <v>10</v>
      </c>
      <c r="F153" s="292" t="s">
        <v>11</v>
      </c>
      <c r="G153" s="293" t="s">
        <v>12</v>
      </c>
      <c r="H153" s="292" t="s">
        <v>13</v>
      </c>
      <c r="I153" s="292" t="s">
        <v>11</v>
      </c>
      <c r="J153" s="1056"/>
      <c r="K153" s="89"/>
    </row>
    <row r="154" spans="1:14" x14ac:dyDescent="0.25">
      <c r="A154" s="1061"/>
      <c r="B154" s="1062"/>
      <c r="C154" s="1061"/>
      <c r="D154" s="92" t="s">
        <v>14</v>
      </c>
      <c r="E154" s="93" t="s">
        <v>14</v>
      </c>
      <c r="F154" s="93" t="s">
        <v>14</v>
      </c>
      <c r="G154" s="94" t="s">
        <v>15</v>
      </c>
      <c r="H154" s="93" t="s">
        <v>14</v>
      </c>
      <c r="I154" s="93" t="s">
        <v>14</v>
      </c>
      <c r="J154" s="92" t="s">
        <v>15</v>
      </c>
      <c r="K154" s="92"/>
    </row>
    <row r="155" spans="1:14" x14ac:dyDescent="0.25">
      <c r="A155" s="79" t="s">
        <v>185</v>
      </c>
      <c r="B155" s="199" t="s">
        <v>146</v>
      </c>
      <c r="C155" s="24"/>
      <c r="D155" s="10"/>
      <c r="E155" s="34"/>
      <c r="F155" s="34"/>
      <c r="G155" s="6"/>
      <c r="H155" s="34"/>
      <c r="I155" s="34"/>
      <c r="J155" s="10"/>
      <c r="K155" s="10"/>
    </row>
    <row r="156" spans="1:14" x14ac:dyDescent="0.25">
      <c r="A156" s="125" t="s">
        <v>184</v>
      </c>
      <c r="B156" s="280" t="s">
        <v>147</v>
      </c>
      <c r="C156" s="252">
        <f>SUM(C157:C158)</f>
        <v>2975640000</v>
      </c>
      <c r="D156" s="10"/>
      <c r="E156" s="34"/>
      <c r="F156" s="34"/>
      <c r="G156" s="6"/>
      <c r="H156" s="34"/>
      <c r="I156" s="34"/>
      <c r="J156" s="10"/>
      <c r="K156" s="10"/>
    </row>
    <row r="157" spans="1:14" ht="25.5" x14ac:dyDescent="0.25">
      <c r="A157" s="154" t="s">
        <v>44</v>
      </c>
      <c r="B157" s="707" t="s">
        <v>384</v>
      </c>
      <c r="C157" s="253">
        <v>35640000</v>
      </c>
      <c r="D157" s="134">
        <f>C157/C156*100</f>
        <v>1.1977255313142718</v>
      </c>
      <c r="E157" s="134">
        <f t="shared" ref="E157:E158" si="61">G157/C157*100</f>
        <v>0</v>
      </c>
      <c r="F157" s="134">
        <f t="shared" ref="F157:F158" si="62">(D157*E157)/100</f>
        <v>0</v>
      </c>
      <c r="G157" s="181">
        <v>0</v>
      </c>
      <c r="H157" s="134">
        <f t="shared" ref="H157:H158" si="63">G157/C157*100</f>
        <v>0</v>
      </c>
      <c r="I157" s="134">
        <f t="shared" ref="I157:I158" si="64">(D157*H157)/100</f>
        <v>0</v>
      </c>
      <c r="J157" s="6">
        <f t="shared" ref="J157:J158" si="65">G157-C157</f>
        <v>-35640000</v>
      </c>
      <c r="K157" s="10"/>
    </row>
    <row r="158" spans="1:14" x14ac:dyDescent="0.25">
      <c r="A158" s="124" t="s">
        <v>148</v>
      </c>
      <c r="B158" s="133" t="s">
        <v>531</v>
      </c>
      <c r="C158" s="253">
        <v>2940000000</v>
      </c>
      <c r="D158" s="134">
        <f>C158/C156*100</f>
        <v>98.802274468685724</v>
      </c>
      <c r="E158" s="134">
        <f t="shared" si="61"/>
        <v>0</v>
      </c>
      <c r="F158" s="134">
        <f t="shared" si="62"/>
        <v>0</v>
      </c>
      <c r="G158" s="181">
        <v>0</v>
      </c>
      <c r="H158" s="134">
        <f t="shared" si="63"/>
        <v>0</v>
      </c>
      <c r="I158" s="134">
        <f t="shared" si="64"/>
        <v>0</v>
      </c>
      <c r="J158" s="6">
        <f t="shared" si="65"/>
        <v>-2940000000</v>
      </c>
      <c r="K158" s="10"/>
    </row>
    <row r="159" spans="1:14" x14ac:dyDescent="0.25">
      <c r="A159" s="70"/>
      <c r="B159" s="129" t="s">
        <v>95</v>
      </c>
      <c r="C159" s="807">
        <f>SUM(C157:C158)</f>
        <v>2975640000</v>
      </c>
      <c r="D159" s="271">
        <f>SUM(D157:D158)</f>
        <v>100</v>
      </c>
      <c r="E159" s="134"/>
      <c r="F159" s="134"/>
      <c r="G159" s="181">
        <v>0</v>
      </c>
      <c r="H159" s="134"/>
      <c r="I159" s="134"/>
      <c r="J159" s="734"/>
      <c r="K159" s="130"/>
    </row>
    <row r="160" spans="1:14" x14ac:dyDescent="0.25">
      <c r="A160" s="54"/>
      <c r="B160" s="2"/>
      <c r="C160" s="59"/>
      <c r="D160" s="29"/>
      <c r="E160" s="31"/>
      <c r="F160" s="31"/>
      <c r="G160" s="36"/>
      <c r="H160" s="31"/>
      <c r="I160" s="31"/>
      <c r="J160" s="15"/>
      <c r="K160" s="37"/>
    </row>
    <row r="161" spans="1:11" x14ac:dyDescent="0.25">
      <c r="A161" s="50"/>
      <c r="B161" s="5"/>
      <c r="C161" s="50"/>
      <c r="D161" s="29"/>
      <c r="E161" s="30"/>
      <c r="F161" s="31"/>
      <c r="G161" s="36"/>
      <c r="H161" s="32"/>
      <c r="I161" s="31"/>
      <c r="J161" s="36"/>
      <c r="K161" s="37"/>
    </row>
    <row r="162" spans="1:11" x14ac:dyDescent="0.25">
      <c r="A162" s="1061" t="s">
        <v>2</v>
      </c>
      <c r="B162" s="1062" t="s">
        <v>176</v>
      </c>
      <c r="C162" s="1061" t="s">
        <v>4</v>
      </c>
      <c r="D162" s="1063" t="s">
        <v>5</v>
      </c>
      <c r="E162" s="1064"/>
      <c r="F162" s="1064"/>
      <c r="G162" s="1065" t="s">
        <v>6</v>
      </c>
      <c r="H162" s="1064"/>
      <c r="I162" s="1064"/>
      <c r="J162" s="1061" t="s">
        <v>7</v>
      </c>
      <c r="K162" s="281" t="s">
        <v>8</v>
      </c>
    </row>
    <row r="163" spans="1:11" x14ac:dyDescent="0.25">
      <c r="A163" s="1061"/>
      <c r="B163" s="1062"/>
      <c r="C163" s="1061"/>
      <c r="D163" s="281" t="s">
        <v>9</v>
      </c>
      <c r="E163" s="292" t="s">
        <v>10</v>
      </c>
      <c r="F163" s="292" t="s">
        <v>11</v>
      </c>
      <c r="G163" s="293" t="s">
        <v>12</v>
      </c>
      <c r="H163" s="292" t="s">
        <v>13</v>
      </c>
      <c r="I163" s="292" t="s">
        <v>11</v>
      </c>
      <c r="J163" s="1056"/>
      <c r="K163" s="89"/>
    </row>
    <row r="164" spans="1:11" x14ac:dyDescent="0.25">
      <c r="A164" s="1061"/>
      <c r="B164" s="1062"/>
      <c r="C164" s="1061"/>
      <c r="D164" s="92" t="s">
        <v>14</v>
      </c>
      <c r="E164" s="93" t="s">
        <v>14</v>
      </c>
      <c r="F164" s="93" t="s">
        <v>14</v>
      </c>
      <c r="G164" s="94" t="s">
        <v>15</v>
      </c>
      <c r="H164" s="93" t="s">
        <v>14</v>
      </c>
      <c r="I164" s="93" t="s">
        <v>14</v>
      </c>
      <c r="J164" s="92" t="s">
        <v>15</v>
      </c>
      <c r="K164" s="92"/>
    </row>
    <row r="165" spans="1:11" x14ac:dyDescent="0.25">
      <c r="A165" s="79" t="s">
        <v>185</v>
      </c>
      <c r="B165" s="199" t="s">
        <v>146</v>
      </c>
      <c r="C165" s="153"/>
      <c r="D165" s="150"/>
      <c r="E165" s="151"/>
      <c r="F165" s="151"/>
      <c r="G165" s="152"/>
      <c r="H165" s="151"/>
      <c r="I165" s="151"/>
      <c r="J165" s="150"/>
      <c r="K165" s="150"/>
    </row>
    <row r="166" spans="1:11" x14ac:dyDescent="0.25">
      <c r="A166" s="125" t="s">
        <v>184</v>
      </c>
      <c r="B166" s="280" t="s">
        <v>150</v>
      </c>
      <c r="C166" s="254">
        <f>SUM(C167:C170)</f>
        <v>1803960912</v>
      </c>
      <c r="D166" s="10"/>
      <c r="E166" s="34"/>
      <c r="F166" s="34"/>
      <c r="G166" s="6"/>
      <c r="H166" s="34"/>
      <c r="I166" s="34"/>
      <c r="J166" s="10"/>
      <c r="K166" s="10"/>
    </row>
    <row r="167" spans="1:11" ht="25.5" x14ac:dyDescent="0.25">
      <c r="A167" s="38" t="s">
        <v>44</v>
      </c>
      <c r="B167" s="707" t="s">
        <v>384</v>
      </c>
      <c r="C167" s="255">
        <v>30310000</v>
      </c>
      <c r="D167" s="134">
        <f>C167/C166*100</f>
        <v>1.6801916160365231</v>
      </c>
      <c r="E167" s="134">
        <f t="shared" ref="E167:E169" si="66">G167/C167*100</f>
        <v>0</v>
      </c>
      <c r="F167" s="134">
        <f t="shared" ref="F167:F169" si="67">(D167*E167)/100</f>
        <v>0</v>
      </c>
      <c r="G167" s="181">
        <v>0</v>
      </c>
      <c r="H167" s="134">
        <f t="shared" ref="H167:H169" si="68">G167/C167*100</f>
        <v>0</v>
      </c>
      <c r="I167" s="134">
        <f t="shared" ref="I167:I169" si="69">(D167*H167)/100</f>
        <v>0</v>
      </c>
      <c r="J167" s="6">
        <f t="shared" ref="J167:J170" si="70">G167-C167</f>
        <v>-30310000</v>
      </c>
      <c r="K167" s="10"/>
    </row>
    <row r="168" spans="1:11" x14ac:dyDescent="0.25">
      <c r="A168" s="49" t="s">
        <v>148</v>
      </c>
      <c r="B168" s="133" t="s">
        <v>531</v>
      </c>
      <c r="C168" s="256">
        <v>1260590000</v>
      </c>
      <c r="D168" s="134">
        <f>C168/C166*100</f>
        <v>69.87900855359554</v>
      </c>
      <c r="E168" s="134">
        <f t="shared" si="66"/>
        <v>0</v>
      </c>
      <c r="F168" s="134">
        <f t="shared" si="67"/>
        <v>0</v>
      </c>
      <c r="G168" s="181">
        <v>0</v>
      </c>
      <c r="H168" s="134">
        <f t="shared" si="68"/>
        <v>0</v>
      </c>
      <c r="I168" s="134">
        <f t="shared" si="69"/>
        <v>0</v>
      </c>
      <c r="J168" s="6">
        <f t="shared" si="70"/>
        <v>-1260590000</v>
      </c>
      <c r="K168" s="10"/>
    </row>
    <row r="169" spans="1:11" s="84" customFormat="1" ht="25.5" x14ac:dyDescent="0.2">
      <c r="A169" s="49" t="s">
        <v>152</v>
      </c>
      <c r="B169" s="133" t="s">
        <v>153</v>
      </c>
      <c r="C169" s="256">
        <v>504000000</v>
      </c>
      <c r="D169" s="134">
        <f>C169/C166*100</f>
        <v>27.9385210980669</v>
      </c>
      <c r="E169" s="134">
        <f t="shared" si="66"/>
        <v>0</v>
      </c>
      <c r="F169" s="134">
        <f t="shared" si="67"/>
        <v>0</v>
      </c>
      <c r="G169" s="181">
        <v>0</v>
      </c>
      <c r="H169" s="134">
        <f t="shared" si="68"/>
        <v>0</v>
      </c>
      <c r="I169" s="134">
        <f t="shared" si="69"/>
        <v>0</v>
      </c>
      <c r="J169" s="6">
        <f t="shared" si="70"/>
        <v>-504000000</v>
      </c>
      <c r="K169" s="38"/>
    </row>
    <row r="170" spans="1:11" s="84" customFormat="1" x14ac:dyDescent="0.2">
      <c r="A170" s="749" t="s">
        <v>234</v>
      </c>
      <c r="B170" s="133" t="s">
        <v>522</v>
      </c>
      <c r="C170" s="256">
        <v>9060912</v>
      </c>
      <c r="D170" s="804"/>
      <c r="E170" s="134"/>
      <c r="F170" s="134"/>
      <c r="G170" s="181"/>
      <c r="H170" s="134"/>
      <c r="I170" s="134"/>
      <c r="J170" s="6">
        <f t="shared" si="70"/>
        <v>-9060912</v>
      </c>
      <c r="K170" s="805"/>
    </row>
    <row r="171" spans="1:11" x14ac:dyDescent="0.25">
      <c r="A171" s="771"/>
      <c r="B171" s="129" t="s">
        <v>154</v>
      </c>
      <c r="C171" s="826">
        <f>SUM(C167:C170)</f>
        <v>1803960912</v>
      </c>
      <c r="D171" s="272">
        <f>SUM(D167:D169)</f>
        <v>99.497721267698964</v>
      </c>
      <c r="E171" s="134"/>
      <c r="F171" s="134"/>
      <c r="G171" s="181">
        <v>0</v>
      </c>
      <c r="H171" s="134"/>
      <c r="I171" s="134"/>
      <c r="J171" s="734"/>
      <c r="K171" s="40"/>
    </row>
    <row r="172" spans="1:11" x14ac:dyDescent="0.25">
      <c r="A172" s="54"/>
      <c r="B172" s="54"/>
      <c r="C172" s="59"/>
      <c r="D172" s="182"/>
      <c r="E172" s="183"/>
      <c r="F172" s="183"/>
      <c r="G172" s="184"/>
      <c r="H172" s="183"/>
      <c r="I172" s="183"/>
      <c r="J172" s="185"/>
      <c r="K172" s="37"/>
    </row>
    <row r="173" spans="1:11" x14ac:dyDescent="0.25">
      <c r="A173" s="50"/>
      <c r="B173" s="5"/>
      <c r="C173" s="50"/>
      <c r="D173" s="9"/>
      <c r="E173" s="23"/>
      <c r="F173" s="23"/>
      <c r="G173" s="11"/>
      <c r="H173" s="23"/>
      <c r="I173" s="23"/>
      <c r="J173" s="9"/>
      <c r="K173" s="9"/>
    </row>
    <row r="174" spans="1:11" x14ac:dyDescent="0.25">
      <c r="A174" s="1072" t="s">
        <v>2</v>
      </c>
      <c r="B174" s="1072" t="s">
        <v>129</v>
      </c>
      <c r="C174" s="1072" t="s">
        <v>124</v>
      </c>
      <c r="D174" s="1075" t="s">
        <v>5</v>
      </c>
      <c r="E174" s="1076"/>
      <c r="F174" s="1076"/>
      <c r="G174" s="1077" t="s">
        <v>6</v>
      </c>
      <c r="H174" s="1076"/>
      <c r="I174" s="1076"/>
      <c r="J174" s="1078" t="s">
        <v>7</v>
      </c>
      <c r="K174" s="95" t="s">
        <v>8</v>
      </c>
    </row>
    <row r="175" spans="1:11" x14ac:dyDescent="0.25">
      <c r="A175" s="1073"/>
      <c r="B175" s="1073"/>
      <c r="C175" s="1073"/>
      <c r="D175" s="95" t="s">
        <v>9</v>
      </c>
      <c r="E175" s="294" t="s">
        <v>10</v>
      </c>
      <c r="F175" s="294" t="s">
        <v>11</v>
      </c>
      <c r="G175" s="96" t="s">
        <v>12</v>
      </c>
      <c r="H175" s="97" t="s">
        <v>13</v>
      </c>
      <c r="I175" s="97" t="s">
        <v>11</v>
      </c>
      <c r="J175" s="1079"/>
      <c r="K175" s="98"/>
    </row>
    <row r="176" spans="1:11" x14ac:dyDescent="0.25">
      <c r="A176" s="1074"/>
      <c r="B176" s="1074"/>
      <c r="C176" s="1074"/>
      <c r="D176" s="101" t="s">
        <v>14</v>
      </c>
      <c r="E176" s="100" t="s">
        <v>14</v>
      </c>
      <c r="F176" s="100" t="s">
        <v>14</v>
      </c>
      <c r="G176" s="99" t="s">
        <v>15</v>
      </c>
      <c r="H176" s="100" t="s">
        <v>14</v>
      </c>
      <c r="I176" s="100" t="s">
        <v>14</v>
      </c>
      <c r="J176" s="101" t="s">
        <v>15</v>
      </c>
      <c r="K176" s="101"/>
    </row>
    <row r="177" spans="1:15" ht="25.5" x14ac:dyDescent="0.25">
      <c r="A177" s="175" t="s">
        <v>180</v>
      </c>
      <c r="B177" s="696" t="s">
        <v>379</v>
      </c>
      <c r="C177" s="126"/>
      <c r="D177" s="121"/>
      <c r="E177" s="122"/>
      <c r="F177" s="122"/>
      <c r="G177" s="123"/>
      <c r="H177" s="122"/>
      <c r="I177" s="122"/>
      <c r="J177" s="121"/>
      <c r="K177" s="121"/>
    </row>
    <row r="178" spans="1:15" ht="25.5" x14ac:dyDescent="0.25">
      <c r="A178" s="176" t="s">
        <v>181</v>
      </c>
      <c r="B178" s="697" t="s">
        <v>380</v>
      </c>
      <c r="C178" s="86">
        <f>SUM(C179:C194)</f>
        <v>335000000</v>
      </c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0" t="s">
        <v>44</v>
      </c>
      <c r="B179" s="707" t="s">
        <v>384</v>
      </c>
      <c r="C179" s="58">
        <v>16310000</v>
      </c>
      <c r="D179" s="134">
        <f>C179/C178*100</f>
        <v>4.8686567164179104</v>
      </c>
      <c r="E179" s="134">
        <f t="shared" ref="E179:E191" si="71">G179/C179*100</f>
        <v>0</v>
      </c>
      <c r="F179" s="134">
        <f t="shared" ref="F179:F191" si="72">(D179*E179)/100</f>
        <v>0</v>
      </c>
      <c r="G179" s="181">
        <v>0</v>
      </c>
      <c r="H179" s="134">
        <f t="shared" ref="H179:H191" si="73">G179/C179*100</f>
        <v>0</v>
      </c>
      <c r="I179" s="134">
        <f t="shared" ref="I179:I191" si="74">(D179*H179)/100</f>
        <v>0</v>
      </c>
      <c r="J179" s="6">
        <f t="shared" ref="J179:J194" si="75">G179-C179</f>
        <v>-16310000</v>
      </c>
      <c r="K179" s="121"/>
    </row>
    <row r="180" spans="1:15" x14ac:dyDescent="0.25">
      <c r="A180" s="170" t="s">
        <v>59</v>
      </c>
      <c r="B180" s="707" t="s">
        <v>197</v>
      </c>
      <c r="C180" s="58">
        <v>13836500</v>
      </c>
      <c r="D180" s="180">
        <f>C180/C178*100</f>
        <v>4.1302985074626868</v>
      </c>
      <c r="E180" s="134">
        <f t="shared" si="71"/>
        <v>0</v>
      </c>
      <c r="F180" s="134">
        <f t="shared" si="72"/>
        <v>0</v>
      </c>
      <c r="G180" s="181">
        <v>0</v>
      </c>
      <c r="H180" s="134">
        <f t="shared" si="73"/>
        <v>0</v>
      </c>
      <c r="I180" s="134">
        <f t="shared" si="74"/>
        <v>0</v>
      </c>
      <c r="J180" s="6">
        <f t="shared" si="75"/>
        <v>-13836500</v>
      </c>
      <c r="K180" s="167"/>
    </row>
    <row r="181" spans="1:15" ht="25.5" x14ac:dyDescent="0.25">
      <c r="A181" s="170" t="s">
        <v>62</v>
      </c>
      <c r="B181" s="707" t="s">
        <v>385</v>
      </c>
      <c r="C181" s="58">
        <v>10871000</v>
      </c>
      <c r="D181" s="726">
        <f>C181/C178*100</f>
        <v>3.2450746268656716</v>
      </c>
      <c r="E181" s="134">
        <f t="shared" si="71"/>
        <v>0</v>
      </c>
      <c r="F181" s="134">
        <f t="shared" si="72"/>
        <v>0</v>
      </c>
      <c r="G181" s="181">
        <v>0</v>
      </c>
      <c r="H181" s="134">
        <f t="shared" si="73"/>
        <v>0</v>
      </c>
      <c r="I181" s="134">
        <f t="shared" si="74"/>
        <v>0</v>
      </c>
      <c r="J181" s="6">
        <f t="shared" si="75"/>
        <v>-10871000</v>
      </c>
      <c r="K181" s="167"/>
    </row>
    <row r="182" spans="1:15" x14ac:dyDescent="0.25">
      <c r="A182" s="170" t="s">
        <v>148</v>
      </c>
      <c r="B182" s="133" t="s">
        <v>531</v>
      </c>
      <c r="C182" s="58">
        <v>10000000</v>
      </c>
      <c r="D182" s="726"/>
      <c r="E182" s="134"/>
      <c r="F182" s="134"/>
      <c r="G182" s="181"/>
      <c r="H182" s="134"/>
      <c r="I182" s="134"/>
      <c r="J182" s="6">
        <f t="shared" si="75"/>
        <v>-10000000</v>
      </c>
      <c r="K182" s="167"/>
    </row>
    <row r="183" spans="1:15" x14ac:dyDescent="0.25">
      <c r="A183" s="170" t="s">
        <v>77</v>
      </c>
      <c r="B183" s="170" t="s">
        <v>127</v>
      </c>
      <c r="C183" s="58">
        <v>61010000</v>
      </c>
      <c r="D183" s="726">
        <f>C183/C178*100</f>
        <v>18.211940298507461</v>
      </c>
      <c r="E183" s="134">
        <f t="shared" si="71"/>
        <v>0</v>
      </c>
      <c r="F183" s="134">
        <f t="shared" si="72"/>
        <v>0</v>
      </c>
      <c r="G183" s="181">
        <v>0</v>
      </c>
      <c r="H183" s="134">
        <f t="shared" si="73"/>
        <v>0</v>
      </c>
      <c r="I183" s="134">
        <f t="shared" si="74"/>
        <v>0</v>
      </c>
      <c r="J183" s="6">
        <f t="shared" si="75"/>
        <v>-61010000</v>
      </c>
      <c r="K183" s="167"/>
      <c r="O183" s="190"/>
    </row>
    <row r="184" spans="1:15" x14ac:dyDescent="0.25">
      <c r="A184" s="170" t="s">
        <v>183</v>
      </c>
      <c r="B184" s="170" t="s">
        <v>178</v>
      </c>
      <c r="C184" s="58">
        <v>44625000</v>
      </c>
      <c r="D184" s="726">
        <f>C184/C178*100</f>
        <v>13.32089552238806</v>
      </c>
      <c r="E184" s="134">
        <f t="shared" si="71"/>
        <v>0</v>
      </c>
      <c r="F184" s="134">
        <f t="shared" si="72"/>
        <v>0</v>
      </c>
      <c r="G184" s="181">
        <v>0</v>
      </c>
      <c r="H184" s="134">
        <f t="shared" si="73"/>
        <v>0</v>
      </c>
      <c r="I184" s="134">
        <f t="shared" si="74"/>
        <v>0</v>
      </c>
      <c r="J184" s="6">
        <f t="shared" si="75"/>
        <v>-44625000</v>
      </c>
      <c r="K184" s="167"/>
    </row>
    <row r="185" spans="1:15" x14ac:dyDescent="0.25">
      <c r="A185" s="170" t="s">
        <v>186</v>
      </c>
      <c r="B185" s="170" t="s">
        <v>179</v>
      </c>
      <c r="C185" s="58">
        <v>44100000</v>
      </c>
      <c r="D185" s="726">
        <f>C185/C178*100</f>
        <v>13.164179104477611</v>
      </c>
      <c r="E185" s="134">
        <f t="shared" si="71"/>
        <v>0</v>
      </c>
      <c r="F185" s="134">
        <f t="shared" si="72"/>
        <v>0</v>
      </c>
      <c r="G185" s="181">
        <v>0</v>
      </c>
      <c r="H185" s="134">
        <f t="shared" si="73"/>
        <v>0</v>
      </c>
      <c r="I185" s="134">
        <f t="shared" si="74"/>
        <v>0</v>
      </c>
      <c r="J185" s="6">
        <f t="shared" si="75"/>
        <v>-44100000</v>
      </c>
      <c r="K185" s="167"/>
    </row>
    <row r="186" spans="1:15" ht="25.5" x14ac:dyDescent="0.25">
      <c r="A186" s="170" t="s">
        <v>106</v>
      </c>
      <c r="B186" s="316" t="s">
        <v>375</v>
      </c>
      <c r="C186" s="58">
        <v>44000000</v>
      </c>
      <c r="D186" s="726">
        <f>C186/C178*100</f>
        <v>13.134328358208954</v>
      </c>
      <c r="E186" s="134">
        <f t="shared" si="71"/>
        <v>0</v>
      </c>
      <c r="F186" s="134">
        <f t="shared" si="72"/>
        <v>0</v>
      </c>
      <c r="G186" s="181">
        <v>0</v>
      </c>
      <c r="H186" s="134">
        <f t="shared" si="73"/>
        <v>0</v>
      </c>
      <c r="I186" s="134">
        <f t="shared" si="74"/>
        <v>0</v>
      </c>
      <c r="J186" s="6">
        <f t="shared" si="75"/>
        <v>-44000000</v>
      </c>
      <c r="K186" s="167"/>
    </row>
    <row r="187" spans="1:15" x14ac:dyDescent="0.25">
      <c r="A187" s="170" t="s">
        <v>162</v>
      </c>
      <c r="B187" s="315" t="s">
        <v>515</v>
      </c>
      <c r="C187" s="58">
        <v>36000000</v>
      </c>
      <c r="D187" s="726"/>
      <c r="E187" s="134"/>
      <c r="F187" s="134"/>
      <c r="G187" s="181"/>
      <c r="H187" s="134"/>
      <c r="I187" s="134"/>
      <c r="J187" s="6">
        <f t="shared" si="75"/>
        <v>-36000000</v>
      </c>
      <c r="K187" s="167"/>
    </row>
    <row r="188" spans="1:15" x14ac:dyDescent="0.25">
      <c r="A188" s="170" t="s">
        <v>527</v>
      </c>
      <c r="B188" s="316" t="s">
        <v>523</v>
      </c>
      <c r="C188" s="58">
        <v>5625000</v>
      </c>
      <c r="D188" s="726"/>
      <c r="E188" s="134"/>
      <c r="F188" s="134"/>
      <c r="G188" s="181"/>
      <c r="H188" s="134"/>
      <c r="I188" s="134"/>
      <c r="J188" s="6">
        <f t="shared" si="75"/>
        <v>-5625000</v>
      </c>
      <c r="K188" s="167"/>
    </row>
    <row r="189" spans="1:15" x14ac:dyDescent="0.25">
      <c r="A189" s="170" t="s">
        <v>528</v>
      </c>
      <c r="B189" s="316" t="s">
        <v>524</v>
      </c>
      <c r="C189" s="58">
        <v>16000000</v>
      </c>
      <c r="D189" s="726"/>
      <c r="E189" s="134"/>
      <c r="F189" s="134"/>
      <c r="G189" s="181"/>
      <c r="H189" s="134"/>
      <c r="I189" s="134"/>
      <c r="J189" s="6">
        <f t="shared" si="75"/>
        <v>-16000000</v>
      </c>
      <c r="K189" s="167"/>
    </row>
    <row r="190" spans="1:15" x14ac:dyDescent="0.25">
      <c r="A190" s="170" t="s">
        <v>529</v>
      </c>
      <c r="B190" s="316" t="s">
        <v>525</v>
      </c>
      <c r="C190" s="58">
        <v>4000000</v>
      </c>
      <c r="D190" s="726"/>
      <c r="E190" s="134"/>
      <c r="F190" s="134"/>
      <c r="G190" s="181"/>
      <c r="H190" s="134"/>
      <c r="I190" s="134"/>
      <c r="J190" s="6">
        <f t="shared" si="75"/>
        <v>-4000000</v>
      </c>
      <c r="K190" s="167"/>
    </row>
    <row r="191" spans="1:15" ht="25.5" x14ac:dyDescent="0.25">
      <c r="A191" s="170" t="s">
        <v>116</v>
      </c>
      <c r="B191" s="133" t="s">
        <v>371</v>
      </c>
      <c r="C191" s="178">
        <v>1622500</v>
      </c>
      <c r="D191" s="726">
        <f>C191/C178*100</f>
        <v>0.4843283582089552</v>
      </c>
      <c r="E191" s="134">
        <f t="shared" si="71"/>
        <v>0</v>
      </c>
      <c r="F191" s="134">
        <f t="shared" si="72"/>
        <v>0</v>
      </c>
      <c r="G191" s="181">
        <v>0</v>
      </c>
      <c r="H191" s="134">
        <f t="shared" si="73"/>
        <v>0</v>
      </c>
      <c r="I191" s="134">
        <f t="shared" si="74"/>
        <v>0</v>
      </c>
      <c r="J191" s="6">
        <f t="shared" si="75"/>
        <v>-1622500</v>
      </c>
      <c r="K191" s="167"/>
      <c r="M191" s="190"/>
    </row>
    <row r="192" spans="1:15" x14ac:dyDescent="0.25">
      <c r="A192" s="748" t="s">
        <v>65</v>
      </c>
      <c r="B192" s="315" t="s">
        <v>393</v>
      </c>
      <c r="C192" s="178">
        <v>7000000</v>
      </c>
      <c r="D192" s="726"/>
      <c r="E192" s="134"/>
      <c r="F192" s="134"/>
      <c r="G192" s="181"/>
      <c r="H192" s="134"/>
      <c r="I192" s="134"/>
      <c r="J192" s="6">
        <f t="shared" si="75"/>
        <v>-7000000</v>
      </c>
      <c r="K192" s="167"/>
      <c r="M192" s="190"/>
    </row>
    <row r="193" spans="1:14" x14ac:dyDescent="0.25">
      <c r="A193" s="748" t="s">
        <v>287</v>
      </c>
      <c r="B193" s="315" t="s">
        <v>191</v>
      </c>
      <c r="C193" s="178">
        <v>15000000</v>
      </c>
      <c r="D193" s="726"/>
      <c r="E193" s="134"/>
      <c r="F193" s="134"/>
      <c r="G193" s="181"/>
      <c r="H193" s="134"/>
      <c r="I193" s="134"/>
      <c r="J193" s="6">
        <f t="shared" si="75"/>
        <v>-15000000</v>
      </c>
      <c r="K193" s="167"/>
      <c r="M193" s="190"/>
    </row>
    <row r="194" spans="1:14" x14ac:dyDescent="0.25">
      <c r="A194" s="748" t="s">
        <v>275</v>
      </c>
      <c r="B194" s="133" t="s">
        <v>421</v>
      </c>
      <c r="C194" s="178">
        <v>5000000</v>
      </c>
      <c r="D194" s="726"/>
      <c r="E194" s="134"/>
      <c r="F194" s="134"/>
      <c r="G194" s="181">
        <v>0</v>
      </c>
      <c r="H194" s="134"/>
      <c r="I194" s="134"/>
      <c r="J194" s="6">
        <f t="shared" si="75"/>
        <v>-5000000</v>
      </c>
      <c r="K194" s="167"/>
      <c r="M194" s="190"/>
    </row>
    <row r="195" spans="1:14" x14ac:dyDescent="0.25">
      <c r="A195" s="69"/>
      <c r="B195" s="67" t="s">
        <v>128</v>
      </c>
      <c r="C195" s="60">
        <f>SUM(C179:C194)</f>
        <v>335000000</v>
      </c>
      <c r="D195" s="275">
        <f>SUM(D179:D191)</f>
        <v>70.5597014925373</v>
      </c>
      <c r="E195" s="134"/>
      <c r="F195" s="134"/>
      <c r="G195" s="42">
        <f>SUM(G179:G194)</f>
        <v>0</v>
      </c>
      <c r="H195" s="134"/>
      <c r="I195" s="134"/>
      <c r="J195" s="734"/>
      <c r="K195" s="38"/>
    </row>
    <row r="196" spans="1:14" x14ac:dyDescent="0.25">
      <c r="A196" s="186"/>
      <c r="B196" s="2"/>
      <c r="C196" s="187"/>
      <c r="D196" s="188"/>
      <c r="E196" s="183"/>
      <c r="F196" s="183"/>
      <c r="G196" s="184"/>
      <c r="H196" s="183"/>
      <c r="I196" s="183"/>
      <c r="J196" s="189"/>
      <c r="K196" s="53"/>
    </row>
    <row r="197" spans="1:14" ht="31.5" x14ac:dyDescent="0.25">
      <c r="A197" s="55"/>
      <c r="B197" s="46" t="s">
        <v>145</v>
      </c>
      <c r="C197" s="155"/>
      <c r="D197" s="44"/>
      <c r="E197" s="45"/>
      <c r="F197" s="45"/>
      <c r="G197" s="48"/>
      <c r="H197" s="45"/>
      <c r="I197" s="45"/>
      <c r="J197" s="44"/>
      <c r="K197" s="44"/>
      <c r="L197" s="1"/>
      <c r="M197" s="1"/>
      <c r="N197" s="1"/>
    </row>
    <row r="198" spans="1:14" x14ac:dyDescent="0.25">
      <c r="A198" s="1082" t="s">
        <v>2</v>
      </c>
      <c r="B198" s="1081" t="s">
        <v>168</v>
      </c>
      <c r="C198" s="1082" t="s">
        <v>4</v>
      </c>
      <c r="D198" s="1083" t="s">
        <v>5</v>
      </c>
      <c r="E198" s="1084"/>
      <c r="F198" s="1084"/>
      <c r="G198" s="1085" t="s">
        <v>6</v>
      </c>
      <c r="H198" s="1084"/>
      <c r="I198" s="1084"/>
      <c r="J198" s="1082" t="s">
        <v>7</v>
      </c>
      <c r="K198" s="283" t="s">
        <v>8</v>
      </c>
    </row>
    <row r="199" spans="1:14" x14ac:dyDescent="0.25">
      <c r="A199" s="1082"/>
      <c r="B199" s="1081"/>
      <c r="C199" s="1082"/>
      <c r="D199" s="283" t="s">
        <v>9</v>
      </c>
      <c r="E199" s="297" t="s">
        <v>10</v>
      </c>
      <c r="F199" s="297" t="s">
        <v>11</v>
      </c>
      <c r="G199" s="298" t="s">
        <v>12</v>
      </c>
      <c r="H199" s="297" t="s">
        <v>13</v>
      </c>
      <c r="I199" s="297" t="s">
        <v>11</v>
      </c>
      <c r="J199" s="1086"/>
      <c r="K199" s="284"/>
    </row>
    <row r="200" spans="1:14" x14ac:dyDescent="0.25">
      <c r="A200" s="1082"/>
      <c r="B200" s="1081"/>
      <c r="C200" s="1082"/>
      <c r="D200" s="282" t="s">
        <v>14</v>
      </c>
      <c r="E200" s="295" t="s">
        <v>14</v>
      </c>
      <c r="F200" s="295" t="s">
        <v>14</v>
      </c>
      <c r="G200" s="296" t="s">
        <v>15</v>
      </c>
      <c r="H200" s="295" t="s">
        <v>14</v>
      </c>
      <c r="I200" s="295" t="s">
        <v>14</v>
      </c>
      <c r="J200" s="282" t="s">
        <v>15</v>
      </c>
      <c r="K200" s="282"/>
    </row>
    <row r="201" spans="1:14" x14ac:dyDescent="0.25">
      <c r="A201" s="79" t="s">
        <v>185</v>
      </c>
      <c r="B201" s="199" t="s">
        <v>146</v>
      </c>
      <c r="C201" s="145"/>
      <c r="D201" s="146"/>
      <c r="E201" s="147"/>
      <c r="F201" s="147"/>
      <c r="G201" s="148"/>
      <c r="H201" s="147"/>
      <c r="I201" s="147"/>
      <c r="J201" s="146"/>
      <c r="K201" s="146"/>
    </row>
    <row r="202" spans="1:14" x14ac:dyDescent="0.25">
      <c r="A202" s="125" t="s">
        <v>184</v>
      </c>
      <c r="B202" s="280" t="s">
        <v>147</v>
      </c>
      <c r="C202" s="257">
        <f>SUM(C203:C205)</f>
        <v>2695640000</v>
      </c>
      <c r="D202" s="146"/>
      <c r="E202" s="147"/>
      <c r="F202" s="147"/>
      <c r="G202" s="148"/>
      <c r="H202" s="147"/>
      <c r="I202" s="147"/>
      <c r="J202" s="146"/>
      <c r="K202" s="146"/>
    </row>
    <row r="203" spans="1:14" ht="25.5" x14ac:dyDescent="0.25">
      <c r="A203" s="317" t="s">
        <v>44</v>
      </c>
      <c r="B203" s="707" t="s">
        <v>384</v>
      </c>
      <c r="C203" s="258">
        <v>33350000</v>
      </c>
      <c r="D203" s="267">
        <f>C203/C202*100</f>
        <v>1.2371830066329332</v>
      </c>
      <c r="E203" s="134">
        <f t="shared" ref="E203:E205" si="76">G203/C203*100</f>
        <v>0</v>
      </c>
      <c r="F203" s="134">
        <f t="shared" ref="F203:F205" si="77">(D203*E203)/100</f>
        <v>0</v>
      </c>
      <c r="G203" s="181">
        <v>0</v>
      </c>
      <c r="H203" s="134">
        <f t="shared" ref="H203:H205" si="78">G203/C203*100</f>
        <v>0</v>
      </c>
      <c r="I203" s="134">
        <f t="shared" ref="I203:I205" si="79">(D203*H203)/100</f>
        <v>0</v>
      </c>
      <c r="J203" s="6">
        <f t="shared" ref="J203:J205" si="80">G203-C203</f>
        <v>-33350000</v>
      </c>
      <c r="K203" s="146"/>
    </row>
    <row r="204" spans="1:14" x14ac:dyDescent="0.25">
      <c r="A204" s="319" t="s">
        <v>59</v>
      </c>
      <c r="B204" s="707" t="s">
        <v>197</v>
      </c>
      <c r="C204" s="258">
        <v>2290000</v>
      </c>
      <c r="D204" s="267"/>
      <c r="E204" s="134"/>
      <c r="F204" s="134"/>
      <c r="G204" s="181"/>
      <c r="H204" s="134"/>
      <c r="I204" s="134"/>
      <c r="J204" s="6">
        <f t="shared" si="80"/>
        <v>-2290000</v>
      </c>
      <c r="K204" s="146"/>
    </row>
    <row r="205" spans="1:14" x14ac:dyDescent="0.25">
      <c r="A205" s="49" t="s">
        <v>148</v>
      </c>
      <c r="B205" s="133" t="s">
        <v>531</v>
      </c>
      <c r="C205" s="259">
        <v>2660000000</v>
      </c>
      <c r="D205" s="267">
        <f>C205/C202*100</f>
        <v>98.67786499680966</v>
      </c>
      <c r="E205" s="134">
        <f t="shared" si="76"/>
        <v>0</v>
      </c>
      <c r="F205" s="134">
        <f t="shared" si="77"/>
        <v>0</v>
      </c>
      <c r="G205" s="181">
        <v>0</v>
      </c>
      <c r="H205" s="134">
        <f t="shared" si="78"/>
        <v>0</v>
      </c>
      <c r="I205" s="134">
        <f t="shared" si="79"/>
        <v>0</v>
      </c>
      <c r="J205" s="6">
        <f t="shared" si="80"/>
        <v>-2660000000</v>
      </c>
      <c r="K205" s="146"/>
    </row>
    <row r="206" spans="1:14" x14ac:dyDescent="0.25">
      <c r="A206" s="71"/>
      <c r="B206" s="76" t="s">
        <v>95</v>
      </c>
      <c r="C206" s="806">
        <f>SUM(C203:C205)</f>
        <v>2695640000</v>
      </c>
      <c r="D206" s="141">
        <f>SUM(D203:D205)</f>
        <v>99.915048003442593</v>
      </c>
      <c r="E206" s="134"/>
      <c r="F206" s="134"/>
      <c r="G206" s="181">
        <v>0</v>
      </c>
      <c r="H206" s="134"/>
      <c r="I206" s="134"/>
      <c r="J206" s="56">
        <v>0</v>
      </c>
      <c r="K206" s="143"/>
    </row>
    <row r="207" spans="1:14" x14ac:dyDescent="0.25">
      <c r="A207" s="186"/>
      <c r="B207" s="2"/>
      <c r="C207" s="187"/>
      <c r="D207" s="188"/>
      <c r="E207" s="183"/>
      <c r="F207" s="183"/>
      <c r="G207" s="184"/>
      <c r="H207" s="183"/>
      <c r="I207" s="183"/>
      <c r="J207" s="189"/>
      <c r="K207" s="53"/>
    </row>
    <row r="208" spans="1:14" x14ac:dyDescent="0.25">
      <c r="A208" s="1080" t="s">
        <v>2</v>
      </c>
      <c r="B208" s="1081" t="s">
        <v>168</v>
      </c>
      <c r="C208" s="1080" t="s">
        <v>4</v>
      </c>
      <c r="D208" s="1075" t="s">
        <v>5</v>
      </c>
      <c r="E208" s="1076"/>
      <c r="F208" s="1076"/>
      <c r="G208" s="1077" t="s">
        <v>6</v>
      </c>
      <c r="H208" s="1076"/>
      <c r="I208" s="1076"/>
      <c r="J208" s="1080" t="s">
        <v>7</v>
      </c>
      <c r="K208" s="95" t="s">
        <v>8</v>
      </c>
    </row>
    <row r="209" spans="1:11" x14ac:dyDescent="0.25">
      <c r="A209" s="1080"/>
      <c r="B209" s="1081"/>
      <c r="C209" s="1080"/>
      <c r="D209" s="95" t="s">
        <v>9</v>
      </c>
      <c r="E209" s="294" t="s">
        <v>10</v>
      </c>
      <c r="F209" s="294" t="s">
        <v>11</v>
      </c>
      <c r="G209" s="299" t="s">
        <v>12</v>
      </c>
      <c r="H209" s="294" t="s">
        <v>13</v>
      </c>
      <c r="I209" s="294" t="s">
        <v>11</v>
      </c>
      <c r="J209" s="1078"/>
      <c r="K209" s="98"/>
    </row>
    <row r="210" spans="1:11" x14ac:dyDescent="0.25">
      <c r="A210" s="1080"/>
      <c r="B210" s="1081"/>
      <c r="C210" s="1080"/>
      <c r="D210" s="101" t="s">
        <v>14</v>
      </c>
      <c r="E210" s="100" t="s">
        <v>14</v>
      </c>
      <c r="F210" s="100" t="s">
        <v>14</v>
      </c>
      <c r="G210" s="99" t="s">
        <v>15</v>
      </c>
      <c r="H210" s="100" t="s">
        <v>14</v>
      </c>
      <c r="I210" s="100" t="s">
        <v>14</v>
      </c>
      <c r="J210" s="101" t="s">
        <v>15</v>
      </c>
      <c r="K210" s="101"/>
    </row>
    <row r="211" spans="1:11" x14ac:dyDescent="0.25">
      <c r="A211" s="79" t="s">
        <v>185</v>
      </c>
      <c r="B211" s="199" t="s">
        <v>146</v>
      </c>
      <c r="C211" s="24"/>
      <c r="D211" s="10"/>
      <c r="E211" s="34"/>
      <c r="F211" s="34"/>
      <c r="G211" s="6"/>
      <c r="H211" s="34"/>
      <c r="I211" s="34"/>
      <c r="J211" s="10"/>
      <c r="K211" s="10"/>
    </row>
    <row r="212" spans="1:11" x14ac:dyDescent="0.25">
      <c r="A212" s="125" t="s">
        <v>187</v>
      </c>
      <c r="B212" s="280" t="s">
        <v>150</v>
      </c>
      <c r="C212" s="252">
        <f>SUM(C213:C217)</f>
        <v>1635097968</v>
      </c>
      <c r="D212" s="10"/>
      <c r="E212" s="34"/>
      <c r="F212" s="34"/>
      <c r="G212" s="6"/>
      <c r="H212" s="34"/>
      <c r="I212" s="34"/>
      <c r="J212" s="10"/>
      <c r="K212" s="10"/>
    </row>
    <row r="213" spans="1:11" ht="25.5" x14ac:dyDescent="0.25">
      <c r="A213" s="313" t="s">
        <v>44</v>
      </c>
      <c r="B213" s="707" t="s">
        <v>384</v>
      </c>
      <c r="C213" s="253">
        <v>29600000</v>
      </c>
      <c r="D213" s="134">
        <f>C213/C212*100</f>
        <v>1.8102890823236593</v>
      </c>
      <c r="E213" s="134">
        <f t="shared" ref="E213:E216" si="81">G213/C213*100</f>
        <v>0</v>
      </c>
      <c r="F213" s="134">
        <f t="shared" ref="F213:F216" si="82">(D213*E213)/100</f>
        <v>0</v>
      </c>
      <c r="G213" s="181">
        <v>0</v>
      </c>
      <c r="H213" s="134">
        <f t="shared" ref="H213:H216" si="83">G213/C213*100</f>
        <v>0</v>
      </c>
      <c r="I213" s="134">
        <f t="shared" ref="I213:I216" si="84">(D213*H213)/100</f>
        <v>0</v>
      </c>
      <c r="J213" s="6">
        <f t="shared" ref="J213:J217" si="85">G213-C213</f>
        <v>-29600000</v>
      </c>
      <c r="K213" s="10"/>
    </row>
    <row r="214" spans="1:11" x14ac:dyDescent="0.25">
      <c r="A214" s="319" t="s">
        <v>59</v>
      </c>
      <c r="B214" s="707" t="s">
        <v>197</v>
      </c>
      <c r="C214" s="253">
        <v>1300000</v>
      </c>
      <c r="D214" s="134"/>
      <c r="E214" s="134"/>
      <c r="F214" s="134"/>
      <c r="G214" s="181"/>
      <c r="H214" s="134"/>
      <c r="I214" s="134"/>
      <c r="J214" s="6">
        <f t="shared" si="85"/>
        <v>-1300000</v>
      </c>
      <c r="K214" s="10"/>
    </row>
    <row r="215" spans="1:11" x14ac:dyDescent="0.25">
      <c r="A215" s="49" t="s">
        <v>148</v>
      </c>
      <c r="B215" s="133" t="s">
        <v>531</v>
      </c>
      <c r="C215" s="256">
        <v>1140000000</v>
      </c>
      <c r="D215" s="134">
        <f>C215/C212*100</f>
        <v>69.720593035438228</v>
      </c>
      <c r="E215" s="134">
        <f t="shared" si="81"/>
        <v>0</v>
      </c>
      <c r="F215" s="134">
        <f t="shared" si="82"/>
        <v>0</v>
      </c>
      <c r="G215" s="181">
        <v>0</v>
      </c>
      <c r="H215" s="134">
        <f t="shared" si="83"/>
        <v>0</v>
      </c>
      <c r="I215" s="134">
        <f t="shared" si="84"/>
        <v>0</v>
      </c>
      <c r="J215" s="6">
        <f t="shared" si="85"/>
        <v>-1140000000</v>
      </c>
      <c r="K215" s="10"/>
    </row>
    <row r="216" spans="1:11" s="84" customFormat="1" ht="25.5" x14ac:dyDescent="0.2">
      <c r="A216" s="49" t="s">
        <v>152</v>
      </c>
      <c r="B216" s="133" t="s">
        <v>153</v>
      </c>
      <c r="C216" s="256">
        <v>456000000</v>
      </c>
      <c r="D216" s="134">
        <f>C216/C212*100</f>
        <v>27.888237214175295</v>
      </c>
      <c r="E216" s="134">
        <f t="shared" si="81"/>
        <v>0</v>
      </c>
      <c r="F216" s="134">
        <f t="shared" si="82"/>
        <v>0</v>
      </c>
      <c r="G216" s="181">
        <v>0</v>
      </c>
      <c r="H216" s="134">
        <f t="shared" si="83"/>
        <v>0</v>
      </c>
      <c r="I216" s="134">
        <f t="shared" si="84"/>
        <v>0</v>
      </c>
      <c r="J216" s="6">
        <f t="shared" si="85"/>
        <v>-456000000</v>
      </c>
      <c r="K216" s="38"/>
    </row>
    <row r="217" spans="1:11" s="84" customFormat="1" x14ac:dyDescent="0.2">
      <c r="A217" s="749" t="s">
        <v>234</v>
      </c>
      <c r="B217" s="133" t="s">
        <v>522</v>
      </c>
      <c r="C217" s="256">
        <v>8197968</v>
      </c>
      <c r="D217" s="804"/>
      <c r="E217" s="134"/>
      <c r="F217" s="134"/>
      <c r="G217" s="181"/>
      <c r="H217" s="134"/>
      <c r="I217" s="134"/>
      <c r="J217" s="6">
        <f t="shared" si="85"/>
        <v>-8197968</v>
      </c>
      <c r="K217" s="805"/>
    </row>
    <row r="218" spans="1:11" x14ac:dyDescent="0.25">
      <c r="A218" s="70"/>
      <c r="B218" s="129" t="s">
        <v>95</v>
      </c>
      <c r="C218" s="807">
        <f>SUM(C213:C217)</f>
        <v>1635097968</v>
      </c>
      <c r="D218" s="271">
        <f>SUM(D213:D216)</f>
        <v>99.419119331937182</v>
      </c>
      <c r="E218" s="134"/>
      <c r="F218" s="134"/>
      <c r="G218" s="181">
        <v>0</v>
      </c>
      <c r="H218" s="134"/>
      <c r="I218" s="134"/>
      <c r="J218" s="56">
        <v>0</v>
      </c>
      <c r="K218" s="130"/>
    </row>
    <row r="219" spans="1:11" x14ac:dyDescent="0.25">
      <c r="A219" s="186"/>
      <c r="B219" s="2"/>
      <c r="C219" s="187"/>
      <c r="D219" s="188"/>
      <c r="E219" s="183"/>
      <c r="F219" s="183"/>
      <c r="G219" s="184"/>
      <c r="H219" s="183"/>
      <c r="I219" s="183"/>
      <c r="J219" s="189"/>
      <c r="K219" s="53"/>
    </row>
    <row r="220" spans="1:11" x14ac:dyDescent="0.25">
      <c r="A220" s="50"/>
      <c r="B220" s="5"/>
      <c r="C220" s="50"/>
      <c r="D220" s="9"/>
      <c r="E220" s="23"/>
      <c r="F220" s="23"/>
      <c r="G220" s="11"/>
      <c r="H220" s="23"/>
      <c r="I220" s="23"/>
      <c r="J220" s="9"/>
      <c r="K220" s="9"/>
    </row>
    <row r="221" spans="1:11" x14ac:dyDescent="0.25">
      <c r="A221" s="1088" t="s">
        <v>2</v>
      </c>
      <c r="B221" s="1094" t="s">
        <v>133</v>
      </c>
      <c r="C221" s="774"/>
      <c r="D221" s="1097" t="s">
        <v>5</v>
      </c>
      <c r="E221" s="1098"/>
      <c r="F221" s="1099"/>
      <c r="G221" s="1100" t="s">
        <v>6</v>
      </c>
      <c r="H221" s="1101"/>
      <c r="I221" s="1102"/>
      <c r="J221" s="1088" t="s">
        <v>7</v>
      </c>
      <c r="K221" s="108" t="s">
        <v>8</v>
      </c>
    </row>
    <row r="222" spans="1:11" x14ac:dyDescent="0.25">
      <c r="A222" s="1092"/>
      <c r="B222" s="1095"/>
      <c r="C222" s="775" t="s">
        <v>4</v>
      </c>
      <c r="D222" s="109" t="s">
        <v>9</v>
      </c>
      <c r="E222" s="110" t="s">
        <v>10</v>
      </c>
      <c r="F222" s="110" t="s">
        <v>11</v>
      </c>
      <c r="G222" s="111" t="s">
        <v>12</v>
      </c>
      <c r="H222" s="110" t="s">
        <v>13</v>
      </c>
      <c r="I222" s="110" t="s">
        <v>11</v>
      </c>
      <c r="J222" s="1092"/>
      <c r="K222" s="109"/>
    </row>
    <row r="223" spans="1:11" x14ac:dyDescent="0.25">
      <c r="A223" s="1093"/>
      <c r="B223" s="1096"/>
      <c r="C223" s="776"/>
      <c r="D223" s="112" t="s">
        <v>14</v>
      </c>
      <c r="E223" s="113" t="s">
        <v>14</v>
      </c>
      <c r="F223" s="113" t="s">
        <v>14</v>
      </c>
      <c r="G223" s="114" t="s">
        <v>15</v>
      </c>
      <c r="H223" s="113" t="s">
        <v>14</v>
      </c>
      <c r="I223" s="113" t="s">
        <v>14</v>
      </c>
      <c r="J223" s="112" t="s">
        <v>15</v>
      </c>
      <c r="K223" s="112"/>
    </row>
    <row r="224" spans="1:11" ht="25.5" x14ac:dyDescent="0.25">
      <c r="A224" s="79" t="s">
        <v>180</v>
      </c>
      <c r="B224" s="696" t="s">
        <v>379</v>
      </c>
      <c r="C224" s="291"/>
      <c r="D224" s="10"/>
      <c r="E224" s="34"/>
      <c r="F224" s="34"/>
      <c r="G224" s="6"/>
      <c r="H224" s="34"/>
      <c r="I224" s="34"/>
      <c r="J224" s="10"/>
      <c r="K224" s="10"/>
    </row>
    <row r="225" spans="1:14" ht="25.5" x14ac:dyDescent="0.25">
      <c r="A225" s="125" t="s">
        <v>181</v>
      </c>
      <c r="B225" s="697" t="s">
        <v>380</v>
      </c>
      <c r="C225" s="87">
        <f>SUM(C226:C237)</f>
        <v>185000000</v>
      </c>
      <c r="D225" s="10"/>
      <c r="E225" s="34"/>
      <c r="F225" s="34"/>
      <c r="G225" s="6"/>
      <c r="H225" s="34"/>
      <c r="I225" s="34"/>
      <c r="J225" s="10"/>
      <c r="K225" s="10"/>
    </row>
    <row r="226" spans="1:14" ht="25.5" x14ac:dyDescent="0.25">
      <c r="A226" s="49" t="s">
        <v>44</v>
      </c>
      <c r="B226" s="707" t="s">
        <v>384</v>
      </c>
      <c r="C226" s="172">
        <v>8580000</v>
      </c>
      <c r="D226" s="134">
        <f>C226/C225*100</f>
        <v>4.6378378378378375</v>
      </c>
      <c r="E226" s="134">
        <f t="shared" ref="E226:E235" si="86">G226/C226*100</f>
        <v>0</v>
      </c>
      <c r="F226" s="134">
        <f t="shared" ref="F226:F235" si="87">(D226*E226)/100</f>
        <v>0</v>
      </c>
      <c r="G226" s="181">
        <v>0</v>
      </c>
      <c r="H226" s="134">
        <f t="shared" ref="H226:H235" si="88">G226/C226*100</f>
        <v>0</v>
      </c>
      <c r="I226" s="134">
        <f t="shared" ref="I226:I235" si="89">(D226*H226)/100</f>
        <v>0</v>
      </c>
      <c r="J226" s="6">
        <f t="shared" ref="J226:J237" si="90">G226-C226</f>
        <v>-8580000</v>
      </c>
      <c r="K226" s="10"/>
    </row>
    <row r="227" spans="1:14" x14ac:dyDescent="0.25">
      <c r="A227" s="49" t="s">
        <v>59</v>
      </c>
      <c r="B227" s="707" t="s">
        <v>197</v>
      </c>
      <c r="C227" s="256">
        <v>9515700</v>
      </c>
      <c r="D227" s="134">
        <f>C227/C225*100</f>
        <v>5.1436216216216222</v>
      </c>
      <c r="E227" s="134">
        <f t="shared" si="86"/>
        <v>0</v>
      </c>
      <c r="F227" s="134">
        <f t="shared" si="87"/>
        <v>0</v>
      </c>
      <c r="G227" s="181">
        <v>0</v>
      </c>
      <c r="H227" s="134">
        <f t="shared" si="88"/>
        <v>0</v>
      </c>
      <c r="I227" s="134">
        <f t="shared" si="89"/>
        <v>0</v>
      </c>
      <c r="J227" s="6">
        <f t="shared" si="90"/>
        <v>-9515700</v>
      </c>
      <c r="K227" s="10"/>
    </row>
    <row r="228" spans="1:14" x14ac:dyDescent="0.25">
      <c r="A228" s="49" t="s">
        <v>62</v>
      </c>
      <c r="B228" s="707" t="s">
        <v>334</v>
      </c>
      <c r="C228" s="256">
        <v>4450000</v>
      </c>
      <c r="D228" s="134">
        <f>C228/C225*100</f>
        <v>2.4054054054054053</v>
      </c>
      <c r="E228" s="134">
        <f t="shared" si="86"/>
        <v>0</v>
      </c>
      <c r="F228" s="134">
        <f t="shared" si="87"/>
        <v>0</v>
      </c>
      <c r="G228" s="181">
        <v>0</v>
      </c>
      <c r="H228" s="134">
        <f t="shared" si="88"/>
        <v>0</v>
      </c>
      <c r="I228" s="134">
        <f t="shared" si="89"/>
        <v>0</v>
      </c>
      <c r="J228" s="6">
        <f t="shared" si="90"/>
        <v>-4450000</v>
      </c>
      <c r="K228" s="10"/>
    </row>
    <row r="229" spans="1:14" ht="25.5" x14ac:dyDescent="0.25">
      <c r="A229" s="49"/>
      <c r="B229" s="707" t="s">
        <v>532</v>
      </c>
      <c r="C229" s="256">
        <v>3500000</v>
      </c>
      <c r="D229" s="134"/>
      <c r="E229" s="134"/>
      <c r="F229" s="134"/>
      <c r="G229" s="181"/>
      <c r="H229" s="134"/>
      <c r="I229" s="134"/>
      <c r="J229" s="6">
        <f t="shared" si="90"/>
        <v>-3500000</v>
      </c>
      <c r="K229" s="10"/>
    </row>
    <row r="230" spans="1:14" x14ac:dyDescent="0.25">
      <c r="A230" s="49" t="s">
        <v>77</v>
      </c>
      <c r="B230" s="49" t="s">
        <v>135</v>
      </c>
      <c r="C230" s="174">
        <v>73080000</v>
      </c>
      <c r="D230" s="134">
        <f>C230/C225*100</f>
        <v>39.502702702702699</v>
      </c>
      <c r="E230" s="134">
        <f t="shared" si="86"/>
        <v>0</v>
      </c>
      <c r="F230" s="134">
        <f t="shared" si="87"/>
        <v>0</v>
      </c>
      <c r="G230" s="181">
        <v>0</v>
      </c>
      <c r="H230" s="134">
        <f t="shared" si="88"/>
        <v>0</v>
      </c>
      <c r="I230" s="134">
        <f t="shared" si="89"/>
        <v>0</v>
      </c>
      <c r="J230" s="6">
        <f t="shared" si="90"/>
        <v>-73080000</v>
      </c>
      <c r="K230" s="10"/>
    </row>
    <row r="231" spans="1:14" x14ac:dyDescent="0.25">
      <c r="A231" s="49"/>
      <c r="B231" s="170" t="s">
        <v>178</v>
      </c>
      <c r="C231" s="174">
        <v>5125000</v>
      </c>
      <c r="D231" s="134"/>
      <c r="E231" s="134"/>
      <c r="F231" s="134"/>
      <c r="G231" s="181"/>
      <c r="H231" s="134"/>
      <c r="I231" s="134"/>
      <c r="J231" s="6">
        <f t="shared" si="90"/>
        <v>-5125000</v>
      </c>
      <c r="K231" s="10"/>
    </row>
    <row r="232" spans="1:14" x14ac:dyDescent="0.25">
      <c r="A232" s="49" t="s">
        <v>104</v>
      </c>
      <c r="B232" s="170" t="s">
        <v>179</v>
      </c>
      <c r="C232" s="172">
        <v>33400000</v>
      </c>
      <c r="D232" s="134">
        <f>C232/C225*100</f>
        <v>18.054054054054053</v>
      </c>
      <c r="E232" s="134">
        <f t="shared" si="86"/>
        <v>0</v>
      </c>
      <c r="F232" s="134">
        <f t="shared" si="87"/>
        <v>0</v>
      </c>
      <c r="G232" s="181">
        <v>0</v>
      </c>
      <c r="H232" s="134">
        <f t="shared" si="88"/>
        <v>0</v>
      </c>
      <c r="I232" s="134">
        <f t="shared" si="89"/>
        <v>0</v>
      </c>
      <c r="J232" s="6">
        <f t="shared" si="90"/>
        <v>-33400000</v>
      </c>
      <c r="K232" s="10"/>
    </row>
    <row r="233" spans="1:14" ht="25.5" x14ac:dyDescent="0.25">
      <c r="A233" s="49" t="s">
        <v>106</v>
      </c>
      <c r="B233" s="316" t="s">
        <v>375</v>
      </c>
      <c r="C233" s="178">
        <v>16500000</v>
      </c>
      <c r="D233" s="134">
        <f>C233/C225*100</f>
        <v>8.9189189189189193</v>
      </c>
      <c r="E233" s="134">
        <f t="shared" si="86"/>
        <v>0</v>
      </c>
      <c r="F233" s="134">
        <f t="shared" si="87"/>
        <v>0</v>
      </c>
      <c r="G233" s="181">
        <v>0</v>
      </c>
      <c r="H233" s="134">
        <f t="shared" si="88"/>
        <v>0</v>
      </c>
      <c r="I233" s="134">
        <f t="shared" si="89"/>
        <v>0</v>
      </c>
      <c r="J233" s="6">
        <f t="shared" si="90"/>
        <v>-16500000</v>
      </c>
      <c r="K233" s="10"/>
    </row>
    <row r="234" spans="1:14" x14ac:dyDescent="0.25">
      <c r="A234" s="49"/>
      <c r="B234" s="316" t="s">
        <v>533</v>
      </c>
      <c r="C234" s="178">
        <v>2500000</v>
      </c>
      <c r="D234" s="134"/>
      <c r="E234" s="134"/>
      <c r="F234" s="134"/>
      <c r="G234" s="181"/>
      <c r="H234" s="134"/>
      <c r="I234" s="134"/>
      <c r="J234" s="6">
        <f t="shared" si="90"/>
        <v>-2500000</v>
      </c>
      <c r="K234" s="10"/>
    </row>
    <row r="235" spans="1:14" ht="25.5" x14ac:dyDescent="0.25">
      <c r="A235" s="49" t="s">
        <v>116</v>
      </c>
      <c r="B235" s="133" t="s">
        <v>371</v>
      </c>
      <c r="C235" s="178">
        <v>4824300</v>
      </c>
      <c r="D235" s="134">
        <f>C235/C225*100</f>
        <v>2.6077297297297299</v>
      </c>
      <c r="E235" s="134">
        <f t="shared" si="86"/>
        <v>0</v>
      </c>
      <c r="F235" s="134">
        <f t="shared" si="87"/>
        <v>0</v>
      </c>
      <c r="G235" s="181">
        <v>0</v>
      </c>
      <c r="H235" s="134">
        <f t="shared" si="88"/>
        <v>0</v>
      </c>
      <c r="I235" s="134">
        <f t="shared" si="89"/>
        <v>0</v>
      </c>
      <c r="J235" s="6">
        <f t="shared" si="90"/>
        <v>-4824300</v>
      </c>
      <c r="K235" s="10"/>
    </row>
    <row r="236" spans="1:14" x14ac:dyDescent="0.25">
      <c r="A236" s="749" t="s">
        <v>121</v>
      </c>
      <c r="B236" s="315" t="s">
        <v>191</v>
      </c>
      <c r="C236" s="178">
        <v>19400000</v>
      </c>
      <c r="D236" s="134"/>
      <c r="E236" s="134"/>
      <c r="F236" s="134"/>
      <c r="G236" s="181">
        <v>0</v>
      </c>
      <c r="H236" s="134"/>
      <c r="I236" s="134"/>
      <c r="J236" s="6">
        <f t="shared" si="90"/>
        <v>-19400000</v>
      </c>
      <c r="K236" s="10"/>
    </row>
    <row r="237" spans="1:14" x14ac:dyDescent="0.25">
      <c r="A237" s="749" t="s">
        <v>407</v>
      </c>
      <c r="B237" s="133" t="s">
        <v>424</v>
      </c>
      <c r="C237" s="178">
        <v>4125000</v>
      </c>
      <c r="D237" s="134"/>
      <c r="E237" s="134"/>
      <c r="F237" s="134"/>
      <c r="G237" s="181">
        <v>0</v>
      </c>
      <c r="H237" s="134"/>
      <c r="I237" s="134"/>
      <c r="J237" s="6">
        <f t="shared" si="90"/>
        <v>-4125000</v>
      </c>
      <c r="K237" s="10"/>
    </row>
    <row r="238" spans="1:14" x14ac:dyDescent="0.25">
      <c r="A238" s="70"/>
      <c r="B238" s="778" t="s">
        <v>136</v>
      </c>
      <c r="C238" s="43">
        <f>SUM(C226:C237)</f>
        <v>185000000</v>
      </c>
      <c r="D238" s="12">
        <f>SUM(D226:D235)</f>
        <v>81.27027027027026</v>
      </c>
      <c r="E238" s="134"/>
      <c r="F238" s="134"/>
      <c r="G238" s="181">
        <v>0</v>
      </c>
      <c r="H238" s="134"/>
      <c r="I238" s="134"/>
      <c r="J238" s="734"/>
      <c r="K238" s="3"/>
    </row>
    <row r="239" spans="1:14" x14ac:dyDescent="0.25">
      <c r="A239" s="53"/>
      <c r="B239" s="5"/>
      <c r="C239" s="189"/>
      <c r="D239" s="29"/>
      <c r="E239" s="30"/>
      <c r="F239" s="23"/>
      <c r="G239" s="11"/>
      <c r="H239" s="32"/>
      <c r="I239" s="23"/>
      <c r="J239" s="15"/>
      <c r="K239" s="37"/>
    </row>
    <row r="240" spans="1:14" ht="31.5" x14ac:dyDescent="0.25">
      <c r="A240" s="55"/>
      <c r="B240" s="46" t="s">
        <v>145</v>
      </c>
      <c r="C240" s="155"/>
      <c r="D240" s="44"/>
      <c r="E240" s="45"/>
      <c r="F240" s="45"/>
      <c r="G240" s="48"/>
      <c r="H240" s="45"/>
      <c r="I240" s="45"/>
      <c r="J240" s="44"/>
      <c r="K240" s="44"/>
      <c r="L240" s="1"/>
      <c r="M240" s="1"/>
      <c r="N240" s="1"/>
    </row>
    <row r="241" spans="1:11" x14ac:dyDescent="0.25">
      <c r="A241" s="1087" t="s">
        <v>2</v>
      </c>
      <c r="B241" s="1089" t="s">
        <v>169</v>
      </c>
      <c r="C241" s="1087" t="s">
        <v>4</v>
      </c>
      <c r="D241" s="1090" t="s">
        <v>5</v>
      </c>
      <c r="E241" s="1090"/>
      <c r="F241" s="1090"/>
      <c r="G241" s="1091" t="s">
        <v>6</v>
      </c>
      <c r="H241" s="1091"/>
      <c r="I241" s="1091"/>
      <c r="J241" s="1087" t="s">
        <v>7</v>
      </c>
      <c r="K241" s="108" t="s">
        <v>8</v>
      </c>
    </row>
    <row r="242" spans="1:11" x14ac:dyDescent="0.25">
      <c r="A242" s="1087"/>
      <c r="B242" s="1089"/>
      <c r="C242" s="1087"/>
      <c r="D242" s="108" t="s">
        <v>9</v>
      </c>
      <c r="E242" s="300" t="s">
        <v>10</v>
      </c>
      <c r="F242" s="300" t="s">
        <v>11</v>
      </c>
      <c r="G242" s="301" t="s">
        <v>12</v>
      </c>
      <c r="H242" s="300" t="s">
        <v>13</v>
      </c>
      <c r="I242" s="300" t="s">
        <v>11</v>
      </c>
      <c r="J242" s="1088"/>
      <c r="K242" s="109"/>
    </row>
    <row r="243" spans="1:11" x14ac:dyDescent="0.25">
      <c r="A243" s="1087"/>
      <c r="B243" s="1089"/>
      <c r="C243" s="1087"/>
      <c r="D243" s="112" t="s">
        <v>14</v>
      </c>
      <c r="E243" s="113" t="s">
        <v>14</v>
      </c>
      <c r="F243" s="113" t="s">
        <v>14</v>
      </c>
      <c r="G243" s="114" t="s">
        <v>15</v>
      </c>
      <c r="H243" s="113" t="s">
        <v>14</v>
      </c>
      <c r="I243" s="113" t="s">
        <v>14</v>
      </c>
      <c r="J243" s="112" t="s">
        <v>15</v>
      </c>
      <c r="K243" s="112"/>
    </row>
    <row r="244" spans="1:11" x14ac:dyDescent="0.25">
      <c r="A244" s="79" t="s">
        <v>185</v>
      </c>
      <c r="B244" s="199" t="s">
        <v>146</v>
      </c>
      <c r="C244" s="24"/>
      <c r="D244" s="10"/>
      <c r="E244" s="34"/>
      <c r="F244" s="34"/>
      <c r="G244" s="6"/>
      <c r="H244" s="34"/>
      <c r="I244" s="34"/>
      <c r="J244" s="10"/>
      <c r="K244" s="10"/>
    </row>
    <row r="245" spans="1:11" x14ac:dyDescent="0.25">
      <c r="A245" s="125" t="s">
        <v>184</v>
      </c>
      <c r="B245" s="280" t="s">
        <v>147</v>
      </c>
      <c r="C245" s="252">
        <f>SUM(C246:C247)</f>
        <v>2905640000</v>
      </c>
      <c r="D245" s="10"/>
      <c r="E245" s="34"/>
      <c r="F245" s="34"/>
      <c r="G245" s="6"/>
      <c r="H245" s="34"/>
      <c r="I245" s="34"/>
      <c r="J245" s="10"/>
      <c r="K245" s="10"/>
    </row>
    <row r="246" spans="1:11" ht="25.5" x14ac:dyDescent="0.25">
      <c r="A246" s="313" t="s">
        <v>44</v>
      </c>
      <c r="B246" s="707" t="s">
        <v>384</v>
      </c>
      <c r="C246" s="253">
        <v>35640000</v>
      </c>
      <c r="D246" s="134">
        <f>C246/C245*100</f>
        <v>1.2265800305612533</v>
      </c>
      <c r="E246" s="134">
        <f t="shared" ref="E246:E247" si="91">G246/C246*100</f>
        <v>0</v>
      </c>
      <c r="F246" s="134">
        <f t="shared" ref="F246:F247" si="92">(D246*E246)/100</f>
        <v>0</v>
      </c>
      <c r="G246" s="181">
        <v>0</v>
      </c>
      <c r="H246" s="134">
        <f t="shared" ref="H246:H247" si="93">G246/C246*100</f>
        <v>0</v>
      </c>
      <c r="I246" s="134">
        <f t="shared" ref="I246:I247" si="94">(D246*H246)/100</f>
        <v>0</v>
      </c>
      <c r="J246" s="6">
        <f t="shared" ref="J246:J247" si="95">G246-C246</f>
        <v>-35640000</v>
      </c>
      <c r="K246" s="10"/>
    </row>
    <row r="247" spans="1:11" x14ac:dyDescent="0.25">
      <c r="A247" s="49" t="s">
        <v>148</v>
      </c>
      <c r="B247" s="133" t="s">
        <v>534</v>
      </c>
      <c r="C247" s="256">
        <v>2870000000</v>
      </c>
      <c r="D247" s="268">
        <f>C247/C245*100</f>
        <v>98.773419969438748</v>
      </c>
      <c r="E247" s="134">
        <f t="shared" si="91"/>
        <v>0</v>
      </c>
      <c r="F247" s="134">
        <f t="shared" si="92"/>
        <v>0</v>
      </c>
      <c r="G247" s="181">
        <v>0</v>
      </c>
      <c r="H247" s="134">
        <f t="shared" si="93"/>
        <v>0</v>
      </c>
      <c r="I247" s="134">
        <f t="shared" si="94"/>
        <v>0</v>
      </c>
      <c r="J247" s="6">
        <f t="shared" si="95"/>
        <v>-2870000000</v>
      </c>
      <c r="K247" s="3"/>
    </row>
    <row r="248" spans="1:11" x14ac:dyDescent="0.25">
      <c r="A248" s="71"/>
      <c r="B248" s="76" t="s">
        <v>95</v>
      </c>
      <c r="C248" s="808">
        <f>SUM(C246:C247)</f>
        <v>2905640000</v>
      </c>
      <c r="D248" s="274">
        <f>SUM(D246:D247)</f>
        <v>100</v>
      </c>
      <c r="E248" s="134"/>
      <c r="F248" s="134"/>
      <c r="G248" s="181">
        <v>0</v>
      </c>
      <c r="H248" s="134"/>
      <c r="I248" s="134"/>
      <c r="J248" s="734"/>
      <c r="K248" s="40"/>
    </row>
    <row r="249" spans="1:11" x14ac:dyDescent="0.25">
      <c r="A249" s="53"/>
      <c r="B249" s="5"/>
      <c r="C249" s="189"/>
      <c r="D249" s="29"/>
      <c r="E249" s="30"/>
      <c r="F249" s="23"/>
      <c r="G249" s="11"/>
      <c r="H249" s="32"/>
      <c r="I249" s="23"/>
      <c r="J249" s="15"/>
      <c r="K249" s="37"/>
    </row>
    <row r="250" spans="1:11" x14ac:dyDescent="0.25">
      <c r="A250" s="1087" t="s">
        <v>2</v>
      </c>
      <c r="B250" s="1089" t="s">
        <v>169</v>
      </c>
      <c r="C250" s="1087" t="s">
        <v>4</v>
      </c>
      <c r="D250" s="1090" t="s">
        <v>5</v>
      </c>
      <c r="E250" s="1090"/>
      <c r="F250" s="1090"/>
      <c r="G250" s="1091" t="s">
        <v>6</v>
      </c>
      <c r="H250" s="1091"/>
      <c r="I250" s="1091"/>
      <c r="J250" s="1087" t="s">
        <v>7</v>
      </c>
      <c r="K250" s="108" t="s">
        <v>8</v>
      </c>
    </row>
    <row r="251" spans="1:11" x14ac:dyDescent="0.25">
      <c r="A251" s="1087"/>
      <c r="B251" s="1089"/>
      <c r="C251" s="1087"/>
      <c r="D251" s="108" t="s">
        <v>9</v>
      </c>
      <c r="E251" s="300" t="s">
        <v>10</v>
      </c>
      <c r="F251" s="300" t="s">
        <v>11</v>
      </c>
      <c r="G251" s="301" t="s">
        <v>12</v>
      </c>
      <c r="H251" s="300" t="s">
        <v>13</v>
      </c>
      <c r="I251" s="300" t="s">
        <v>11</v>
      </c>
      <c r="J251" s="1088"/>
      <c r="K251" s="109"/>
    </row>
    <row r="252" spans="1:11" x14ac:dyDescent="0.25">
      <c r="A252" s="1087"/>
      <c r="B252" s="1089"/>
      <c r="C252" s="1087"/>
      <c r="D252" s="112" t="s">
        <v>14</v>
      </c>
      <c r="E252" s="113" t="s">
        <v>14</v>
      </c>
      <c r="F252" s="113" t="s">
        <v>14</v>
      </c>
      <c r="G252" s="114" t="s">
        <v>15</v>
      </c>
      <c r="H252" s="113" t="s">
        <v>14</v>
      </c>
      <c r="I252" s="113" t="s">
        <v>14</v>
      </c>
      <c r="J252" s="112" t="s">
        <v>15</v>
      </c>
      <c r="K252" s="112"/>
    </row>
    <row r="253" spans="1:11" x14ac:dyDescent="0.25">
      <c r="A253" s="79" t="s">
        <v>185</v>
      </c>
      <c r="B253" s="199" t="s">
        <v>146</v>
      </c>
      <c r="C253" s="24"/>
      <c r="D253" s="10"/>
      <c r="E253" s="34"/>
      <c r="F253" s="34"/>
      <c r="G253" s="6"/>
      <c r="H253" s="34"/>
      <c r="I253" s="34"/>
      <c r="J253" s="10"/>
      <c r="K253" s="10"/>
    </row>
    <row r="254" spans="1:11" x14ac:dyDescent="0.25">
      <c r="A254" s="125" t="s">
        <v>187</v>
      </c>
      <c r="B254" s="280" t="s">
        <v>150</v>
      </c>
      <c r="C254" s="252">
        <f>SUM(C255:C259)</f>
        <v>1761745176</v>
      </c>
      <c r="D254" s="10"/>
      <c r="E254" s="34"/>
      <c r="F254" s="34"/>
      <c r="G254" s="6"/>
      <c r="H254" s="34"/>
      <c r="I254" s="34"/>
      <c r="J254" s="10"/>
      <c r="K254" s="10"/>
    </row>
    <row r="255" spans="1:11" ht="25.5" x14ac:dyDescent="0.25">
      <c r="A255" s="313" t="s">
        <v>44</v>
      </c>
      <c r="B255" s="707" t="s">
        <v>384</v>
      </c>
      <c r="C255" s="253">
        <v>30210000</v>
      </c>
      <c r="D255" s="134">
        <f>C255/C254*100</f>
        <v>1.7147769388868757</v>
      </c>
      <c r="E255" s="134">
        <f t="shared" ref="E255:E258" si="96">G255/C255*100</f>
        <v>0</v>
      </c>
      <c r="F255" s="134">
        <f t="shared" ref="F255:F258" si="97">(D255*E255)/100</f>
        <v>0</v>
      </c>
      <c r="G255" s="181">
        <v>0</v>
      </c>
      <c r="H255" s="134">
        <f t="shared" ref="H255:H258" si="98">G255/C255*100</f>
        <v>0</v>
      </c>
      <c r="I255" s="134">
        <f t="shared" ref="I255:I258" si="99">(D255*H255)/100</f>
        <v>0</v>
      </c>
      <c r="J255" s="6">
        <f t="shared" ref="J255:J259" si="100">G255-C255</f>
        <v>-30210000</v>
      </c>
      <c r="K255" s="10"/>
    </row>
    <row r="256" spans="1:11" x14ac:dyDescent="0.25">
      <c r="A256" s="313" t="s">
        <v>59</v>
      </c>
      <c r="B256" s="707" t="s">
        <v>197</v>
      </c>
      <c r="C256" s="253">
        <v>690000</v>
      </c>
      <c r="D256" s="134">
        <f>C256/C254*100</f>
        <v>3.9165709627009077E-2</v>
      </c>
      <c r="E256" s="134">
        <f t="shared" si="96"/>
        <v>0</v>
      </c>
      <c r="F256" s="134">
        <f t="shared" si="97"/>
        <v>0</v>
      </c>
      <c r="G256" s="181">
        <v>0</v>
      </c>
      <c r="H256" s="134">
        <f t="shared" si="98"/>
        <v>0</v>
      </c>
      <c r="I256" s="134">
        <f t="shared" si="99"/>
        <v>0</v>
      </c>
      <c r="J256" s="6">
        <f t="shared" si="100"/>
        <v>-690000</v>
      </c>
      <c r="K256" s="10"/>
    </row>
    <row r="257" spans="1:11" ht="25.5" x14ac:dyDescent="0.25">
      <c r="A257" s="312" t="s">
        <v>157</v>
      </c>
      <c r="B257" s="133" t="s">
        <v>534</v>
      </c>
      <c r="C257" s="256">
        <v>1230000000</v>
      </c>
      <c r="D257" s="134">
        <f>C257/C254*100</f>
        <v>69.817134552494437</v>
      </c>
      <c r="E257" s="134">
        <f t="shared" si="96"/>
        <v>0</v>
      </c>
      <c r="F257" s="134">
        <f t="shared" si="97"/>
        <v>0</v>
      </c>
      <c r="G257" s="181">
        <v>0</v>
      </c>
      <c r="H257" s="134">
        <f t="shared" si="98"/>
        <v>0</v>
      </c>
      <c r="I257" s="134">
        <f t="shared" si="99"/>
        <v>0</v>
      </c>
      <c r="J257" s="6">
        <f t="shared" si="100"/>
        <v>-1230000000</v>
      </c>
      <c r="K257" s="10"/>
    </row>
    <row r="258" spans="1:11" s="84" customFormat="1" ht="25.5" x14ac:dyDescent="0.2">
      <c r="A258" s="312" t="s">
        <v>152</v>
      </c>
      <c r="B258" s="133" t="s">
        <v>159</v>
      </c>
      <c r="C258" s="256">
        <v>492000000</v>
      </c>
      <c r="D258" s="134">
        <f>C258/C254*100</f>
        <v>27.926853820997778</v>
      </c>
      <c r="E258" s="134">
        <f t="shared" si="96"/>
        <v>0</v>
      </c>
      <c r="F258" s="134">
        <f t="shared" si="97"/>
        <v>0</v>
      </c>
      <c r="G258" s="181">
        <v>0</v>
      </c>
      <c r="H258" s="134">
        <f t="shared" si="98"/>
        <v>0</v>
      </c>
      <c r="I258" s="134">
        <f t="shared" si="99"/>
        <v>0</v>
      </c>
      <c r="J258" s="6">
        <f t="shared" si="100"/>
        <v>-492000000</v>
      </c>
      <c r="K258" s="38"/>
    </row>
    <row r="259" spans="1:11" s="84" customFormat="1" x14ac:dyDescent="0.2">
      <c r="A259" s="749" t="s">
        <v>234</v>
      </c>
      <c r="B259" s="133" t="s">
        <v>522</v>
      </c>
      <c r="C259" s="256">
        <v>8845176</v>
      </c>
      <c r="D259" s="804"/>
      <c r="E259" s="134"/>
      <c r="F259" s="134"/>
      <c r="G259" s="181"/>
      <c r="H259" s="134"/>
      <c r="I259" s="134"/>
      <c r="J259" s="6">
        <f t="shared" si="100"/>
        <v>-8845176</v>
      </c>
      <c r="K259" s="805"/>
    </row>
    <row r="260" spans="1:11" x14ac:dyDescent="0.25">
      <c r="A260" s="70"/>
      <c r="B260" s="129" t="s">
        <v>95</v>
      </c>
      <c r="C260" s="807">
        <f>SUM(C255:C259)</f>
        <v>1761745176</v>
      </c>
      <c r="D260" s="271">
        <f>SUM(D255:D258)</f>
        <v>99.4979310220061</v>
      </c>
      <c r="E260" s="134"/>
      <c r="F260" s="134"/>
      <c r="G260" s="181">
        <v>0</v>
      </c>
      <c r="H260" s="134"/>
      <c r="I260" s="134"/>
      <c r="J260" s="56">
        <v>0</v>
      </c>
      <c r="K260" s="130"/>
    </row>
    <row r="261" spans="1:11" x14ac:dyDescent="0.25">
      <c r="A261" s="53"/>
      <c r="B261" s="5"/>
      <c r="C261" s="189"/>
      <c r="D261" s="29"/>
      <c r="E261" s="30"/>
      <c r="F261" s="23"/>
      <c r="G261" s="11"/>
      <c r="H261" s="32"/>
      <c r="I261" s="23"/>
      <c r="J261" s="15"/>
      <c r="K261" s="37"/>
    </row>
    <row r="262" spans="1:11" x14ac:dyDescent="0.25">
      <c r="A262" s="50"/>
      <c r="B262" s="5"/>
      <c r="C262" s="50"/>
      <c r="D262" s="9"/>
      <c r="E262" s="23"/>
      <c r="F262" s="23"/>
      <c r="G262" s="11"/>
      <c r="H262" s="23"/>
      <c r="I262" s="23"/>
      <c r="J262" s="9"/>
      <c r="K262" s="9"/>
    </row>
    <row r="263" spans="1:11" x14ac:dyDescent="0.25">
      <c r="A263" s="50"/>
      <c r="B263" s="5"/>
      <c r="C263" s="50"/>
      <c r="D263" s="9"/>
      <c r="E263" s="23"/>
      <c r="F263" s="23"/>
      <c r="G263" s="11"/>
      <c r="H263" s="23"/>
      <c r="I263" s="23"/>
      <c r="J263" s="9"/>
      <c r="K263" s="9"/>
    </row>
    <row r="264" spans="1:11" x14ac:dyDescent="0.25">
      <c r="A264" s="1103" t="s">
        <v>2</v>
      </c>
      <c r="B264" s="1116" t="s">
        <v>137</v>
      </c>
      <c r="C264" s="1103" t="s">
        <v>4</v>
      </c>
      <c r="D264" s="1105" t="s">
        <v>5</v>
      </c>
      <c r="E264" s="1106"/>
      <c r="F264" s="1106"/>
      <c r="G264" s="1107" t="s">
        <v>6</v>
      </c>
      <c r="H264" s="1106"/>
      <c r="I264" s="1106"/>
      <c r="J264" s="1108" t="s">
        <v>7</v>
      </c>
      <c r="K264" s="1108" t="s">
        <v>8</v>
      </c>
    </row>
    <row r="265" spans="1:11" x14ac:dyDescent="0.25">
      <c r="A265" s="1103"/>
      <c r="B265" s="1117"/>
      <c r="C265" s="1103"/>
      <c r="D265" s="102" t="s">
        <v>9</v>
      </c>
      <c r="E265" s="103" t="s">
        <v>10</v>
      </c>
      <c r="F265" s="103" t="s">
        <v>11</v>
      </c>
      <c r="G265" s="104" t="s">
        <v>12</v>
      </c>
      <c r="H265" s="103" t="s">
        <v>13</v>
      </c>
      <c r="I265" s="103" t="s">
        <v>11</v>
      </c>
      <c r="J265" s="1109"/>
      <c r="K265" s="1109"/>
    </row>
    <row r="266" spans="1:11" x14ac:dyDescent="0.25">
      <c r="A266" s="1103"/>
      <c r="B266" s="1118"/>
      <c r="C266" s="1103"/>
      <c r="D266" s="105" t="s">
        <v>14</v>
      </c>
      <c r="E266" s="106" t="s">
        <v>14</v>
      </c>
      <c r="F266" s="106" t="s">
        <v>14</v>
      </c>
      <c r="G266" s="107" t="s">
        <v>15</v>
      </c>
      <c r="H266" s="106" t="s">
        <v>14</v>
      </c>
      <c r="I266" s="106" t="s">
        <v>14</v>
      </c>
      <c r="J266" s="105" t="s">
        <v>15</v>
      </c>
      <c r="K266" s="1110"/>
    </row>
    <row r="267" spans="1:11" ht="25.5" x14ac:dyDescent="0.25">
      <c r="A267" s="79" t="s">
        <v>180</v>
      </c>
      <c r="B267" s="696" t="s">
        <v>379</v>
      </c>
      <c r="C267" s="64"/>
      <c r="D267" s="10"/>
      <c r="E267" s="34"/>
      <c r="F267" s="34"/>
      <c r="G267" s="6"/>
      <c r="H267" s="34"/>
      <c r="I267" s="34"/>
      <c r="J267" s="10"/>
      <c r="K267" s="10"/>
    </row>
    <row r="268" spans="1:11" ht="25.5" x14ac:dyDescent="0.25">
      <c r="A268" s="140" t="s">
        <v>181</v>
      </c>
      <c r="B268" s="697" t="s">
        <v>380</v>
      </c>
      <c r="C268" s="86">
        <f>SUM(C269:C281)</f>
        <v>185000000</v>
      </c>
      <c r="D268" s="179"/>
      <c r="E268" s="168"/>
      <c r="F268" s="168"/>
      <c r="G268" s="169"/>
      <c r="H268" s="168"/>
      <c r="I268" s="168"/>
      <c r="J268" s="167"/>
      <c r="K268" s="167"/>
    </row>
    <row r="269" spans="1:11" ht="25.5" x14ac:dyDescent="0.25">
      <c r="A269" s="170" t="s">
        <v>44</v>
      </c>
      <c r="B269" s="707" t="s">
        <v>384</v>
      </c>
      <c r="C269" s="58">
        <v>8580000</v>
      </c>
      <c r="D269" s="180">
        <f>C269/C268*100</f>
        <v>4.6378378378378375</v>
      </c>
      <c r="E269" s="134">
        <f t="shared" ref="E269:E280" si="101">G269/C269*100</f>
        <v>0</v>
      </c>
      <c r="F269" s="134">
        <f t="shared" ref="F269:F280" si="102">(D269*E269)/100</f>
        <v>0</v>
      </c>
      <c r="G269" s="181">
        <v>0</v>
      </c>
      <c r="H269" s="134">
        <f t="shared" ref="H269:H280" si="103">G269/C269*100</f>
        <v>0</v>
      </c>
      <c r="I269" s="134">
        <f t="shared" ref="I269:I280" si="104">(D269*H269)/100</f>
        <v>0</v>
      </c>
      <c r="J269" s="6">
        <f t="shared" ref="J269:J281" si="105">G269-C269</f>
        <v>-8580000</v>
      </c>
      <c r="K269" s="167"/>
    </row>
    <row r="270" spans="1:11" x14ac:dyDescent="0.25">
      <c r="A270" s="170" t="s">
        <v>221</v>
      </c>
      <c r="B270" s="707" t="s">
        <v>530</v>
      </c>
      <c r="C270" s="58">
        <v>1350000</v>
      </c>
      <c r="D270" s="180"/>
      <c r="E270" s="134"/>
      <c r="F270" s="134"/>
      <c r="G270" s="181">
        <v>0</v>
      </c>
      <c r="H270" s="134"/>
      <c r="I270" s="134"/>
      <c r="J270" s="6">
        <f t="shared" si="105"/>
        <v>-1350000</v>
      </c>
      <c r="K270" s="167"/>
    </row>
    <row r="271" spans="1:11" x14ac:dyDescent="0.25">
      <c r="A271" s="170" t="s">
        <v>59</v>
      </c>
      <c r="B271" s="707" t="s">
        <v>197</v>
      </c>
      <c r="C271" s="58">
        <v>14728000</v>
      </c>
      <c r="D271" s="729">
        <f>C271/C268*100</f>
        <v>7.9610810810810815</v>
      </c>
      <c r="E271" s="134">
        <f t="shared" si="101"/>
        <v>0</v>
      </c>
      <c r="F271" s="134">
        <f t="shared" si="102"/>
        <v>0</v>
      </c>
      <c r="G271" s="181">
        <v>0</v>
      </c>
      <c r="H271" s="134">
        <f t="shared" si="103"/>
        <v>0</v>
      </c>
      <c r="I271" s="134">
        <f t="shared" si="104"/>
        <v>0</v>
      </c>
      <c r="J271" s="6">
        <f t="shared" si="105"/>
        <v>-14728000</v>
      </c>
      <c r="K271" s="167"/>
    </row>
    <row r="272" spans="1:11" x14ac:dyDescent="0.25">
      <c r="A272" s="170" t="s">
        <v>62</v>
      </c>
      <c r="B272" s="707" t="s">
        <v>334</v>
      </c>
      <c r="C272" s="58">
        <v>8500000</v>
      </c>
      <c r="D272" s="729">
        <f>C272/C268*100</f>
        <v>4.5945945945945947</v>
      </c>
      <c r="E272" s="134">
        <f t="shared" si="101"/>
        <v>0</v>
      </c>
      <c r="F272" s="134">
        <f t="shared" si="102"/>
        <v>0</v>
      </c>
      <c r="G272" s="181">
        <v>0</v>
      </c>
      <c r="H272" s="134">
        <f t="shared" si="103"/>
        <v>0</v>
      </c>
      <c r="I272" s="134">
        <f t="shared" si="104"/>
        <v>0</v>
      </c>
      <c r="J272" s="6">
        <f t="shared" si="105"/>
        <v>-8500000</v>
      </c>
      <c r="K272" s="167"/>
    </row>
    <row r="273" spans="1:14" x14ac:dyDescent="0.25">
      <c r="A273" s="49" t="s">
        <v>148</v>
      </c>
      <c r="B273" s="133" t="s">
        <v>534</v>
      </c>
      <c r="C273" s="58">
        <v>10500000</v>
      </c>
      <c r="D273" s="729"/>
      <c r="E273" s="134"/>
      <c r="F273" s="134"/>
      <c r="G273" s="181"/>
      <c r="H273" s="134"/>
      <c r="I273" s="134"/>
      <c r="J273" s="6">
        <f t="shared" si="105"/>
        <v>-10500000</v>
      </c>
      <c r="K273" s="167"/>
    </row>
    <row r="274" spans="1:14" x14ac:dyDescent="0.25">
      <c r="A274" s="170" t="s">
        <v>77</v>
      </c>
      <c r="B274" s="49" t="s">
        <v>135</v>
      </c>
      <c r="C274" s="58">
        <v>72860000</v>
      </c>
      <c r="D274" s="729">
        <f>C274/C268*100</f>
        <v>39.383783783783784</v>
      </c>
      <c r="E274" s="134">
        <f t="shared" si="101"/>
        <v>0</v>
      </c>
      <c r="F274" s="134">
        <f t="shared" si="102"/>
        <v>0</v>
      </c>
      <c r="G274" s="181">
        <v>0</v>
      </c>
      <c r="H274" s="134">
        <f t="shared" si="103"/>
        <v>0</v>
      </c>
      <c r="I274" s="134">
        <f t="shared" si="104"/>
        <v>0</v>
      </c>
      <c r="J274" s="6">
        <f t="shared" si="105"/>
        <v>-72860000</v>
      </c>
      <c r="K274" s="167"/>
    </row>
    <row r="275" spans="1:14" x14ac:dyDescent="0.25">
      <c r="A275" s="170" t="s">
        <v>104</v>
      </c>
      <c r="B275" s="170" t="s">
        <v>179</v>
      </c>
      <c r="C275" s="58">
        <v>34200000</v>
      </c>
      <c r="D275" s="729">
        <f>C275/C268*100</f>
        <v>18.486486486486488</v>
      </c>
      <c r="E275" s="134">
        <f t="shared" si="101"/>
        <v>0</v>
      </c>
      <c r="F275" s="134">
        <f t="shared" si="102"/>
        <v>0</v>
      </c>
      <c r="G275" s="181">
        <v>0</v>
      </c>
      <c r="H275" s="134">
        <f t="shared" si="103"/>
        <v>0</v>
      </c>
      <c r="I275" s="134">
        <f t="shared" si="104"/>
        <v>0</v>
      </c>
      <c r="J275" s="6">
        <f t="shared" si="105"/>
        <v>-34200000</v>
      </c>
      <c r="K275" s="167"/>
    </row>
    <row r="276" spans="1:14" x14ac:dyDescent="0.25">
      <c r="A276" s="170" t="s">
        <v>130</v>
      </c>
      <c r="B276" s="170" t="s">
        <v>131</v>
      </c>
      <c r="C276" s="58">
        <v>3000000</v>
      </c>
      <c r="D276" s="729">
        <f>C276/C268*100</f>
        <v>1.6216216216216217</v>
      </c>
      <c r="E276" s="134">
        <f t="shared" si="101"/>
        <v>0</v>
      </c>
      <c r="F276" s="134">
        <f t="shared" si="102"/>
        <v>0</v>
      </c>
      <c r="G276" s="181">
        <v>0</v>
      </c>
      <c r="H276" s="134">
        <f t="shared" si="103"/>
        <v>0</v>
      </c>
      <c r="I276" s="134">
        <f t="shared" si="104"/>
        <v>0</v>
      </c>
      <c r="J276" s="6">
        <f t="shared" si="105"/>
        <v>-3000000</v>
      </c>
      <c r="K276" s="167"/>
    </row>
    <row r="277" spans="1:14" ht="25.5" x14ac:dyDescent="0.25">
      <c r="A277" s="170" t="s">
        <v>106</v>
      </c>
      <c r="B277" s="316" t="s">
        <v>375</v>
      </c>
      <c r="C277" s="58">
        <v>13950000</v>
      </c>
      <c r="D277" s="180">
        <f>C277/C268*100</f>
        <v>7.5405405405405395</v>
      </c>
      <c r="E277" s="134">
        <f t="shared" si="101"/>
        <v>0</v>
      </c>
      <c r="F277" s="134">
        <f t="shared" si="102"/>
        <v>0</v>
      </c>
      <c r="G277" s="181">
        <v>0</v>
      </c>
      <c r="H277" s="134">
        <f t="shared" si="103"/>
        <v>0</v>
      </c>
      <c r="I277" s="134">
        <f t="shared" si="104"/>
        <v>0</v>
      </c>
      <c r="J277" s="6">
        <f t="shared" si="105"/>
        <v>-13950000</v>
      </c>
      <c r="K277" s="167"/>
    </row>
    <row r="278" spans="1:14" x14ac:dyDescent="0.25">
      <c r="A278" s="170" t="s">
        <v>162</v>
      </c>
      <c r="B278" s="170" t="s">
        <v>535</v>
      </c>
      <c r="C278" s="178">
        <v>2800000</v>
      </c>
      <c r="D278" s="729">
        <f>C278/C268*100</f>
        <v>1.5135135135135136</v>
      </c>
      <c r="E278" s="134">
        <f t="shared" si="101"/>
        <v>0</v>
      </c>
      <c r="F278" s="134">
        <f t="shared" si="102"/>
        <v>0</v>
      </c>
      <c r="G278" s="181">
        <v>0</v>
      </c>
      <c r="H278" s="134">
        <f t="shared" si="103"/>
        <v>0</v>
      </c>
      <c r="I278" s="134">
        <f t="shared" si="104"/>
        <v>0</v>
      </c>
      <c r="J278" s="6">
        <f t="shared" si="105"/>
        <v>-2800000</v>
      </c>
      <c r="K278" s="167"/>
    </row>
    <row r="279" spans="1:14" ht="25.5" x14ac:dyDescent="0.25">
      <c r="A279" s="170" t="s">
        <v>116</v>
      </c>
      <c r="B279" s="750" t="s">
        <v>420</v>
      </c>
      <c r="C279" s="178">
        <v>1057000</v>
      </c>
      <c r="D279" s="729">
        <f>C279/C269*100</f>
        <v>12.319347319347319</v>
      </c>
      <c r="E279" s="134"/>
      <c r="F279" s="134"/>
      <c r="G279" s="181">
        <v>0</v>
      </c>
      <c r="H279" s="134"/>
      <c r="I279" s="134"/>
      <c r="J279" s="6">
        <f t="shared" si="105"/>
        <v>-1057000</v>
      </c>
      <c r="K279" s="167"/>
    </row>
    <row r="280" spans="1:14" x14ac:dyDescent="0.25">
      <c r="A280" s="170" t="s">
        <v>65</v>
      </c>
      <c r="B280" s="170" t="s">
        <v>190</v>
      </c>
      <c r="C280" s="178">
        <v>7000000</v>
      </c>
      <c r="D280" s="729">
        <f>C280/C268*100</f>
        <v>3.7837837837837842</v>
      </c>
      <c r="E280" s="134">
        <f t="shared" si="101"/>
        <v>0</v>
      </c>
      <c r="F280" s="134">
        <f t="shared" si="102"/>
        <v>0</v>
      </c>
      <c r="G280" s="181">
        <v>0</v>
      </c>
      <c r="H280" s="134">
        <f t="shared" si="103"/>
        <v>0</v>
      </c>
      <c r="I280" s="134">
        <f t="shared" si="104"/>
        <v>0</v>
      </c>
      <c r="J280" s="6">
        <f t="shared" si="105"/>
        <v>-7000000</v>
      </c>
      <c r="K280" s="167"/>
    </row>
    <row r="281" spans="1:14" x14ac:dyDescent="0.25">
      <c r="A281" s="68" t="s">
        <v>301</v>
      </c>
      <c r="B281" s="170" t="s">
        <v>409</v>
      </c>
      <c r="C281" s="58">
        <v>6475000</v>
      </c>
      <c r="D281" s="269"/>
      <c r="E281" s="134"/>
      <c r="F281" s="134"/>
      <c r="G281" s="181">
        <v>0</v>
      </c>
      <c r="H281" s="134"/>
      <c r="I281" s="134"/>
      <c r="J281" s="6">
        <f t="shared" si="105"/>
        <v>-6475000</v>
      </c>
      <c r="K281" s="167"/>
    </row>
    <row r="282" spans="1:14" x14ac:dyDescent="0.25">
      <c r="A282" s="68"/>
      <c r="B282" s="67" t="s">
        <v>128</v>
      </c>
      <c r="C282" s="60">
        <f>SUM(C269:C281)</f>
        <v>185000000</v>
      </c>
      <c r="D282" s="270">
        <f>SUM(D269:D280)</f>
        <v>101.84259056259057</v>
      </c>
      <c r="E282" s="134"/>
      <c r="F282" s="134"/>
      <c r="G282" s="181">
        <v>0</v>
      </c>
      <c r="H282" s="134"/>
      <c r="I282" s="134"/>
      <c r="J282" s="56">
        <v>0</v>
      </c>
      <c r="K282" s="3"/>
    </row>
    <row r="283" spans="1:14" x14ac:dyDescent="0.25">
      <c r="A283" s="190"/>
      <c r="B283" s="2"/>
      <c r="C283" s="59"/>
      <c r="D283" s="41"/>
      <c r="E283" s="31"/>
      <c r="F283" s="31"/>
      <c r="G283" s="36"/>
      <c r="H283" s="31"/>
      <c r="I283" s="31"/>
      <c r="J283" s="33"/>
      <c r="K283" s="37"/>
    </row>
    <row r="284" spans="1:14" ht="31.5" x14ac:dyDescent="0.25">
      <c r="A284" s="55"/>
      <c r="B284" s="46" t="s">
        <v>145</v>
      </c>
      <c r="C284" s="155"/>
      <c r="D284" s="44"/>
      <c r="E284" s="45"/>
      <c r="F284" s="45"/>
      <c r="G284" s="48"/>
      <c r="H284" s="45"/>
      <c r="I284" s="45"/>
      <c r="J284" s="44"/>
      <c r="K284" s="44"/>
      <c r="L284" s="1"/>
      <c r="M284" s="1"/>
      <c r="N284" s="1"/>
    </row>
    <row r="285" spans="1:14" x14ac:dyDescent="0.25">
      <c r="A285" s="1111" t="s">
        <v>2</v>
      </c>
      <c r="B285" s="1104" t="s">
        <v>170</v>
      </c>
      <c r="C285" s="1111" t="s">
        <v>4</v>
      </c>
      <c r="D285" s="1112" t="s">
        <v>5</v>
      </c>
      <c r="E285" s="1113"/>
      <c r="F285" s="1113"/>
      <c r="G285" s="1114" t="s">
        <v>6</v>
      </c>
      <c r="H285" s="1113"/>
      <c r="I285" s="1113"/>
      <c r="J285" s="1111" t="s">
        <v>7</v>
      </c>
      <c r="K285" s="285" t="s">
        <v>8</v>
      </c>
    </row>
    <row r="286" spans="1:14" x14ac:dyDescent="0.25">
      <c r="A286" s="1111"/>
      <c r="B286" s="1104"/>
      <c r="C286" s="1111"/>
      <c r="D286" s="285" t="s">
        <v>9</v>
      </c>
      <c r="E286" s="304" t="s">
        <v>10</v>
      </c>
      <c r="F286" s="304" t="s">
        <v>11</v>
      </c>
      <c r="G286" s="305" t="s">
        <v>12</v>
      </c>
      <c r="H286" s="304" t="s">
        <v>13</v>
      </c>
      <c r="I286" s="304" t="s">
        <v>11</v>
      </c>
      <c r="J286" s="1115"/>
      <c r="K286" s="287"/>
    </row>
    <row r="287" spans="1:14" x14ac:dyDescent="0.25">
      <c r="A287" s="1111"/>
      <c r="B287" s="1104"/>
      <c r="C287" s="1111"/>
      <c r="D287" s="286" t="s">
        <v>14</v>
      </c>
      <c r="E287" s="302" t="s">
        <v>14</v>
      </c>
      <c r="F287" s="302" t="s">
        <v>14</v>
      </c>
      <c r="G287" s="303" t="s">
        <v>15</v>
      </c>
      <c r="H287" s="302" t="s">
        <v>14</v>
      </c>
      <c r="I287" s="302" t="s">
        <v>14</v>
      </c>
      <c r="J287" s="286" t="s">
        <v>15</v>
      </c>
      <c r="K287" s="286"/>
    </row>
    <row r="288" spans="1:14" x14ac:dyDescent="0.25">
      <c r="A288" s="144" t="s">
        <v>185</v>
      </c>
      <c r="B288" s="199" t="s">
        <v>146</v>
      </c>
      <c r="C288" s="145"/>
      <c r="D288" s="146"/>
      <c r="E288" s="147"/>
      <c r="F288" s="147"/>
      <c r="G288" s="148"/>
      <c r="H288" s="147"/>
      <c r="I288" s="147"/>
      <c r="J288" s="146"/>
      <c r="K288" s="146"/>
    </row>
    <row r="289" spans="1:11" x14ac:dyDescent="0.25">
      <c r="A289" s="318" t="s">
        <v>184</v>
      </c>
      <c r="B289" s="280" t="s">
        <v>147</v>
      </c>
      <c r="C289" s="257">
        <f>SUM(C290:C291)</f>
        <v>2480900000</v>
      </c>
      <c r="D289" s="146"/>
      <c r="E289" s="147"/>
      <c r="F289" s="147"/>
      <c r="G289" s="148"/>
      <c r="H289" s="147"/>
      <c r="I289" s="147"/>
      <c r="J289" s="146"/>
      <c r="K289" s="146"/>
    </row>
    <row r="290" spans="1:11" ht="25.5" x14ac:dyDescent="0.25">
      <c r="A290" s="319" t="s">
        <v>44</v>
      </c>
      <c r="B290" s="707" t="s">
        <v>384</v>
      </c>
      <c r="C290" s="149">
        <v>30900000</v>
      </c>
      <c r="D290" s="267">
        <f>C290/C289*100</f>
        <v>1.2455157402555526</v>
      </c>
      <c r="E290" s="134">
        <f t="shared" ref="E290:E291" si="106">G290/C290*100</f>
        <v>0</v>
      </c>
      <c r="F290" s="134">
        <f t="shared" ref="F290:F291" si="107">(D290*E290)/100</f>
        <v>0</v>
      </c>
      <c r="G290" s="181">
        <v>0</v>
      </c>
      <c r="H290" s="134">
        <f t="shared" ref="H290:H291" si="108">G290/C290*100</f>
        <v>0</v>
      </c>
      <c r="I290" s="134">
        <f t="shared" ref="I290:I291" si="109">(D290*H290)/100</f>
        <v>0</v>
      </c>
      <c r="J290" s="6">
        <f t="shared" ref="J290:J291" si="110">G290-C290</f>
        <v>-30900000</v>
      </c>
      <c r="K290" s="146"/>
    </row>
    <row r="291" spans="1:11" x14ac:dyDescent="0.25">
      <c r="A291" s="49" t="s">
        <v>148</v>
      </c>
      <c r="B291" s="133" t="s">
        <v>534</v>
      </c>
      <c r="C291" s="149">
        <v>2450000000</v>
      </c>
      <c r="D291" s="267">
        <f>C291/C289*100</f>
        <v>98.754484259744444</v>
      </c>
      <c r="E291" s="134">
        <f t="shared" si="106"/>
        <v>0</v>
      </c>
      <c r="F291" s="134">
        <f t="shared" si="107"/>
        <v>0</v>
      </c>
      <c r="G291" s="181">
        <v>0</v>
      </c>
      <c r="H291" s="134">
        <f t="shared" si="108"/>
        <v>0</v>
      </c>
      <c r="I291" s="134">
        <f t="shared" si="109"/>
        <v>0</v>
      </c>
      <c r="J291" s="6">
        <f t="shared" si="110"/>
        <v>-2450000000</v>
      </c>
      <c r="K291" s="146"/>
    </row>
    <row r="292" spans="1:11" x14ac:dyDescent="0.25">
      <c r="A292" s="71"/>
      <c r="B292" s="76" t="s">
        <v>95</v>
      </c>
      <c r="C292" s="809">
        <f>SUM(C290:C291)</f>
        <v>2480900000</v>
      </c>
      <c r="D292" s="141">
        <f>SUM(D290:D291)</f>
        <v>100</v>
      </c>
      <c r="E292" s="134"/>
      <c r="F292" s="134"/>
      <c r="G292" s="181">
        <v>0</v>
      </c>
      <c r="H292" s="134"/>
      <c r="I292" s="134"/>
      <c r="J292" s="56">
        <v>0</v>
      </c>
      <c r="K292" s="143"/>
    </row>
    <row r="293" spans="1:11" x14ac:dyDescent="0.25">
      <c r="A293" s="190"/>
      <c r="B293" s="2"/>
      <c r="C293" s="59"/>
      <c r="D293" s="41"/>
      <c r="E293" s="31"/>
      <c r="F293" s="31"/>
      <c r="G293" s="36"/>
      <c r="H293" s="31"/>
      <c r="I293" s="31"/>
      <c r="J293" s="33"/>
      <c r="K293" s="37"/>
    </row>
    <row r="294" spans="1:11" x14ac:dyDescent="0.25">
      <c r="A294" s="1103" t="s">
        <v>2</v>
      </c>
      <c r="B294" s="1104" t="s">
        <v>170</v>
      </c>
      <c r="C294" s="1103" t="s">
        <v>4</v>
      </c>
      <c r="D294" s="1105" t="s">
        <v>5</v>
      </c>
      <c r="E294" s="1106"/>
      <c r="F294" s="1106"/>
      <c r="G294" s="1107" t="s">
        <v>6</v>
      </c>
      <c r="H294" s="1106"/>
      <c r="I294" s="1106"/>
      <c r="J294" s="1103" t="s">
        <v>7</v>
      </c>
      <c r="K294" s="288" t="s">
        <v>8</v>
      </c>
    </row>
    <row r="295" spans="1:11" x14ac:dyDescent="0.25">
      <c r="A295" s="1103"/>
      <c r="B295" s="1104"/>
      <c r="C295" s="1103"/>
      <c r="D295" s="288" t="s">
        <v>9</v>
      </c>
      <c r="E295" s="306" t="s">
        <v>10</v>
      </c>
      <c r="F295" s="306" t="s">
        <v>11</v>
      </c>
      <c r="G295" s="307" t="s">
        <v>12</v>
      </c>
      <c r="H295" s="306" t="s">
        <v>13</v>
      </c>
      <c r="I295" s="306" t="s">
        <v>11</v>
      </c>
      <c r="J295" s="1108"/>
      <c r="K295" s="102"/>
    </row>
    <row r="296" spans="1:11" x14ac:dyDescent="0.25">
      <c r="A296" s="1103"/>
      <c r="B296" s="1104"/>
      <c r="C296" s="1103"/>
      <c r="D296" s="105" t="s">
        <v>14</v>
      </c>
      <c r="E296" s="106" t="s">
        <v>14</v>
      </c>
      <c r="F296" s="106" t="s">
        <v>14</v>
      </c>
      <c r="G296" s="107" t="s">
        <v>15</v>
      </c>
      <c r="H296" s="106" t="s">
        <v>14</v>
      </c>
      <c r="I296" s="106" t="s">
        <v>14</v>
      </c>
      <c r="J296" s="105" t="s">
        <v>15</v>
      </c>
      <c r="K296" s="105"/>
    </row>
    <row r="297" spans="1:11" x14ac:dyDescent="0.25">
      <c r="A297" s="79" t="s">
        <v>185</v>
      </c>
      <c r="B297" s="199" t="s">
        <v>146</v>
      </c>
      <c r="C297" s="24"/>
      <c r="D297" s="10"/>
      <c r="E297" s="34"/>
      <c r="F297" s="34"/>
      <c r="G297" s="6"/>
      <c r="H297" s="34"/>
      <c r="I297" s="34"/>
      <c r="J297" s="10"/>
      <c r="K297" s="10"/>
    </row>
    <row r="298" spans="1:11" x14ac:dyDescent="0.25">
      <c r="A298" s="125" t="s">
        <v>187</v>
      </c>
      <c r="B298" s="280" t="s">
        <v>150</v>
      </c>
      <c r="C298" s="131">
        <f>SUM(C299:C302)</f>
        <v>1508450760</v>
      </c>
      <c r="D298" s="10"/>
      <c r="E298" s="34"/>
      <c r="F298" s="34"/>
      <c r="G298" s="6"/>
      <c r="H298" s="34"/>
      <c r="I298" s="34"/>
      <c r="J298" s="10"/>
      <c r="K298" s="10"/>
    </row>
    <row r="299" spans="1:11" ht="25.5" x14ac:dyDescent="0.25">
      <c r="A299" s="124" t="s">
        <v>44</v>
      </c>
      <c r="B299" s="707" t="s">
        <v>384</v>
      </c>
      <c r="C299" s="253">
        <v>30900000</v>
      </c>
      <c r="D299" s="134">
        <f>C299/C298*100</f>
        <v>2.0484593080121489</v>
      </c>
      <c r="E299" s="134">
        <f t="shared" ref="E299:E301" si="111">G299/C299*100</f>
        <v>0</v>
      </c>
      <c r="F299" s="134">
        <f t="shared" ref="F299:F301" si="112">(D299*E299)/100</f>
        <v>0</v>
      </c>
      <c r="G299" s="181">
        <v>0</v>
      </c>
      <c r="H299" s="134">
        <f t="shared" ref="H299:H301" si="113">G299/C299*100</f>
        <v>0</v>
      </c>
      <c r="I299" s="134">
        <f t="shared" ref="I299:I301" si="114">(D299*H299)/100</f>
        <v>0</v>
      </c>
      <c r="J299" s="6">
        <f t="shared" ref="J299:J302" si="115">G299-C299</f>
        <v>-30900000</v>
      </c>
      <c r="K299" s="10"/>
    </row>
    <row r="300" spans="1:11" x14ac:dyDescent="0.25">
      <c r="A300" s="49" t="s">
        <v>148</v>
      </c>
      <c r="B300" s="133" t="s">
        <v>534</v>
      </c>
      <c r="C300" s="256">
        <v>1050000000</v>
      </c>
      <c r="D300" s="134">
        <f>C300/C298*100</f>
        <v>69.607840563519616</v>
      </c>
      <c r="E300" s="134">
        <f t="shared" si="111"/>
        <v>0</v>
      </c>
      <c r="F300" s="134">
        <f t="shared" si="112"/>
        <v>0</v>
      </c>
      <c r="G300" s="181">
        <v>0</v>
      </c>
      <c r="H300" s="134">
        <f t="shared" si="113"/>
        <v>0</v>
      </c>
      <c r="I300" s="134">
        <f t="shared" si="114"/>
        <v>0</v>
      </c>
      <c r="J300" s="6">
        <f t="shared" si="115"/>
        <v>-1050000000</v>
      </c>
      <c r="K300" s="10"/>
    </row>
    <row r="301" spans="1:11" s="84" customFormat="1" ht="25.5" x14ac:dyDescent="0.2">
      <c r="A301" s="49" t="s">
        <v>152</v>
      </c>
      <c r="B301" s="133" t="s">
        <v>153</v>
      </c>
      <c r="C301" s="256">
        <v>420000000</v>
      </c>
      <c r="D301" s="134">
        <f>C301/C298*100</f>
        <v>27.84313622540785</v>
      </c>
      <c r="E301" s="134">
        <f t="shared" si="111"/>
        <v>0</v>
      </c>
      <c r="F301" s="134">
        <f t="shared" si="112"/>
        <v>0</v>
      </c>
      <c r="G301" s="181">
        <v>0</v>
      </c>
      <c r="H301" s="134">
        <f t="shared" si="113"/>
        <v>0</v>
      </c>
      <c r="I301" s="134">
        <f t="shared" si="114"/>
        <v>0</v>
      </c>
      <c r="J301" s="6">
        <f t="shared" si="115"/>
        <v>-420000000</v>
      </c>
      <c r="K301" s="38"/>
    </row>
    <row r="302" spans="1:11" s="84" customFormat="1" x14ac:dyDescent="0.2">
      <c r="A302" s="749" t="s">
        <v>234</v>
      </c>
      <c r="B302" s="133" t="s">
        <v>522</v>
      </c>
      <c r="C302" s="256">
        <v>7550760</v>
      </c>
      <c r="D302" s="804"/>
      <c r="E302" s="134"/>
      <c r="F302" s="134"/>
      <c r="G302" s="181"/>
      <c r="H302" s="134"/>
      <c r="I302" s="134"/>
      <c r="J302" s="6">
        <f t="shared" si="115"/>
        <v>-7550760</v>
      </c>
      <c r="K302" s="805"/>
    </row>
    <row r="303" spans="1:11" x14ac:dyDescent="0.25">
      <c r="A303" s="70"/>
      <c r="B303" s="129" t="s">
        <v>95</v>
      </c>
      <c r="C303" s="807">
        <f>SUM(C299:C302)</f>
        <v>1508450760</v>
      </c>
      <c r="D303" s="271">
        <f>SUM(D299:D301)</f>
        <v>99.499436096939618</v>
      </c>
      <c r="E303" s="134"/>
      <c r="F303" s="134"/>
      <c r="G303" s="181">
        <v>0</v>
      </c>
      <c r="H303" s="134"/>
      <c r="I303" s="134"/>
      <c r="J303" s="56">
        <v>0</v>
      </c>
      <c r="K303" s="130"/>
    </row>
    <row r="304" spans="1:11" x14ac:dyDescent="0.25">
      <c r="A304" s="190"/>
      <c r="B304" s="2"/>
      <c r="C304" s="59"/>
      <c r="D304" s="41"/>
      <c r="E304" s="31"/>
      <c r="F304" s="31"/>
      <c r="G304" s="36"/>
      <c r="H304" s="31"/>
      <c r="I304" s="31"/>
      <c r="J304" s="33"/>
      <c r="K304" s="37"/>
    </row>
    <row r="305" spans="1:15" x14ac:dyDescent="0.25">
      <c r="A305" s="50"/>
      <c r="B305" s="5"/>
      <c r="C305" s="50"/>
      <c r="D305" s="9"/>
      <c r="E305" s="23"/>
      <c r="F305" s="23"/>
      <c r="G305" s="11"/>
      <c r="H305" s="23"/>
      <c r="I305" s="23"/>
      <c r="J305" s="9"/>
      <c r="K305" s="9"/>
    </row>
    <row r="306" spans="1:15" x14ac:dyDescent="0.25">
      <c r="A306" s="1123" t="s">
        <v>2</v>
      </c>
      <c r="B306" s="1126" t="s">
        <v>138</v>
      </c>
      <c r="C306" s="1129" t="s">
        <v>4</v>
      </c>
      <c r="D306" s="1121" t="s">
        <v>5</v>
      </c>
      <c r="E306" s="1132"/>
      <c r="F306" s="1132"/>
      <c r="G306" s="1122" t="s">
        <v>6</v>
      </c>
      <c r="H306" s="1132"/>
      <c r="I306" s="1132"/>
      <c r="J306" s="1123" t="s">
        <v>7</v>
      </c>
      <c r="K306" s="1123" t="s">
        <v>8</v>
      </c>
    </row>
    <row r="307" spans="1:15" x14ac:dyDescent="0.25">
      <c r="A307" s="1124"/>
      <c r="B307" s="1127"/>
      <c r="C307" s="1130"/>
      <c r="D307" s="289" t="s">
        <v>9</v>
      </c>
      <c r="E307" s="308" t="s">
        <v>10</v>
      </c>
      <c r="F307" s="308" t="s">
        <v>11</v>
      </c>
      <c r="G307" s="117" t="s">
        <v>12</v>
      </c>
      <c r="H307" s="116" t="s">
        <v>13</v>
      </c>
      <c r="I307" s="116" t="s">
        <v>11</v>
      </c>
      <c r="J307" s="1124"/>
      <c r="K307" s="1124"/>
    </row>
    <row r="308" spans="1:15" x14ac:dyDescent="0.25">
      <c r="A308" s="1125"/>
      <c r="B308" s="1128"/>
      <c r="C308" s="1131"/>
      <c r="D308" s="115" t="s">
        <v>14</v>
      </c>
      <c r="E308" s="119" t="s">
        <v>14</v>
      </c>
      <c r="F308" s="119" t="s">
        <v>14</v>
      </c>
      <c r="G308" s="120" t="s">
        <v>15</v>
      </c>
      <c r="H308" s="119" t="s">
        <v>14</v>
      </c>
      <c r="I308" s="119" t="s">
        <v>14</v>
      </c>
      <c r="J308" s="118" t="s">
        <v>15</v>
      </c>
      <c r="K308" s="1125"/>
    </row>
    <row r="309" spans="1:15" ht="25.5" x14ac:dyDescent="0.25">
      <c r="A309" s="79" t="s">
        <v>180</v>
      </c>
      <c r="B309" s="696" t="s">
        <v>379</v>
      </c>
      <c r="C309" s="127"/>
      <c r="D309" s="121"/>
      <c r="E309" s="34"/>
      <c r="F309" s="34"/>
      <c r="G309" s="6"/>
      <c r="H309" s="34"/>
      <c r="I309" s="34"/>
      <c r="J309" s="10"/>
      <c r="K309" s="85"/>
    </row>
    <row r="310" spans="1:15" ht="25.5" x14ac:dyDescent="0.25">
      <c r="A310" s="125" t="s">
        <v>181</v>
      </c>
      <c r="B310" s="697" t="s">
        <v>380</v>
      </c>
      <c r="C310" s="88">
        <f>SUM(C311:C328)</f>
        <v>185000000</v>
      </c>
      <c r="D310" s="121"/>
      <c r="E310" s="34"/>
      <c r="F310" s="34"/>
      <c r="G310" s="6"/>
      <c r="H310" s="34"/>
      <c r="I310" s="34"/>
      <c r="J310" s="10"/>
      <c r="K310" s="156"/>
    </row>
    <row r="311" spans="1:15" ht="25.5" x14ac:dyDescent="0.25">
      <c r="A311" s="49" t="s">
        <v>44</v>
      </c>
      <c r="B311" s="707" t="s">
        <v>384</v>
      </c>
      <c r="C311" s="39">
        <v>8730000</v>
      </c>
      <c r="D311" s="727">
        <f>C311/C310*100</f>
        <v>4.7189189189189191</v>
      </c>
      <c r="E311" s="134">
        <f t="shared" ref="E311:E319" si="116">G311/C311*100</f>
        <v>0</v>
      </c>
      <c r="F311" s="134">
        <f t="shared" ref="F311:F319" si="117">(D311*E311)/100</f>
        <v>0</v>
      </c>
      <c r="G311" s="181">
        <v>0</v>
      </c>
      <c r="H311" s="134">
        <f t="shared" ref="H311:H319" si="118">G311/C311*100</f>
        <v>0</v>
      </c>
      <c r="I311" s="134">
        <f t="shared" ref="I311:I319" si="119">(D311*H311)/100</f>
        <v>0</v>
      </c>
      <c r="J311" s="6">
        <f t="shared" ref="J311:J328" si="120">G311-C311</f>
        <v>-8730000</v>
      </c>
      <c r="K311" s="10"/>
      <c r="O311" s="717"/>
    </row>
    <row r="312" spans="1:15" x14ac:dyDescent="0.25">
      <c r="A312" s="49" t="s">
        <v>59</v>
      </c>
      <c r="B312" s="707" t="s">
        <v>197</v>
      </c>
      <c r="C312" s="39">
        <v>13887500</v>
      </c>
      <c r="D312" s="727">
        <f>C312/C310*100</f>
        <v>7.5067567567567561</v>
      </c>
      <c r="E312" s="134">
        <f t="shared" si="116"/>
        <v>0</v>
      </c>
      <c r="F312" s="134">
        <f t="shared" si="117"/>
        <v>0</v>
      </c>
      <c r="G312" s="181">
        <v>0</v>
      </c>
      <c r="H312" s="134">
        <f t="shared" si="118"/>
        <v>0</v>
      </c>
      <c r="I312" s="134">
        <f t="shared" si="119"/>
        <v>0</v>
      </c>
      <c r="J312" s="6">
        <f t="shared" si="120"/>
        <v>-13887500</v>
      </c>
      <c r="K312" s="10"/>
    </row>
    <row r="313" spans="1:15" x14ac:dyDescent="0.25">
      <c r="A313" s="49" t="s">
        <v>62</v>
      </c>
      <c r="B313" s="707" t="s">
        <v>414</v>
      </c>
      <c r="C313" s="39">
        <v>7970500</v>
      </c>
      <c r="D313" s="727"/>
      <c r="E313" s="134"/>
      <c r="F313" s="134"/>
      <c r="G313" s="181">
        <v>0</v>
      </c>
      <c r="H313" s="134"/>
      <c r="I313" s="134"/>
      <c r="J313" s="6">
        <f t="shared" si="120"/>
        <v>-7970500</v>
      </c>
      <c r="K313" s="10"/>
    </row>
    <row r="314" spans="1:15" x14ac:dyDescent="0.25">
      <c r="A314" s="49" t="s">
        <v>54</v>
      </c>
      <c r="B314" s="707" t="s">
        <v>536</v>
      </c>
      <c r="C314" s="39">
        <v>800000</v>
      </c>
      <c r="D314" s="727"/>
      <c r="E314" s="134"/>
      <c r="F314" s="134"/>
      <c r="G314" s="181"/>
      <c r="H314" s="134"/>
      <c r="I314" s="134"/>
      <c r="J314" s="6">
        <f t="shared" si="120"/>
        <v>-800000</v>
      </c>
      <c r="K314" s="10"/>
    </row>
    <row r="315" spans="1:15" ht="25.5" x14ac:dyDescent="0.25">
      <c r="A315" s="49" t="s">
        <v>193</v>
      </c>
      <c r="B315" s="707" t="s">
        <v>537</v>
      </c>
      <c r="C315" s="39">
        <v>8750000</v>
      </c>
      <c r="D315" s="727"/>
      <c r="E315" s="134"/>
      <c r="F315" s="134"/>
      <c r="G315" s="181"/>
      <c r="H315" s="134"/>
      <c r="I315" s="134"/>
      <c r="J315" s="6">
        <f t="shared" si="120"/>
        <v>-8750000</v>
      </c>
      <c r="K315" s="10"/>
    </row>
    <row r="316" spans="1:15" x14ac:dyDescent="0.25">
      <c r="A316" s="49" t="s">
        <v>148</v>
      </c>
      <c r="B316" s="133" t="s">
        <v>534</v>
      </c>
      <c r="C316" s="39">
        <v>10000000</v>
      </c>
      <c r="D316" s="727"/>
      <c r="E316" s="134"/>
      <c r="F316" s="134"/>
      <c r="G316" s="181"/>
      <c r="H316" s="134"/>
      <c r="I316" s="134"/>
      <c r="J316" s="6">
        <f t="shared" si="120"/>
        <v>-10000000</v>
      </c>
      <c r="K316" s="10"/>
    </row>
    <row r="317" spans="1:15" x14ac:dyDescent="0.25">
      <c r="A317" s="49" t="s">
        <v>77</v>
      </c>
      <c r="B317" s="49" t="s">
        <v>139</v>
      </c>
      <c r="C317" s="39">
        <v>82680000</v>
      </c>
      <c r="D317" s="727">
        <f>C317/C310*100</f>
        <v>44.691891891891892</v>
      </c>
      <c r="E317" s="134">
        <f t="shared" si="116"/>
        <v>0</v>
      </c>
      <c r="F317" s="134">
        <f t="shared" si="117"/>
        <v>0</v>
      </c>
      <c r="G317" s="181">
        <v>0</v>
      </c>
      <c r="H317" s="134">
        <f t="shared" si="118"/>
        <v>0</v>
      </c>
      <c r="I317" s="134">
        <f t="shared" si="119"/>
        <v>0</v>
      </c>
      <c r="J317" s="6">
        <f t="shared" si="120"/>
        <v>-82680000</v>
      </c>
      <c r="K317" s="10"/>
    </row>
    <row r="318" spans="1:15" x14ac:dyDescent="0.25">
      <c r="A318" s="49" t="s">
        <v>104</v>
      </c>
      <c r="B318" s="170" t="s">
        <v>418</v>
      </c>
      <c r="C318" s="39">
        <v>7300000</v>
      </c>
      <c r="D318" s="727">
        <f>C318/C310*100</f>
        <v>3.9459459459459461</v>
      </c>
      <c r="E318" s="134">
        <f t="shared" si="116"/>
        <v>0</v>
      </c>
      <c r="F318" s="134">
        <f t="shared" si="117"/>
        <v>0</v>
      </c>
      <c r="G318" s="181">
        <v>0</v>
      </c>
      <c r="H318" s="134">
        <f t="shared" si="118"/>
        <v>0</v>
      </c>
      <c r="I318" s="134">
        <f t="shared" si="119"/>
        <v>0</v>
      </c>
      <c r="J318" s="6">
        <f t="shared" si="120"/>
        <v>-7300000</v>
      </c>
      <c r="K318" s="10"/>
    </row>
    <row r="319" spans="1:15" ht="25.5" x14ac:dyDescent="0.25">
      <c r="A319" s="49" t="s">
        <v>192</v>
      </c>
      <c r="B319" s="316" t="s">
        <v>375</v>
      </c>
      <c r="C319" s="39">
        <v>13050000</v>
      </c>
      <c r="D319" s="727">
        <f>C319/C310*100</f>
        <v>7.0540540540540544</v>
      </c>
      <c r="E319" s="134">
        <f t="shared" si="116"/>
        <v>0</v>
      </c>
      <c r="F319" s="134">
        <f t="shared" si="117"/>
        <v>0</v>
      </c>
      <c r="G319" s="181">
        <v>0</v>
      </c>
      <c r="H319" s="134">
        <f t="shared" si="118"/>
        <v>0</v>
      </c>
      <c r="I319" s="134">
        <f t="shared" si="119"/>
        <v>0</v>
      </c>
      <c r="J319" s="6">
        <f t="shared" si="120"/>
        <v>-13050000</v>
      </c>
      <c r="K319" s="10"/>
    </row>
    <row r="320" spans="1:15" x14ac:dyDescent="0.25">
      <c r="A320" s="749" t="s">
        <v>162</v>
      </c>
      <c r="B320" s="316" t="s">
        <v>538</v>
      </c>
      <c r="C320" s="751">
        <v>2000000</v>
      </c>
      <c r="D320" s="727"/>
      <c r="E320" s="134"/>
      <c r="F320" s="134"/>
      <c r="G320" s="181"/>
      <c r="H320" s="134"/>
      <c r="I320" s="134"/>
      <c r="J320" s="6">
        <f t="shared" si="120"/>
        <v>-2000000</v>
      </c>
      <c r="K320" s="130"/>
    </row>
    <row r="321" spans="1:14" x14ac:dyDescent="0.25">
      <c r="A321" s="749" t="s">
        <v>527</v>
      </c>
      <c r="B321" s="316" t="s">
        <v>523</v>
      </c>
      <c r="C321" s="751">
        <v>1150000</v>
      </c>
      <c r="D321" s="727"/>
      <c r="E321" s="134"/>
      <c r="F321" s="134"/>
      <c r="G321" s="181"/>
      <c r="H321" s="134"/>
      <c r="I321" s="134"/>
      <c r="J321" s="6">
        <f t="shared" si="120"/>
        <v>-1150000</v>
      </c>
      <c r="K321" s="130"/>
    </row>
    <row r="322" spans="1:14" x14ac:dyDescent="0.25">
      <c r="A322" s="749" t="s">
        <v>112</v>
      </c>
      <c r="B322" s="316" t="s">
        <v>525</v>
      </c>
      <c r="C322" s="751">
        <v>800000</v>
      </c>
      <c r="D322" s="727"/>
      <c r="E322" s="134"/>
      <c r="F322" s="134"/>
      <c r="G322" s="181"/>
      <c r="H322" s="134"/>
      <c r="I322" s="134"/>
      <c r="J322" s="6">
        <f t="shared" si="120"/>
        <v>-800000</v>
      </c>
      <c r="K322" s="130"/>
    </row>
    <row r="323" spans="1:14" x14ac:dyDescent="0.25">
      <c r="A323" s="749" t="s">
        <v>521</v>
      </c>
      <c r="B323" s="316" t="s">
        <v>539</v>
      </c>
      <c r="C323" s="751">
        <v>1000000</v>
      </c>
      <c r="D323" s="727"/>
      <c r="E323" s="134"/>
      <c r="F323" s="134"/>
      <c r="G323" s="181"/>
      <c r="H323" s="134"/>
      <c r="I323" s="134"/>
      <c r="J323" s="6">
        <f t="shared" si="120"/>
        <v>-1000000</v>
      </c>
      <c r="K323" s="130"/>
    </row>
    <row r="324" spans="1:14" ht="25.5" x14ac:dyDescent="0.25">
      <c r="A324" s="749" t="s">
        <v>116</v>
      </c>
      <c r="B324" s="316" t="s">
        <v>420</v>
      </c>
      <c r="C324" s="751">
        <v>1382000</v>
      </c>
      <c r="D324" s="727">
        <f>C324/C311*100</f>
        <v>15.830469644902633</v>
      </c>
      <c r="E324" s="134"/>
      <c r="F324" s="134"/>
      <c r="G324" s="181">
        <v>0</v>
      </c>
      <c r="H324" s="134"/>
      <c r="I324" s="134"/>
      <c r="J324" s="6">
        <f t="shared" si="120"/>
        <v>-1382000</v>
      </c>
      <c r="K324" s="130"/>
    </row>
    <row r="325" spans="1:14" x14ac:dyDescent="0.25">
      <c r="A325" s="749" t="s">
        <v>65</v>
      </c>
      <c r="B325" s="754" t="s">
        <v>190</v>
      </c>
      <c r="C325" s="751">
        <v>7000000</v>
      </c>
      <c r="D325" s="727" t="e">
        <f>C325/#REF!*100</f>
        <v>#REF!</v>
      </c>
      <c r="E325" s="134"/>
      <c r="F325" s="134"/>
      <c r="G325" s="181">
        <v>0</v>
      </c>
      <c r="H325" s="134"/>
      <c r="I325" s="134"/>
      <c r="J325" s="6">
        <f t="shared" si="120"/>
        <v>-7000000</v>
      </c>
      <c r="K325" s="130"/>
    </row>
    <row r="326" spans="1:14" x14ac:dyDescent="0.25">
      <c r="A326" s="749" t="s">
        <v>541</v>
      </c>
      <c r="B326" s="754" t="s">
        <v>401</v>
      </c>
      <c r="C326" s="751">
        <v>3900000</v>
      </c>
      <c r="D326" s="727" t="e">
        <f>C326/#REF!*100</f>
        <v>#REF!</v>
      </c>
      <c r="E326" s="134"/>
      <c r="F326" s="134"/>
      <c r="G326" s="181">
        <v>0</v>
      </c>
      <c r="H326" s="134"/>
      <c r="I326" s="134"/>
      <c r="J326" s="6">
        <f t="shared" si="120"/>
        <v>-3900000</v>
      </c>
      <c r="K326" s="130"/>
    </row>
    <row r="327" spans="1:14" x14ac:dyDescent="0.25">
      <c r="A327" s="749" t="s">
        <v>275</v>
      </c>
      <c r="B327" s="754" t="s">
        <v>421</v>
      </c>
      <c r="C327" s="751">
        <v>5000000</v>
      </c>
      <c r="D327" s="727" t="e">
        <f>C327/#REF!*100</f>
        <v>#REF!</v>
      </c>
      <c r="E327" s="134"/>
      <c r="F327" s="134"/>
      <c r="G327" s="181">
        <v>0</v>
      </c>
      <c r="H327" s="134"/>
      <c r="I327" s="134"/>
      <c r="J327" s="6">
        <f t="shared" si="120"/>
        <v>-5000000</v>
      </c>
      <c r="K327" s="130"/>
    </row>
    <row r="328" spans="1:14" x14ac:dyDescent="0.25">
      <c r="A328" s="749" t="s">
        <v>542</v>
      </c>
      <c r="B328" s="316" t="s">
        <v>540</v>
      </c>
      <c r="C328" s="751">
        <v>9600000</v>
      </c>
      <c r="D328" s="752"/>
      <c r="E328" s="134"/>
      <c r="F328" s="134"/>
      <c r="G328" s="181"/>
      <c r="H328" s="134"/>
      <c r="I328" s="134"/>
      <c r="J328" s="6">
        <f t="shared" si="120"/>
        <v>-9600000</v>
      </c>
      <c r="K328" s="130"/>
    </row>
    <row r="329" spans="1:14" x14ac:dyDescent="0.25">
      <c r="A329" s="70"/>
      <c r="B329" s="164" t="s">
        <v>140</v>
      </c>
      <c r="C329" s="165">
        <f>SUM(C311:C328)</f>
        <v>185000000</v>
      </c>
      <c r="D329" s="166">
        <f>SUM(D311:D319)</f>
        <v>67.917567567567559</v>
      </c>
      <c r="E329" s="134"/>
      <c r="F329" s="134"/>
      <c r="G329" s="181">
        <v>0</v>
      </c>
      <c r="H329" s="134"/>
      <c r="I329" s="134"/>
      <c r="J329" s="734"/>
      <c r="K329" s="40"/>
    </row>
    <row r="330" spans="1:14" x14ac:dyDescent="0.25">
      <c r="A330" s="53"/>
      <c r="B330" s="5"/>
      <c r="C330" s="191"/>
      <c r="D330" s="41"/>
      <c r="E330" s="30"/>
      <c r="F330" s="31"/>
      <c r="G330" s="36"/>
      <c r="H330" s="23"/>
      <c r="I330" s="23"/>
      <c r="J330" s="33"/>
      <c r="K330" s="37"/>
    </row>
    <row r="331" spans="1:14" ht="31.5" x14ac:dyDescent="0.25">
      <c r="A331" s="55"/>
      <c r="B331" s="46" t="s">
        <v>145</v>
      </c>
      <c r="C331" s="155"/>
      <c r="D331" s="44"/>
      <c r="E331" s="45"/>
      <c r="F331" s="45"/>
      <c r="G331" s="48"/>
      <c r="H331" s="45"/>
      <c r="I331" s="45"/>
      <c r="J331" s="44"/>
      <c r="K331" s="44"/>
      <c r="L331" s="1"/>
      <c r="M331" s="1"/>
      <c r="N331" s="1"/>
    </row>
    <row r="332" spans="1:14" x14ac:dyDescent="0.25">
      <c r="A332" s="1119" t="s">
        <v>2</v>
      </c>
      <c r="B332" s="1120" t="s">
        <v>177</v>
      </c>
      <c r="C332" s="1119" t="s">
        <v>4</v>
      </c>
      <c r="D332" s="1121" t="s">
        <v>5</v>
      </c>
      <c r="E332" s="1121"/>
      <c r="F332" s="1121"/>
      <c r="G332" s="1122" t="s">
        <v>6</v>
      </c>
      <c r="H332" s="1122"/>
      <c r="I332" s="1122"/>
      <c r="J332" s="1119" t="s">
        <v>7</v>
      </c>
      <c r="K332" s="289" t="s">
        <v>8</v>
      </c>
    </row>
    <row r="333" spans="1:14" x14ac:dyDescent="0.25">
      <c r="A333" s="1119"/>
      <c r="B333" s="1120"/>
      <c r="C333" s="1119"/>
      <c r="D333" s="289" t="s">
        <v>9</v>
      </c>
      <c r="E333" s="308" t="s">
        <v>10</v>
      </c>
      <c r="F333" s="308" t="s">
        <v>11</v>
      </c>
      <c r="G333" s="309" t="s">
        <v>12</v>
      </c>
      <c r="H333" s="308" t="s">
        <v>13</v>
      </c>
      <c r="I333" s="308" t="s">
        <v>11</v>
      </c>
      <c r="J333" s="1123"/>
      <c r="K333" s="115"/>
    </row>
    <row r="334" spans="1:14" x14ac:dyDescent="0.25">
      <c r="A334" s="1119"/>
      <c r="B334" s="1120"/>
      <c r="C334" s="1119"/>
      <c r="D334" s="118" t="s">
        <v>14</v>
      </c>
      <c r="E334" s="119" t="s">
        <v>14</v>
      </c>
      <c r="F334" s="119" t="s">
        <v>14</v>
      </c>
      <c r="G334" s="120" t="s">
        <v>15</v>
      </c>
      <c r="H334" s="119" t="s">
        <v>14</v>
      </c>
      <c r="I334" s="119" t="s">
        <v>14</v>
      </c>
      <c r="J334" s="118" t="s">
        <v>15</v>
      </c>
      <c r="K334" s="118"/>
    </row>
    <row r="335" spans="1:14" x14ac:dyDescent="0.25">
      <c r="A335" s="79" t="s">
        <v>185</v>
      </c>
      <c r="B335" s="199" t="s">
        <v>146</v>
      </c>
      <c r="C335" s="260"/>
      <c r="D335" s="10"/>
      <c r="E335" s="34"/>
      <c r="F335" s="34"/>
      <c r="G335" s="6"/>
      <c r="H335" s="34"/>
      <c r="I335" s="34"/>
      <c r="J335" s="10"/>
      <c r="K335" s="10"/>
    </row>
    <row r="336" spans="1:14" x14ac:dyDescent="0.25">
      <c r="A336" s="125" t="s">
        <v>184</v>
      </c>
      <c r="B336" s="280" t="s">
        <v>147</v>
      </c>
      <c r="C336" s="131">
        <f>SUM(C337:C338)</f>
        <v>3395640000</v>
      </c>
      <c r="D336" s="10"/>
      <c r="E336" s="34"/>
      <c r="F336" s="34"/>
      <c r="G336" s="6"/>
      <c r="H336" s="34"/>
      <c r="I336" s="34"/>
      <c r="J336" s="10"/>
      <c r="K336" s="10"/>
    </row>
    <row r="337" spans="1:11" ht="25.5" x14ac:dyDescent="0.25">
      <c r="A337" s="313" t="s">
        <v>44</v>
      </c>
      <c r="B337" s="707" t="s">
        <v>384</v>
      </c>
      <c r="C337" s="253">
        <v>35640000</v>
      </c>
      <c r="D337" s="134">
        <f>C337/C336*100</f>
        <v>1.0495812276919816</v>
      </c>
      <c r="E337" s="134">
        <f t="shared" ref="E337:E338" si="121">G337/C337*100</f>
        <v>0</v>
      </c>
      <c r="F337" s="134">
        <f t="shared" ref="F337:F338" si="122">(D337*E337)/100</f>
        <v>0</v>
      </c>
      <c r="G337" s="181">
        <v>0</v>
      </c>
      <c r="H337" s="134">
        <f t="shared" ref="H337:H338" si="123">G337/C337*100</f>
        <v>0</v>
      </c>
      <c r="I337" s="134">
        <f t="shared" ref="I337:I338" si="124">(D337*H337)/100</f>
        <v>0</v>
      </c>
      <c r="J337" s="6">
        <f t="shared" ref="J337:J338" si="125">G337-C337</f>
        <v>-35640000</v>
      </c>
      <c r="K337" s="10"/>
    </row>
    <row r="338" spans="1:11" x14ac:dyDescent="0.25">
      <c r="A338" s="49" t="s">
        <v>148</v>
      </c>
      <c r="B338" s="133" t="s">
        <v>534</v>
      </c>
      <c r="C338" s="256">
        <v>3360000000</v>
      </c>
      <c r="D338" s="134">
        <f>C338/C336*100</f>
        <v>98.950418772308012</v>
      </c>
      <c r="E338" s="134">
        <f t="shared" si="121"/>
        <v>0</v>
      </c>
      <c r="F338" s="134">
        <f t="shared" si="122"/>
        <v>0</v>
      </c>
      <c r="G338" s="181">
        <v>0</v>
      </c>
      <c r="H338" s="134">
        <f t="shared" si="123"/>
        <v>0</v>
      </c>
      <c r="I338" s="134">
        <f t="shared" si="124"/>
        <v>0</v>
      </c>
      <c r="J338" s="6">
        <f t="shared" si="125"/>
        <v>-3360000000</v>
      </c>
      <c r="K338" s="10"/>
    </row>
    <row r="339" spans="1:11" x14ac:dyDescent="0.25">
      <c r="A339" s="70"/>
      <c r="B339" s="129" t="s">
        <v>95</v>
      </c>
      <c r="C339" s="807">
        <f>SUM(C337:C338)</f>
        <v>3395640000</v>
      </c>
      <c r="D339" s="271">
        <f>SUM(D337:D338)</f>
        <v>100</v>
      </c>
      <c r="E339" s="134"/>
      <c r="F339" s="134"/>
      <c r="G339" s="181">
        <v>0</v>
      </c>
      <c r="H339" s="134"/>
      <c r="I339" s="134"/>
      <c r="J339" s="734"/>
      <c r="K339" s="130"/>
    </row>
    <row r="340" spans="1:11" x14ac:dyDescent="0.25">
      <c r="A340" s="230"/>
      <c r="B340" s="231"/>
      <c r="C340" s="232"/>
      <c r="D340" s="23"/>
      <c r="E340" s="23"/>
      <c r="F340" s="23"/>
      <c r="G340" s="11"/>
      <c r="H340" s="23"/>
      <c r="I340" s="23"/>
      <c r="J340" s="9"/>
      <c r="K340" s="9"/>
    </row>
    <row r="341" spans="1:11" x14ac:dyDescent="0.25">
      <c r="A341" s="1119" t="s">
        <v>2</v>
      </c>
      <c r="B341" s="1120" t="s">
        <v>177</v>
      </c>
      <c r="C341" s="1119" t="s">
        <v>4</v>
      </c>
      <c r="D341" s="1121" t="s">
        <v>5</v>
      </c>
      <c r="E341" s="1121"/>
      <c r="F341" s="1121"/>
      <c r="G341" s="1122" t="s">
        <v>6</v>
      </c>
      <c r="H341" s="1122"/>
      <c r="I341" s="1122"/>
      <c r="J341" s="1119" t="s">
        <v>7</v>
      </c>
      <c r="K341" s="289" t="s">
        <v>8</v>
      </c>
    </row>
    <row r="342" spans="1:11" x14ac:dyDescent="0.25">
      <c r="A342" s="1119"/>
      <c r="B342" s="1120"/>
      <c r="C342" s="1119"/>
      <c r="D342" s="289" t="s">
        <v>9</v>
      </c>
      <c r="E342" s="308" t="s">
        <v>10</v>
      </c>
      <c r="F342" s="308" t="s">
        <v>11</v>
      </c>
      <c r="G342" s="309" t="s">
        <v>12</v>
      </c>
      <c r="H342" s="308" t="s">
        <v>13</v>
      </c>
      <c r="I342" s="308" t="s">
        <v>11</v>
      </c>
      <c r="J342" s="1123"/>
      <c r="K342" s="115"/>
    </row>
    <row r="343" spans="1:11" x14ac:dyDescent="0.25">
      <c r="A343" s="1119"/>
      <c r="B343" s="1120"/>
      <c r="C343" s="1119"/>
      <c r="D343" s="118" t="s">
        <v>14</v>
      </c>
      <c r="E343" s="119" t="s">
        <v>14</v>
      </c>
      <c r="F343" s="119" t="s">
        <v>14</v>
      </c>
      <c r="G343" s="120" t="s">
        <v>15</v>
      </c>
      <c r="H343" s="119" t="s">
        <v>14</v>
      </c>
      <c r="I343" s="119" t="s">
        <v>14</v>
      </c>
      <c r="J343" s="118" t="s">
        <v>15</v>
      </c>
      <c r="K343" s="118"/>
    </row>
    <row r="344" spans="1:11" x14ac:dyDescent="0.25">
      <c r="A344" s="139" t="s">
        <v>185</v>
      </c>
      <c r="B344" s="199" t="s">
        <v>146</v>
      </c>
      <c r="C344" s="24"/>
      <c r="D344" s="10"/>
      <c r="E344" s="34"/>
      <c r="F344" s="34"/>
      <c r="G344" s="6"/>
      <c r="H344" s="34"/>
      <c r="I344" s="34"/>
      <c r="J344" s="10"/>
      <c r="K344" s="10"/>
    </row>
    <row r="345" spans="1:11" x14ac:dyDescent="0.25">
      <c r="A345" s="140" t="s">
        <v>187</v>
      </c>
      <c r="B345" s="280" t="s">
        <v>150</v>
      </c>
      <c r="C345" s="252">
        <f>SUM(C346:C350)</f>
        <v>2057255328</v>
      </c>
      <c r="D345" s="10"/>
      <c r="E345" s="34"/>
      <c r="F345" s="34"/>
      <c r="G345" s="6"/>
      <c r="H345" s="34"/>
      <c r="I345" s="34"/>
      <c r="J345" s="10"/>
      <c r="K345" s="10"/>
    </row>
    <row r="346" spans="1:11" ht="25.5" x14ac:dyDescent="0.25">
      <c r="A346" s="159" t="s">
        <v>44</v>
      </c>
      <c r="B346" s="707" t="s">
        <v>384</v>
      </c>
      <c r="C346" s="253">
        <v>30210000</v>
      </c>
      <c r="D346" s="134">
        <f>C346/C345*100</f>
        <v>1.4684613809880966</v>
      </c>
      <c r="E346" s="134">
        <f t="shared" ref="E346:E349" si="126">G346/C346*100</f>
        <v>0</v>
      </c>
      <c r="F346" s="134">
        <f t="shared" ref="F346:F349" si="127">(D346*E346)/100</f>
        <v>0</v>
      </c>
      <c r="G346" s="181">
        <v>0</v>
      </c>
      <c r="H346" s="134">
        <f t="shared" ref="H346:H349" si="128">G346/C346*100</f>
        <v>0</v>
      </c>
      <c r="I346" s="134">
        <f t="shared" ref="I346:I349" si="129">(D346*H346)/100</f>
        <v>0</v>
      </c>
      <c r="J346" s="6">
        <f t="shared" ref="J346:J350" si="130">G346-C346</f>
        <v>-30210000</v>
      </c>
      <c r="K346" s="10"/>
    </row>
    <row r="347" spans="1:11" x14ac:dyDescent="0.25">
      <c r="A347" s="313" t="s">
        <v>59</v>
      </c>
      <c r="B347" s="707" t="s">
        <v>197</v>
      </c>
      <c r="C347" s="253">
        <v>690000</v>
      </c>
      <c r="D347" s="134">
        <f>C347/C345*100</f>
        <v>3.3539832932200815E-2</v>
      </c>
      <c r="E347" s="134">
        <f t="shared" si="126"/>
        <v>0</v>
      </c>
      <c r="F347" s="134">
        <f t="shared" si="127"/>
        <v>0</v>
      </c>
      <c r="G347" s="181">
        <v>0</v>
      </c>
      <c r="H347" s="134">
        <f t="shared" si="128"/>
        <v>0</v>
      </c>
      <c r="I347" s="134">
        <f t="shared" si="129"/>
        <v>0</v>
      </c>
      <c r="J347" s="6">
        <f t="shared" si="130"/>
        <v>-690000</v>
      </c>
      <c r="K347" s="10"/>
    </row>
    <row r="348" spans="1:11" x14ac:dyDescent="0.25">
      <c r="A348" s="313" t="s">
        <v>62</v>
      </c>
      <c r="B348" s="133" t="s">
        <v>534</v>
      </c>
      <c r="C348" s="253">
        <v>1440000000</v>
      </c>
      <c r="D348" s="134">
        <f>C348/C345*100</f>
        <v>69.99617307589736</v>
      </c>
      <c r="E348" s="134">
        <f t="shared" si="126"/>
        <v>0</v>
      </c>
      <c r="F348" s="134">
        <f t="shared" si="127"/>
        <v>0</v>
      </c>
      <c r="G348" s="181">
        <v>0</v>
      </c>
      <c r="H348" s="134">
        <f t="shared" si="128"/>
        <v>0</v>
      </c>
      <c r="I348" s="134">
        <f t="shared" si="129"/>
        <v>0</v>
      </c>
      <c r="J348" s="6">
        <f t="shared" si="130"/>
        <v>-1440000000</v>
      </c>
      <c r="K348" s="10"/>
    </row>
    <row r="349" spans="1:11" s="725" customFormat="1" ht="25.5" x14ac:dyDescent="0.2">
      <c r="A349" s="723" t="s">
        <v>152</v>
      </c>
      <c r="B349" s="133" t="s">
        <v>153</v>
      </c>
      <c r="C349" s="724">
        <v>576000000</v>
      </c>
      <c r="D349" s="728">
        <f>C349/C345*100</f>
        <v>27.998469230358946</v>
      </c>
      <c r="E349" s="728">
        <f t="shared" si="126"/>
        <v>0</v>
      </c>
      <c r="F349" s="728">
        <f t="shared" si="127"/>
        <v>0</v>
      </c>
      <c r="G349" s="181">
        <v>0</v>
      </c>
      <c r="H349" s="728">
        <f t="shared" si="128"/>
        <v>0</v>
      </c>
      <c r="I349" s="728">
        <f t="shared" si="129"/>
        <v>0</v>
      </c>
      <c r="J349" s="6">
        <f t="shared" si="130"/>
        <v>-576000000</v>
      </c>
      <c r="K349" s="313"/>
    </row>
    <row r="350" spans="1:11" s="725" customFormat="1" x14ac:dyDescent="0.2">
      <c r="A350" s="749" t="s">
        <v>234</v>
      </c>
      <c r="B350" s="133" t="s">
        <v>522</v>
      </c>
      <c r="C350" s="724">
        <v>10355328</v>
      </c>
      <c r="D350" s="820"/>
      <c r="E350" s="728"/>
      <c r="F350" s="728"/>
      <c r="G350" s="181"/>
      <c r="H350" s="728"/>
      <c r="I350" s="728"/>
      <c r="J350" s="6">
        <f t="shared" si="130"/>
        <v>-10355328</v>
      </c>
      <c r="K350" s="821"/>
    </row>
    <row r="351" spans="1:11" x14ac:dyDescent="0.25">
      <c r="A351" s="70"/>
      <c r="B351" s="129" t="s">
        <v>95</v>
      </c>
      <c r="C351" s="807">
        <f>SUM(C346:C350)</f>
        <v>2057255328</v>
      </c>
      <c r="D351" s="271">
        <f>SUM(D346:D349)</f>
        <v>99.496643520176605</v>
      </c>
      <c r="E351" s="134"/>
      <c r="F351" s="134"/>
      <c r="G351" s="181">
        <v>0</v>
      </c>
      <c r="H351" s="134"/>
      <c r="I351" s="134"/>
      <c r="J351" s="734"/>
      <c r="K351" s="130"/>
    </row>
    <row r="352" spans="1:11" x14ac:dyDescent="0.25">
      <c r="A352" s="50"/>
      <c r="B352" s="5"/>
      <c r="C352" s="50"/>
      <c r="D352" s="9"/>
      <c r="E352" s="23"/>
      <c r="F352" s="23"/>
      <c r="G352" s="11"/>
      <c r="H352" s="23"/>
      <c r="I352" s="23"/>
      <c r="J352" s="9"/>
      <c r="K352" s="9"/>
    </row>
    <row r="353" spans="1:11" x14ac:dyDescent="0.25">
      <c r="A353" s="50"/>
      <c r="B353" s="5"/>
      <c r="C353" s="50"/>
      <c r="D353" s="9"/>
      <c r="E353" s="23"/>
      <c r="F353" s="23"/>
      <c r="G353" s="11"/>
      <c r="H353" s="23"/>
      <c r="I353" s="23"/>
      <c r="J353" s="9"/>
      <c r="K353" s="9"/>
    </row>
    <row r="354" spans="1:11" x14ac:dyDescent="0.25">
      <c r="A354" s="1139" t="s">
        <v>2</v>
      </c>
      <c r="B354" s="1142" t="s">
        <v>175</v>
      </c>
      <c r="C354" s="290"/>
      <c r="D354" s="1145" t="s">
        <v>5</v>
      </c>
      <c r="E354" s="1146"/>
      <c r="F354" s="1147"/>
      <c r="G354" s="1148" t="s">
        <v>6</v>
      </c>
      <c r="H354" s="1149"/>
      <c r="I354" s="1150"/>
      <c r="J354" s="1138" t="s">
        <v>7</v>
      </c>
      <c r="K354" s="198" t="s">
        <v>8</v>
      </c>
    </row>
    <row r="355" spans="1:11" x14ac:dyDescent="0.25">
      <c r="A355" s="1140"/>
      <c r="B355" s="1143"/>
      <c r="C355" s="777" t="s">
        <v>4</v>
      </c>
      <c r="D355" s="198" t="s">
        <v>9</v>
      </c>
      <c r="E355" s="310" t="s">
        <v>10</v>
      </c>
      <c r="F355" s="310" t="s">
        <v>11</v>
      </c>
      <c r="G355" s="194" t="s">
        <v>12</v>
      </c>
      <c r="H355" s="193" t="s">
        <v>13</v>
      </c>
      <c r="I355" s="193" t="s">
        <v>11</v>
      </c>
      <c r="J355" s="1151"/>
      <c r="K355" s="192"/>
    </row>
    <row r="356" spans="1:11" x14ac:dyDescent="0.25">
      <c r="A356" s="1141"/>
      <c r="B356" s="1144"/>
      <c r="C356" s="229"/>
      <c r="D356" s="197" t="s">
        <v>14</v>
      </c>
      <c r="E356" s="195" t="s">
        <v>14</v>
      </c>
      <c r="F356" s="195" t="s">
        <v>14</v>
      </c>
      <c r="G356" s="196" t="s">
        <v>15</v>
      </c>
      <c r="H356" s="195" t="s">
        <v>14</v>
      </c>
      <c r="I356" s="195" t="s">
        <v>14</v>
      </c>
      <c r="J356" s="197" t="s">
        <v>15</v>
      </c>
      <c r="K356" s="197"/>
    </row>
    <row r="357" spans="1:11" ht="25.5" x14ac:dyDescent="0.25">
      <c r="A357" s="321" t="s">
        <v>180</v>
      </c>
      <c r="B357" s="696" t="s">
        <v>379</v>
      </c>
      <c r="C357" s="291"/>
      <c r="D357" s="121"/>
      <c r="E357" s="122"/>
      <c r="F357" s="122"/>
      <c r="G357" s="123"/>
      <c r="H357" s="122"/>
      <c r="I357" s="122"/>
      <c r="J357" s="121"/>
      <c r="K357" s="121"/>
    </row>
    <row r="358" spans="1:11" ht="25.5" x14ac:dyDescent="0.25">
      <c r="A358" s="160" t="s">
        <v>181</v>
      </c>
      <c r="B358" s="697" t="s">
        <v>380</v>
      </c>
      <c r="C358" s="261">
        <f>SUM(C359:C374)</f>
        <v>185000000</v>
      </c>
      <c r="D358" s="161"/>
      <c r="E358" s="161"/>
      <c r="F358" s="161"/>
      <c r="G358" s="82"/>
      <c r="H358" s="161"/>
      <c r="I358" s="161"/>
      <c r="J358" s="162"/>
      <c r="K358" s="162"/>
    </row>
    <row r="359" spans="1:11" ht="25.5" x14ac:dyDescent="0.25">
      <c r="A359" s="314" t="s">
        <v>44</v>
      </c>
      <c r="B359" s="707" t="s">
        <v>384</v>
      </c>
      <c r="C359" s="262">
        <v>8580000</v>
      </c>
      <c r="D359" s="134">
        <f>C359/C358*100</f>
        <v>4.6378378378378375</v>
      </c>
      <c r="E359" s="134">
        <f t="shared" ref="E359:E367" si="131">G359/C359*100</f>
        <v>0</v>
      </c>
      <c r="F359" s="134">
        <f t="shared" ref="F359:F367" si="132">(D359*E359)/100</f>
        <v>0</v>
      </c>
      <c r="G359" s="181">
        <v>0</v>
      </c>
      <c r="H359" s="134">
        <f t="shared" ref="H359:H367" si="133">G359/C359*100</f>
        <v>0</v>
      </c>
      <c r="I359" s="134">
        <f t="shared" ref="I359:I367" si="134">(D359*H359)/100</f>
        <v>0</v>
      </c>
      <c r="J359" s="6">
        <f t="shared" ref="J359:J374" si="135">G359-C359</f>
        <v>-8580000</v>
      </c>
      <c r="K359" s="10"/>
    </row>
    <row r="360" spans="1:11" x14ac:dyDescent="0.25">
      <c r="A360" s="314" t="s">
        <v>59</v>
      </c>
      <c r="B360" s="707" t="s">
        <v>197</v>
      </c>
      <c r="C360" s="262">
        <v>12218350</v>
      </c>
      <c r="D360" s="134">
        <f>C360/C358*100</f>
        <v>6.6045135135135133</v>
      </c>
      <c r="E360" s="134">
        <f t="shared" si="131"/>
        <v>0</v>
      </c>
      <c r="F360" s="134">
        <f t="shared" si="132"/>
        <v>0</v>
      </c>
      <c r="G360" s="181">
        <v>0</v>
      </c>
      <c r="H360" s="134">
        <f t="shared" si="133"/>
        <v>0</v>
      </c>
      <c r="I360" s="134">
        <f t="shared" si="134"/>
        <v>0</v>
      </c>
      <c r="J360" s="6">
        <f t="shared" si="135"/>
        <v>-12218350</v>
      </c>
      <c r="K360" s="10"/>
    </row>
    <row r="361" spans="1:11" x14ac:dyDescent="0.25">
      <c r="A361" s="314" t="s">
        <v>62</v>
      </c>
      <c r="B361" s="707" t="s">
        <v>334</v>
      </c>
      <c r="C361" s="262">
        <v>9787450</v>
      </c>
      <c r="D361" s="134">
        <f>C361/C358*100</f>
        <v>5.2905135135135142</v>
      </c>
      <c r="E361" s="134">
        <f t="shared" si="131"/>
        <v>0</v>
      </c>
      <c r="F361" s="134">
        <f t="shared" si="132"/>
        <v>0</v>
      </c>
      <c r="G361" s="181">
        <v>0</v>
      </c>
      <c r="H361" s="134">
        <f t="shared" si="133"/>
        <v>0</v>
      </c>
      <c r="I361" s="134">
        <f t="shared" si="134"/>
        <v>0</v>
      </c>
      <c r="J361" s="6">
        <f t="shared" si="135"/>
        <v>-9787450</v>
      </c>
      <c r="K361" s="10"/>
    </row>
    <row r="362" spans="1:11" x14ac:dyDescent="0.25">
      <c r="A362" s="314" t="s">
        <v>148</v>
      </c>
      <c r="B362" s="133" t="s">
        <v>534</v>
      </c>
      <c r="C362" s="262">
        <v>8000000</v>
      </c>
      <c r="D362" s="134"/>
      <c r="E362" s="134"/>
      <c r="F362" s="134"/>
      <c r="G362" s="181"/>
      <c r="H362" s="134"/>
      <c r="I362" s="134"/>
      <c r="J362" s="6">
        <f t="shared" si="135"/>
        <v>-8000000</v>
      </c>
      <c r="K362" s="10"/>
    </row>
    <row r="363" spans="1:11" x14ac:dyDescent="0.25">
      <c r="A363" s="314" t="s">
        <v>194</v>
      </c>
      <c r="B363" s="49" t="s">
        <v>139</v>
      </c>
      <c r="C363" s="263">
        <v>42400000</v>
      </c>
      <c r="D363" s="134">
        <f>C363/C358*100</f>
        <v>22.918918918918919</v>
      </c>
      <c r="E363" s="134">
        <f t="shared" si="131"/>
        <v>0</v>
      </c>
      <c r="F363" s="134">
        <f t="shared" si="132"/>
        <v>0</v>
      </c>
      <c r="G363" s="181">
        <v>0</v>
      </c>
      <c r="H363" s="134">
        <f t="shared" si="133"/>
        <v>0</v>
      </c>
      <c r="I363" s="134">
        <f t="shared" si="134"/>
        <v>0</v>
      </c>
      <c r="J363" s="6">
        <f t="shared" si="135"/>
        <v>-42400000</v>
      </c>
      <c r="K363" s="10"/>
    </row>
    <row r="364" spans="1:11" x14ac:dyDescent="0.25">
      <c r="A364" s="314" t="s">
        <v>183</v>
      </c>
      <c r="B364" s="49" t="s">
        <v>417</v>
      </c>
      <c r="C364" s="263">
        <v>4500000</v>
      </c>
      <c r="D364" s="134"/>
      <c r="E364" s="134">
        <f t="shared" si="131"/>
        <v>0</v>
      </c>
      <c r="F364" s="134"/>
      <c r="G364" s="181">
        <v>0</v>
      </c>
      <c r="H364" s="134">
        <f t="shared" si="133"/>
        <v>0</v>
      </c>
      <c r="I364" s="134"/>
      <c r="J364" s="6">
        <f t="shared" si="135"/>
        <v>-4500000</v>
      </c>
      <c r="K364" s="10"/>
    </row>
    <row r="365" spans="1:11" x14ac:dyDescent="0.25">
      <c r="A365" s="322" t="s">
        <v>195</v>
      </c>
      <c r="B365" s="170" t="s">
        <v>179</v>
      </c>
      <c r="C365" s="178">
        <v>24500000</v>
      </c>
      <c r="D365" s="134">
        <f>C365/C358*100</f>
        <v>13.243243243243244</v>
      </c>
      <c r="E365" s="134">
        <f t="shared" si="131"/>
        <v>0</v>
      </c>
      <c r="F365" s="134">
        <f t="shared" si="132"/>
        <v>0</v>
      </c>
      <c r="G365" s="181">
        <v>0</v>
      </c>
      <c r="H365" s="134">
        <f t="shared" si="133"/>
        <v>0</v>
      </c>
      <c r="I365" s="134">
        <f t="shared" si="134"/>
        <v>0</v>
      </c>
      <c r="J365" s="6">
        <f t="shared" si="135"/>
        <v>-24500000</v>
      </c>
      <c r="K365" s="10"/>
    </row>
    <row r="366" spans="1:11" x14ac:dyDescent="0.25">
      <c r="A366" s="322" t="s">
        <v>62</v>
      </c>
      <c r="B366" s="170" t="s">
        <v>418</v>
      </c>
      <c r="C366" s="178">
        <v>7500000</v>
      </c>
      <c r="D366" s="134"/>
      <c r="E366" s="134"/>
      <c r="F366" s="134"/>
      <c r="G366" s="181">
        <v>0</v>
      </c>
      <c r="H366" s="134"/>
      <c r="I366" s="134"/>
      <c r="J366" s="6">
        <f t="shared" si="135"/>
        <v>-7500000</v>
      </c>
      <c r="K366" s="10"/>
    </row>
    <row r="367" spans="1:11" ht="25.5" x14ac:dyDescent="0.25">
      <c r="A367" s="314" t="s">
        <v>106</v>
      </c>
      <c r="B367" s="316" t="s">
        <v>375</v>
      </c>
      <c r="C367" s="263">
        <v>16650000</v>
      </c>
      <c r="D367" s="134">
        <f>C367/C358*100</f>
        <v>9</v>
      </c>
      <c r="E367" s="134">
        <f t="shared" si="131"/>
        <v>0</v>
      </c>
      <c r="F367" s="134">
        <f t="shared" si="132"/>
        <v>0</v>
      </c>
      <c r="G367" s="181">
        <v>0</v>
      </c>
      <c r="H367" s="134">
        <f t="shared" si="133"/>
        <v>0</v>
      </c>
      <c r="I367" s="134">
        <f t="shared" si="134"/>
        <v>0</v>
      </c>
      <c r="J367" s="6">
        <f t="shared" si="135"/>
        <v>-16650000</v>
      </c>
      <c r="K367" s="10"/>
    </row>
    <row r="368" spans="1:11" x14ac:dyDescent="0.25">
      <c r="A368" s="745" t="s">
        <v>162</v>
      </c>
      <c r="B368" s="746" t="s">
        <v>538</v>
      </c>
      <c r="C368" s="263">
        <v>3000000</v>
      </c>
      <c r="D368" s="134"/>
      <c r="E368" s="134"/>
      <c r="F368" s="134"/>
      <c r="G368" s="181"/>
      <c r="H368" s="134"/>
      <c r="I368" s="134"/>
      <c r="J368" s="6">
        <f t="shared" si="135"/>
        <v>-3000000</v>
      </c>
      <c r="K368" s="10"/>
    </row>
    <row r="369" spans="1:14" x14ac:dyDescent="0.25">
      <c r="A369" s="745" t="s">
        <v>521</v>
      </c>
      <c r="B369" s="746" t="s">
        <v>539</v>
      </c>
      <c r="C369" s="263">
        <v>3000000</v>
      </c>
      <c r="D369" s="134"/>
      <c r="E369" s="134"/>
      <c r="F369" s="134"/>
      <c r="G369" s="181"/>
      <c r="H369" s="134"/>
      <c r="I369" s="134"/>
      <c r="J369" s="6">
        <f t="shared" si="135"/>
        <v>-3000000</v>
      </c>
      <c r="K369" s="10"/>
    </row>
    <row r="370" spans="1:14" ht="25.5" x14ac:dyDescent="0.25">
      <c r="A370" s="745" t="s">
        <v>116</v>
      </c>
      <c r="B370" s="316" t="s">
        <v>420</v>
      </c>
      <c r="C370" s="263">
        <v>5464200</v>
      </c>
      <c r="D370" s="134"/>
      <c r="E370" s="134"/>
      <c r="F370" s="134"/>
      <c r="G370" s="181"/>
      <c r="H370" s="134"/>
      <c r="I370" s="134"/>
      <c r="J370" s="6">
        <f t="shared" si="135"/>
        <v>-5464200</v>
      </c>
      <c r="K370" s="10"/>
    </row>
    <row r="371" spans="1:14" x14ac:dyDescent="0.25">
      <c r="A371" s="745" t="s">
        <v>65</v>
      </c>
      <c r="B371" s="754" t="s">
        <v>190</v>
      </c>
      <c r="C371" s="263">
        <v>7000000</v>
      </c>
      <c r="D371" s="134"/>
      <c r="E371" s="134"/>
      <c r="F371" s="134"/>
      <c r="G371" s="181"/>
      <c r="H371" s="134"/>
      <c r="I371" s="134"/>
      <c r="J371" s="6">
        <f t="shared" si="135"/>
        <v>-7000000</v>
      </c>
      <c r="K371" s="10"/>
    </row>
    <row r="372" spans="1:14" x14ac:dyDescent="0.25">
      <c r="A372" s="745" t="s">
        <v>400</v>
      </c>
      <c r="B372" s="754" t="s">
        <v>401</v>
      </c>
      <c r="C372" s="263">
        <v>7000000</v>
      </c>
      <c r="D372" s="134"/>
      <c r="E372" s="134"/>
      <c r="F372" s="134"/>
      <c r="G372" s="181"/>
      <c r="H372" s="134"/>
      <c r="I372" s="134"/>
      <c r="J372" s="6">
        <f t="shared" si="135"/>
        <v>-7000000</v>
      </c>
      <c r="K372" s="10"/>
    </row>
    <row r="373" spans="1:14" x14ac:dyDescent="0.25">
      <c r="A373" s="745" t="s">
        <v>301</v>
      </c>
      <c r="B373" s="746" t="s">
        <v>409</v>
      </c>
      <c r="C373" s="263">
        <v>20400000</v>
      </c>
      <c r="D373" s="134">
        <f>C373/C359*100</f>
        <v>237.76223776223776</v>
      </c>
      <c r="E373" s="134"/>
      <c r="F373" s="134"/>
      <c r="G373" s="181">
        <v>0</v>
      </c>
      <c r="H373" s="134"/>
      <c r="I373" s="134"/>
      <c r="J373" s="6">
        <f t="shared" si="135"/>
        <v>-20400000</v>
      </c>
      <c r="K373" s="10"/>
    </row>
    <row r="374" spans="1:14" x14ac:dyDescent="0.25">
      <c r="A374" s="745" t="s">
        <v>275</v>
      </c>
      <c r="B374" s="316" t="s">
        <v>543</v>
      </c>
      <c r="C374" s="263">
        <v>5000000</v>
      </c>
      <c r="D374" s="134"/>
      <c r="E374" s="134"/>
      <c r="F374" s="134"/>
      <c r="G374" s="181"/>
      <c r="H374" s="134"/>
      <c r="I374" s="134"/>
      <c r="J374" s="6">
        <f t="shared" si="135"/>
        <v>-5000000</v>
      </c>
      <c r="K374" s="10"/>
    </row>
    <row r="375" spans="1:14" x14ac:dyDescent="0.25">
      <c r="A375" s="1152" t="s">
        <v>95</v>
      </c>
      <c r="B375" s="1154"/>
      <c r="C375" s="822">
        <f>SUM(C359:C374)</f>
        <v>185000000</v>
      </c>
      <c r="D375" s="12">
        <f>SUM(D359:D367)</f>
        <v>61.695027027027024</v>
      </c>
      <c r="E375" s="134"/>
      <c r="F375" s="134"/>
      <c r="G375" s="181">
        <v>0</v>
      </c>
      <c r="H375" s="134"/>
      <c r="I375" s="134"/>
      <c r="J375" s="56">
        <v>0</v>
      </c>
      <c r="K375" s="3">
        <v>0</v>
      </c>
    </row>
    <row r="376" spans="1:14" x14ac:dyDescent="0.25">
      <c r="A376" s="5"/>
      <c r="B376" s="5"/>
      <c r="C376" s="5"/>
      <c r="D376" s="29"/>
      <c r="E376" s="30"/>
      <c r="F376" s="31"/>
      <c r="G376" s="36"/>
      <c r="H376" s="32"/>
      <c r="I376" s="31"/>
      <c r="J376" s="36"/>
      <c r="K376" s="37"/>
    </row>
    <row r="377" spans="1:14" ht="31.5" x14ac:dyDescent="0.25">
      <c r="A377" s="55"/>
      <c r="B377" s="46" t="s">
        <v>145</v>
      </c>
      <c r="C377" s="155"/>
      <c r="D377" s="44"/>
      <c r="E377" s="45"/>
      <c r="F377" s="45"/>
      <c r="G377" s="48"/>
      <c r="H377" s="45"/>
      <c r="I377" s="45"/>
      <c r="J377" s="44"/>
      <c r="K377" s="44"/>
      <c r="L377" s="1"/>
      <c r="M377" s="1"/>
      <c r="N377" s="1"/>
    </row>
    <row r="378" spans="1:14" x14ac:dyDescent="0.25">
      <c r="A378" s="1133" t="s">
        <v>2</v>
      </c>
      <c r="B378" s="1134" t="s">
        <v>175</v>
      </c>
      <c r="C378" s="1133" t="s">
        <v>4</v>
      </c>
      <c r="D378" s="1135" t="s">
        <v>5</v>
      </c>
      <c r="E378" s="1136"/>
      <c r="F378" s="1136"/>
      <c r="G378" s="1137" t="s">
        <v>6</v>
      </c>
      <c r="H378" s="1136"/>
      <c r="I378" s="1136"/>
      <c r="J378" s="1133" t="s">
        <v>7</v>
      </c>
      <c r="K378" s="198" t="s">
        <v>8</v>
      </c>
    </row>
    <row r="379" spans="1:14" x14ac:dyDescent="0.25">
      <c r="A379" s="1133"/>
      <c r="B379" s="1134"/>
      <c r="C379" s="1133"/>
      <c r="D379" s="198" t="s">
        <v>9</v>
      </c>
      <c r="E379" s="310" t="s">
        <v>10</v>
      </c>
      <c r="F379" s="310" t="s">
        <v>11</v>
      </c>
      <c r="G379" s="311" t="s">
        <v>12</v>
      </c>
      <c r="H379" s="310" t="s">
        <v>13</v>
      </c>
      <c r="I379" s="310" t="s">
        <v>11</v>
      </c>
      <c r="J379" s="1138"/>
      <c r="K379" s="192"/>
    </row>
    <row r="380" spans="1:14" x14ac:dyDescent="0.25">
      <c r="A380" s="1133"/>
      <c r="B380" s="1134"/>
      <c r="C380" s="1133"/>
      <c r="D380" s="197" t="s">
        <v>14</v>
      </c>
      <c r="E380" s="195" t="s">
        <v>14</v>
      </c>
      <c r="F380" s="195" t="s">
        <v>14</v>
      </c>
      <c r="G380" s="196" t="s">
        <v>15</v>
      </c>
      <c r="H380" s="195" t="s">
        <v>14</v>
      </c>
      <c r="I380" s="195" t="s">
        <v>14</v>
      </c>
      <c r="J380" s="197" t="s">
        <v>15</v>
      </c>
      <c r="K380" s="197"/>
    </row>
    <row r="381" spans="1:14" x14ac:dyDescent="0.25">
      <c r="A381" s="79" t="s">
        <v>185</v>
      </c>
      <c r="B381" s="199" t="s">
        <v>146</v>
      </c>
      <c r="C381" s="24"/>
      <c r="D381" s="10"/>
      <c r="E381" s="34"/>
      <c r="F381" s="34"/>
      <c r="G381" s="6"/>
      <c r="H381" s="34"/>
      <c r="I381" s="34"/>
      <c r="J381" s="10"/>
      <c r="K381" s="10"/>
    </row>
    <row r="382" spans="1:14" x14ac:dyDescent="0.25">
      <c r="A382" s="125" t="s">
        <v>184</v>
      </c>
      <c r="B382" s="280" t="s">
        <v>147</v>
      </c>
      <c r="C382" s="252">
        <f>SUM(C383:C384)</f>
        <v>1430900000</v>
      </c>
      <c r="D382" s="10"/>
      <c r="E382" s="34"/>
      <c r="F382" s="34"/>
      <c r="G382" s="6"/>
      <c r="H382" s="34"/>
      <c r="I382" s="34"/>
      <c r="J382" s="10"/>
      <c r="K382" s="10"/>
    </row>
    <row r="383" spans="1:14" ht="25.5" x14ac:dyDescent="0.25">
      <c r="A383" s="154" t="s">
        <v>44</v>
      </c>
      <c r="B383" s="707" t="s">
        <v>384</v>
      </c>
      <c r="C383" s="253">
        <v>30900000</v>
      </c>
      <c r="D383" s="134">
        <f>C383/C382*100</f>
        <v>2.1594800475225382</v>
      </c>
      <c r="E383" s="134">
        <f t="shared" ref="E383:E384" si="136">G383/C383*100</f>
        <v>0</v>
      </c>
      <c r="F383" s="134">
        <f t="shared" ref="F383:F384" si="137">(D383*E383)/100</f>
        <v>0</v>
      </c>
      <c r="G383" s="181">
        <v>0</v>
      </c>
      <c r="H383" s="134">
        <f t="shared" ref="H383:H384" si="138">G383/C383*100</f>
        <v>0</v>
      </c>
      <c r="I383" s="134">
        <f t="shared" ref="I383:I384" si="139">(D383*H383)/100</f>
        <v>0</v>
      </c>
      <c r="J383" s="6">
        <f t="shared" ref="J383:J384" si="140">G383-C383</f>
        <v>-30900000</v>
      </c>
      <c r="K383" s="10"/>
    </row>
    <row r="384" spans="1:14" x14ac:dyDescent="0.25">
      <c r="A384" s="124" t="s">
        <v>148</v>
      </c>
      <c r="B384" s="133" t="s">
        <v>534</v>
      </c>
      <c r="C384" s="256">
        <v>1400000000</v>
      </c>
      <c r="D384" s="134">
        <f>C384/C382*100</f>
        <v>97.840519952477464</v>
      </c>
      <c r="E384" s="134">
        <f t="shared" si="136"/>
        <v>0</v>
      </c>
      <c r="F384" s="134">
        <f t="shared" si="137"/>
        <v>0</v>
      </c>
      <c r="G384" s="181">
        <v>0</v>
      </c>
      <c r="H384" s="134">
        <f t="shared" si="138"/>
        <v>0</v>
      </c>
      <c r="I384" s="134">
        <f t="shared" si="139"/>
        <v>0</v>
      </c>
      <c r="J384" s="6">
        <f t="shared" si="140"/>
        <v>-1400000000</v>
      </c>
      <c r="K384" s="10"/>
    </row>
    <row r="385" spans="1:11" x14ac:dyDescent="0.25">
      <c r="A385" s="70"/>
      <c r="B385" s="129" t="s">
        <v>95</v>
      </c>
      <c r="C385" s="807">
        <f>SUM(C383:C384)</f>
        <v>1430900000</v>
      </c>
      <c r="D385" s="271">
        <f>SUM(D383:D384)</f>
        <v>100</v>
      </c>
      <c r="E385" s="134"/>
      <c r="F385" s="134"/>
      <c r="G385" s="181">
        <v>0</v>
      </c>
      <c r="H385" s="134"/>
      <c r="I385" s="134"/>
      <c r="J385" s="56">
        <v>0</v>
      </c>
      <c r="K385" s="130"/>
    </row>
    <row r="386" spans="1:11" x14ac:dyDescent="0.25">
      <c r="A386" s="5"/>
      <c r="B386" s="5"/>
      <c r="C386" s="5"/>
      <c r="D386" s="29"/>
      <c r="E386" s="30"/>
      <c r="F386" s="31"/>
      <c r="G386" s="36"/>
      <c r="H386" s="32"/>
      <c r="I386" s="31"/>
      <c r="J386" s="36"/>
      <c r="K386" s="37"/>
    </row>
    <row r="387" spans="1:11" x14ac:dyDescent="0.25">
      <c r="A387" s="1133" t="s">
        <v>2</v>
      </c>
      <c r="B387" s="1134" t="s">
        <v>175</v>
      </c>
      <c r="C387" s="1133" t="s">
        <v>4</v>
      </c>
      <c r="D387" s="1135" t="s">
        <v>5</v>
      </c>
      <c r="E387" s="1136"/>
      <c r="F387" s="1136"/>
      <c r="G387" s="1137" t="s">
        <v>6</v>
      </c>
      <c r="H387" s="1136"/>
      <c r="I387" s="1136"/>
      <c r="J387" s="1133" t="s">
        <v>7</v>
      </c>
      <c r="K387" s="198" t="s">
        <v>8</v>
      </c>
    </row>
    <row r="388" spans="1:11" x14ac:dyDescent="0.25">
      <c r="A388" s="1133"/>
      <c r="B388" s="1134"/>
      <c r="C388" s="1133"/>
      <c r="D388" s="198" t="s">
        <v>9</v>
      </c>
      <c r="E388" s="310" t="s">
        <v>10</v>
      </c>
      <c r="F388" s="310" t="s">
        <v>11</v>
      </c>
      <c r="G388" s="311" t="s">
        <v>12</v>
      </c>
      <c r="H388" s="310" t="s">
        <v>13</v>
      </c>
      <c r="I388" s="310" t="s">
        <v>11</v>
      </c>
      <c r="J388" s="1138"/>
      <c r="K388" s="192"/>
    </row>
    <row r="389" spans="1:11" x14ac:dyDescent="0.25">
      <c r="A389" s="1133"/>
      <c r="B389" s="1134"/>
      <c r="C389" s="1133"/>
      <c r="D389" s="197" t="s">
        <v>14</v>
      </c>
      <c r="E389" s="195" t="s">
        <v>14</v>
      </c>
      <c r="F389" s="195" t="s">
        <v>14</v>
      </c>
      <c r="G389" s="196" t="s">
        <v>15</v>
      </c>
      <c r="H389" s="195" t="s">
        <v>14</v>
      </c>
      <c r="I389" s="195" t="s">
        <v>14</v>
      </c>
      <c r="J389" s="197" t="s">
        <v>15</v>
      </c>
      <c r="K389" s="197"/>
    </row>
    <row r="390" spans="1:11" x14ac:dyDescent="0.25">
      <c r="A390" s="79" t="s">
        <v>185</v>
      </c>
      <c r="B390" s="199" t="s">
        <v>146</v>
      </c>
      <c r="C390" s="24"/>
      <c r="D390" s="10"/>
      <c r="E390" s="34"/>
      <c r="F390" s="34"/>
      <c r="G390" s="6"/>
      <c r="H390" s="34"/>
      <c r="I390" s="34"/>
      <c r="J390" s="10"/>
      <c r="K390" s="10"/>
    </row>
    <row r="391" spans="1:11" x14ac:dyDescent="0.25">
      <c r="A391" s="125" t="s">
        <v>187</v>
      </c>
      <c r="B391" s="280" t="s">
        <v>156</v>
      </c>
      <c r="C391" s="252">
        <f>SUM(C392:C395)</f>
        <v>870474720</v>
      </c>
      <c r="D391" s="10"/>
      <c r="E391" s="14"/>
      <c r="F391" s="34"/>
      <c r="G391" s="6"/>
      <c r="H391" s="34"/>
      <c r="I391" s="34"/>
      <c r="J391" s="35"/>
      <c r="K391" s="10"/>
    </row>
    <row r="392" spans="1:11" ht="25.5" x14ac:dyDescent="0.25">
      <c r="A392" s="49" t="s">
        <v>59</v>
      </c>
      <c r="B392" s="707" t="s">
        <v>384</v>
      </c>
      <c r="C392" s="256">
        <v>26160000</v>
      </c>
      <c r="D392" s="34">
        <f>C392/C391*100</f>
        <v>3.0052567178516112</v>
      </c>
      <c r="E392" s="134">
        <f t="shared" ref="E392:E394" si="141">G392/C392*100</f>
        <v>0</v>
      </c>
      <c r="F392" s="134">
        <f t="shared" ref="F392:F394" si="142">(D392*E392)/100</f>
        <v>0</v>
      </c>
      <c r="G392" s="181">
        <v>0</v>
      </c>
      <c r="H392" s="134">
        <f t="shared" ref="H392:H394" si="143">G392/C392*100</f>
        <v>0</v>
      </c>
      <c r="I392" s="134">
        <f t="shared" ref="I392:I394" si="144">(D392*H392)/100</f>
        <v>0</v>
      </c>
      <c r="J392" s="6">
        <f t="shared" ref="J392:J395" si="145">G392-C392</f>
        <v>-26160000</v>
      </c>
      <c r="K392" s="10"/>
    </row>
    <row r="393" spans="1:11" x14ac:dyDescent="0.25">
      <c r="A393" s="49" t="s">
        <v>148</v>
      </c>
      <c r="B393" s="133" t="s">
        <v>534</v>
      </c>
      <c r="C393" s="264">
        <v>600000000</v>
      </c>
      <c r="D393" s="134">
        <f>C393/C391*100</f>
        <v>68.927906372743365</v>
      </c>
      <c r="E393" s="134">
        <f t="shared" si="141"/>
        <v>0</v>
      </c>
      <c r="F393" s="134">
        <f t="shared" si="142"/>
        <v>0</v>
      </c>
      <c r="G393" s="181">
        <v>0</v>
      </c>
      <c r="H393" s="134">
        <f t="shared" si="143"/>
        <v>0</v>
      </c>
      <c r="I393" s="134">
        <f t="shared" si="144"/>
        <v>0</v>
      </c>
      <c r="J393" s="6">
        <f t="shared" si="145"/>
        <v>-600000000</v>
      </c>
      <c r="K393" s="3"/>
    </row>
    <row r="394" spans="1:11" s="84" customFormat="1" ht="25.5" x14ac:dyDescent="0.2">
      <c r="A394" s="723" t="s">
        <v>152</v>
      </c>
      <c r="B394" s="133" t="s">
        <v>153</v>
      </c>
      <c r="C394" s="264">
        <v>240000000</v>
      </c>
      <c r="D394" s="134">
        <f>C394/C391*100</f>
        <v>27.571162549097352</v>
      </c>
      <c r="E394" s="134">
        <f t="shared" si="141"/>
        <v>0</v>
      </c>
      <c r="F394" s="134">
        <f t="shared" si="142"/>
        <v>0</v>
      </c>
      <c r="G394" s="181">
        <v>0</v>
      </c>
      <c r="H394" s="134">
        <f t="shared" si="143"/>
        <v>0</v>
      </c>
      <c r="I394" s="134">
        <f t="shared" si="144"/>
        <v>0</v>
      </c>
      <c r="J394" s="6">
        <f t="shared" si="145"/>
        <v>-240000000</v>
      </c>
      <c r="K394" s="85"/>
    </row>
    <row r="395" spans="1:11" s="84" customFormat="1" x14ac:dyDescent="0.2">
      <c r="A395" s="749" t="s">
        <v>234</v>
      </c>
      <c r="B395" s="133" t="s">
        <v>522</v>
      </c>
      <c r="C395" s="264">
        <v>4314720</v>
      </c>
      <c r="D395" s="804"/>
      <c r="E395" s="134"/>
      <c r="F395" s="134"/>
      <c r="G395" s="181"/>
      <c r="H395" s="134"/>
      <c r="I395" s="134"/>
      <c r="J395" s="6">
        <f t="shared" si="145"/>
        <v>-4314720</v>
      </c>
      <c r="K395" s="823"/>
    </row>
    <row r="396" spans="1:11" x14ac:dyDescent="0.25">
      <c r="A396" s="73"/>
      <c r="B396" s="136" t="s">
        <v>154</v>
      </c>
      <c r="C396" s="824">
        <f>SUM(C392:C395)</f>
        <v>870474720</v>
      </c>
      <c r="D396" s="272">
        <f>SUM(D392:D394)</f>
        <v>99.504325639692325</v>
      </c>
      <c r="E396" s="134"/>
      <c r="F396" s="134"/>
      <c r="G396" s="181">
        <v>0</v>
      </c>
      <c r="H396" s="134"/>
      <c r="I396" s="134"/>
      <c r="J396" s="56">
        <v>0</v>
      </c>
      <c r="K396" s="40"/>
    </row>
    <row r="397" spans="1:11" x14ac:dyDescent="0.25">
      <c r="A397" s="50"/>
      <c r="B397" s="5"/>
      <c r="C397" s="50" t="s">
        <v>141</v>
      </c>
      <c r="D397" s="9"/>
      <c r="E397" s="23"/>
      <c r="F397" s="23"/>
      <c r="G397" s="11"/>
      <c r="H397" s="23"/>
      <c r="I397" s="23"/>
      <c r="J397" s="9"/>
      <c r="K397" s="9"/>
    </row>
    <row r="398" spans="1:11" x14ac:dyDescent="0.25">
      <c r="A398" s="50"/>
      <c r="B398" s="5"/>
      <c r="C398" s="50"/>
      <c r="D398" s="9"/>
      <c r="E398" s="23"/>
      <c r="F398" s="23"/>
      <c r="G398" s="11"/>
      <c r="H398" s="23"/>
      <c r="I398" s="23"/>
      <c r="J398" s="9"/>
      <c r="K398" s="9"/>
    </row>
    <row r="399" spans="1:11" x14ac:dyDescent="0.25">
      <c r="A399" s="1123" t="s">
        <v>2</v>
      </c>
      <c r="B399" s="1126" t="s">
        <v>171</v>
      </c>
      <c r="C399" s="1123" t="s">
        <v>4</v>
      </c>
      <c r="D399" s="1155" t="s">
        <v>5</v>
      </c>
      <c r="E399" s="1156"/>
      <c r="F399" s="1157"/>
      <c r="G399" s="1158" t="s">
        <v>6</v>
      </c>
      <c r="H399" s="1159"/>
      <c r="I399" s="1160"/>
      <c r="J399" s="1123" t="s">
        <v>7</v>
      </c>
      <c r="K399" s="289" t="s">
        <v>8</v>
      </c>
    </row>
    <row r="400" spans="1:11" x14ac:dyDescent="0.25">
      <c r="A400" s="1124"/>
      <c r="B400" s="1127"/>
      <c r="C400" s="1124"/>
      <c r="D400" s="289" t="s">
        <v>9</v>
      </c>
      <c r="E400" s="308" t="s">
        <v>10</v>
      </c>
      <c r="F400" s="308" t="s">
        <v>11</v>
      </c>
      <c r="G400" s="309" t="s">
        <v>12</v>
      </c>
      <c r="H400" s="308" t="s">
        <v>13</v>
      </c>
      <c r="I400" s="308" t="s">
        <v>11</v>
      </c>
      <c r="J400" s="1124"/>
      <c r="K400" s="115"/>
    </row>
    <row r="401" spans="1:14" x14ac:dyDescent="0.25">
      <c r="A401" s="1125"/>
      <c r="B401" s="1128"/>
      <c r="C401" s="1125"/>
      <c r="D401" s="118" t="s">
        <v>14</v>
      </c>
      <c r="E401" s="119" t="s">
        <v>14</v>
      </c>
      <c r="F401" s="119" t="s">
        <v>14</v>
      </c>
      <c r="G401" s="120" t="s">
        <v>15</v>
      </c>
      <c r="H401" s="119" t="s">
        <v>14</v>
      </c>
      <c r="I401" s="119" t="s">
        <v>14</v>
      </c>
      <c r="J401" s="118" t="s">
        <v>15</v>
      </c>
      <c r="K401" s="118"/>
    </row>
    <row r="402" spans="1:14" ht="25.5" x14ac:dyDescent="0.25">
      <c r="A402" s="79" t="s">
        <v>180</v>
      </c>
      <c r="B402" s="696" t="s">
        <v>379</v>
      </c>
      <c r="C402" s="128"/>
      <c r="D402" s="10"/>
      <c r="E402" s="34"/>
      <c r="F402" s="34"/>
      <c r="G402" s="6"/>
      <c r="H402" s="34"/>
      <c r="I402" s="34"/>
      <c r="J402" s="10"/>
      <c r="K402" s="10"/>
    </row>
    <row r="403" spans="1:14" ht="25.5" x14ac:dyDescent="0.25">
      <c r="A403" s="158" t="s">
        <v>181</v>
      </c>
      <c r="B403" s="697" t="s">
        <v>380</v>
      </c>
      <c r="C403" s="265">
        <f>SUM(C404:C415)</f>
        <v>185000000</v>
      </c>
      <c r="D403" s="10"/>
      <c r="E403" s="34"/>
      <c r="F403" s="34"/>
      <c r="G403" s="6"/>
      <c r="H403" s="34"/>
      <c r="I403" s="34"/>
      <c r="J403" s="10"/>
      <c r="K403" s="10"/>
    </row>
    <row r="404" spans="1:14" ht="25.5" x14ac:dyDescent="0.25">
      <c r="A404" s="74" t="s">
        <v>44</v>
      </c>
      <c r="B404" s="707" t="s">
        <v>384</v>
      </c>
      <c r="C404" s="266">
        <v>8580000</v>
      </c>
      <c r="D404" s="134">
        <f>C404/C403*100</f>
        <v>4.6378378378378375</v>
      </c>
      <c r="E404" s="134">
        <f t="shared" ref="E404:E412" si="146">G404/C404*100</f>
        <v>0</v>
      </c>
      <c r="F404" s="134">
        <f t="shared" ref="F404:F412" si="147">(D404*E404)/100</f>
        <v>0</v>
      </c>
      <c r="G404" s="181">
        <v>0</v>
      </c>
      <c r="H404" s="134">
        <f t="shared" ref="H404:H412" si="148">G404/C404*100</f>
        <v>0</v>
      </c>
      <c r="I404" s="134">
        <f t="shared" ref="I404:I412" si="149">(D404*H404)/100</f>
        <v>0</v>
      </c>
      <c r="J404" s="6">
        <f t="shared" ref="J404:J415" si="150">G404-C404</f>
        <v>-8580000</v>
      </c>
      <c r="K404" s="10"/>
      <c r="L404" s="1"/>
      <c r="M404" s="1"/>
      <c r="N404" s="25"/>
    </row>
    <row r="405" spans="1:14" x14ac:dyDescent="0.25">
      <c r="A405" s="74" t="s">
        <v>59</v>
      </c>
      <c r="B405" s="707" t="s">
        <v>197</v>
      </c>
      <c r="C405" s="266">
        <v>12180000</v>
      </c>
      <c r="D405" s="134">
        <f>C405/C403*100</f>
        <v>6.583783783783784</v>
      </c>
      <c r="E405" s="134">
        <f t="shared" si="146"/>
        <v>0</v>
      </c>
      <c r="F405" s="134">
        <f t="shared" si="147"/>
        <v>0</v>
      </c>
      <c r="G405" s="181">
        <v>0</v>
      </c>
      <c r="H405" s="134">
        <f t="shared" si="148"/>
        <v>0</v>
      </c>
      <c r="I405" s="134">
        <f t="shared" si="149"/>
        <v>0</v>
      </c>
      <c r="J405" s="6">
        <f t="shared" si="150"/>
        <v>-12180000</v>
      </c>
      <c r="K405" s="10"/>
      <c r="L405" s="1"/>
      <c r="M405" s="1"/>
      <c r="N405" s="1"/>
    </row>
    <row r="406" spans="1:14" x14ac:dyDescent="0.25">
      <c r="A406" s="74" t="s">
        <v>62</v>
      </c>
      <c r="B406" s="707" t="s">
        <v>334</v>
      </c>
      <c r="C406" s="266">
        <v>9590000</v>
      </c>
      <c r="D406" s="134">
        <f>C406/C403*100</f>
        <v>5.1837837837837837</v>
      </c>
      <c r="E406" s="134">
        <f t="shared" si="146"/>
        <v>0</v>
      </c>
      <c r="F406" s="134">
        <f t="shared" si="147"/>
        <v>0</v>
      </c>
      <c r="G406" s="181">
        <v>0</v>
      </c>
      <c r="H406" s="134">
        <f t="shared" si="148"/>
        <v>0</v>
      </c>
      <c r="I406" s="134">
        <f t="shared" si="149"/>
        <v>0</v>
      </c>
      <c r="J406" s="6">
        <f t="shared" si="150"/>
        <v>-9590000</v>
      </c>
      <c r="K406" s="10"/>
      <c r="L406" s="1"/>
      <c r="M406" s="1"/>
      <c r="N406" s="1"/>
    </row>
    <row r="407" spans="1:14" ht="25.5" x14ac:dyDescent="0.25">
      <c r="A407" s="49" t="s">
        <v>193</v>
      </c>
      <c r="B407" s="707" t="s">
        <v>537</v>
      </c>
      <c r="C407" s="266">
        <v>5250000</v>
      </c>
      <c r="D407" s="134"/>
      <c r="E407" s="134"/>
      <c r="F407" s="134"/>
      <c r="G407" s="181"/>
      <c r="H407" s="134"/>
      <c r="I407" s="134"/>
      <c r="J407" s="6">
        <f t="shared" si="150"/>
        <v>-5250000</v>
      </c>
      <c r="K407" s="10"/>
      <c r="L407" s="1"/>
      <c r="M407" s="1"/>
      <c r="N407" s="1"/>
    </row>
    <row r="408" spans="1:14" x14ac:dyDescent="0.25">
      <c r="A408" s="49" t="s">
        <v>148</v>
      </c>
      <c r="B408" s="133" t="s">
        <v>534</v>
      </c>
      <c r="C408" s="266">
        <v>8000000</v>
      </c>
      <c r="D408" s="134"/>
      <c r="E408" s="134"/>
      <c r="F408" s="134"/>
      <c r="G408" s="181"/>
      <c r="H408" s="134"/>
      <c r="I408" s="134"/>
      <c r="J408" s="6">
        <f t="shared" si="150"/>
        <v>-8000000</v>
      </c>
      <c r="K408" s="10"/>
      <c r="L408" s="1"/>
      <c r="M408" s="1"/>
      <c r="N408" s="1"/>
    </row>
    <row r="409" spans="1:14" x14ac:dyDescent="0.25">
      <c r="A409" s="74" t="s">
        <v>77</v>
      </c>
      <c r="B409" s="49" t="s">
        <v>143</v>
      </c>
      <c r="C409" s="266">
        <v>69700000</v>
      </c>
      <c r="D409" s="134">
        <f>C409/C403*100</f>
        <v>37.675675675675677</v>
      </c>
      <c r="E409" s="134">
        <f t="shared" si="146"/>
        <v>0</v>
      </c>
      <c r="F409" s="134">
        <f t="shared" si="147"/>
        <v>0</v>
      </c>
      <c r="G409" s="181">
        <v>0</v>
      </c>
      <c r="H409" s="134">
        <f t="shared" si="148"/>
        <v>0</v>
      </c>
      <c r="I409" s="134">
        <f t="shared" si="149"/>
        <v>0</v>
      </c>
      <c r="J409" s="6">
        <f t="shared" si="150"/>
        <v>-69700000</v>
      </c>
      <c r="K409" s="10"/>
      <c r="L409" s="1"/>
      <c r="M409" s="1"/>
      <c r="N409" s="1"/>
    </row>
    <row r="410" spans="1:14" x14ac:dyDescent="0.25">
      <c r="A410" s="314" t="s">
        <v>183</v>
      </c>
      <c r="B410" s="49" t="s">
        <v>417</v>
      </c>
      <c r="C410" s="266">
        <v>14400000</v>
      </c>
      <c r="D410" s="134"/>
      <c r="E410" s="134"/>
      <c r="F410" s="134"/>
      <c r="G410" s="181"/>
      <c r="H410" s="134"/>
      <c r="I410" s="134"/>
      <c r="J410" s="6">
        <f t="shared" si="150"/>
        <v>-14400000</v>
      </c>
      <c r="K410" s="10"/>
      <c r="L410" s="1"/>
      <c r="M410" s="1"/>
      <c r="N410" s="1"/>
    </row>
    <row r="411" spans="1:14" x14ac:dyDescent="0.25">
      <c r="A411" s="74" t="s">
        <v>186</v>
      </c>
      <c r="B411" s="170" t="s">
        <v>182</v>
      </c>
      <c r="C411" s="266">
        <v>31000000</v>
      </c>
      <c r="D411" s="134">
        <f>C411/C403*100</f>
        <v>16.756756756756758</v>
      </c>
      <c r="E411" s="134">
        <f t="shared" si="146"/>
        <v>0</v>
      </c>
      <c r="F411" s="134">
        <f t="shared" si="147"/>
        <v>0</v>
      </c>
      <c r="G411" s="181">
        <v>0</v>
      </c>
      <c r="H411" s="134">
        <f t="shared" si="148"/>
        <v>0</v>
      </c>
      <c r="I411" s="134">
        <f t="shared" si="149"/>
        <v>0</v>
      </c>
      <c r="J411" s="6">
        <f t="shared" si="150"/>
        <v>-31000000</v>
      </c>
      <c r="K411" s="10"/>
      <c r="L411" s="1"/>
      <c r="M411" s="1"/>
      <c r="N411" s="1"/>
    </row>
    <row r="412" spans="1:14" ht="25.5" x14ac:dyDescent="0.25">
      <c r="A412" s="74" t="s">
        <v>106</v>
      </c>
      <c r="B412" s="316" t="s">
        <v>375</v>
      </c>
      <c r="C412" s="266">
        <v>15300000</v>
      </c>
      <c r="D412" s="134">
        <f>C412/C403*100</f>
        <v>8.2702702702702702</v>
      </c>
      <c r="E412" s="134">
        <f t="shared" si="146"/>
        <v>0</v>
      </c>
      <c r="F412" s="134">
        <f t="shared" si="147"/>
        <v>0</v>
      </c>
      <c r="G412" s="181">
        <v>0</v>
      </c>
      <c r="H412" s="134">
        <f t="shared" si="148"/>
        <v>0</v>
      </c>
      <c r="I412" s="134">
        <f t="shared" si="149"/>
        <v>0</v>
      </c>
      <c r="J412" s="6">
        <f t="shared" si="150"/>
        <v>-15300000</v>
      </c>
      <c r="K412" s="10"/>
      <c r="L412" s="1"/>
      <c r="M412" s="1"/>
      <c r="N412" s="1"/>
    </row>
    <row r="413" spans="1:14" x14ac:dyDescent="0.25">
      <c r="A413" s="755" t="s">
        <v>116</v>
      </c>
      <c r="B413" s="316" t="s">
        <v>538</v>
      </c>
      <c r="C413" s="266">
        <v>2000000</v>
      </c>
      <c r="D413" s="134">
        <f>C413/C404*100</f>
        <v>23.310023310023308</v>
      </c>
      <c r="E413" s="134"/>
      <c r="F413" s="134"/>
      <c r="G413" s="181">
        <v>0</v>
      </c>
      <c r="H413" s="134"/>
      <c r="I413" s="134"/>
      <c r="J413" s="6">
        <f t="shared" si="150"/>
        <v>-2000000</v>
      </c>
      <c r="K413" s="10"/>
      <c r="L413" s="1"/>
      <c r="M413" s="1"/>
      <c r="N413" s="1"/>
    </row>
    <row r="414" spans="1:14" x14ac:dyDescent="0.25">
      <c r="A414" s="755" t="s">
        <v>521</v>
      </c>
      <c r="B414" s="316" t="s">
        <v>539</v>
      </c>
      <c r="C414" s="266">
        <v>2000000</v>
      </c>
      <c r="D414" s="134"/>
      <c r="E414" s="134"/>
      <c r="F414" s="134"/>
      <c r="G414" s="181"/>
      <c r="H414" s="134"/>
      <c r="I414" s="134"/>
      <c r="J414" s="6">
        <f t="shared" si="150"/>
        <v>-2000000</v>
      </c>
      <c r="K414" s="10"/>
      <c r="L414" s="1"/>
      <c r="M414" s="1"/>
      <c r="N414" s="1"/>
    </row>
    <row r="415" spans="1:14" x14ac:dyDescent="0.25">
      <c r="A415" s="755" t="s">
        <v>65</v>
      </c>
      <c r="B415" s="316" t="s">
        <v>190</v>
      </c>
      <c r="C415" s="266">
        <v>7000000</v>
      </c>
      <c r="D415" s="134"/>
      <c r="E415" s="134"/>
      <c r="F415" s="134"/>
      <c r="G415" s="181"/>
      <c r="H415" s="134"/>
      <c r="I415" s="134"/>
      <c r="J415" s="6">
        <f t="shared" si="150"/>
        <v>-7000000</v>
      </c>
      <c r="K415" s="10"/>
      <c r="L415" s="1"/>
      <c r="M415" s="1"/>
      <c r="N415" s="1"/>
    </row>
    <row r="416" spans="1:14" x14ac:dyDescent="0.25">
      <c r="A416" s="1152" t="s">
        <v>128</v>
      </c>
      <c r="B416" s="1154"/>
      <c r="C416" s="57">
        <f>SUM(C404:C415)</f>
        <v>185000000</v>
      </c>
      <c r="D416" s="273">
        <f>SUM(D404:D412)</f>
        <v>79.108108108108112</v>
      </c>
      <c r="E416" s="134"/>
      <c r="F416" s="134"/>
      <c r="G416" s="13">
        <f>SUM(G404:G413)</f>
        <v>0</v>
      </c>
      <c r="H416" s="134"/>
      <c r="I416" s="134"/>
      <c r="J416" s="56">
        <v>0</v>
      </c>
      <c r="K416" s="12"/>
      <c r="L416" s="9"/>
      <c r="M416" s="9"/>
      <c r="N416" s="9"/>
    </row>
    <row r="417" spans="1:14" x14ac:dyDescent="0.25">
      <c r="A417" s="5"/>
      <c r="B417" s="5"/>
      <c r="C417" s="65"/>
      <c r="D417" s="66"/>
      <c r="E417" s="30"/>
      <c r="F417" s="31"/>
      <c r="G417" s="36"/>
      <c r="H417" s="30"/>
      <c r="I417" s="31"/>
      <c r="J417" s="33"/>
      <c r="K417" s="29"/>
      <c r="L417" s="9"/>
      <c r="M417" s="9"/>
      <c r="N417" s="9"/>
    </row>
    <row r="418" spans="1:14" ht="31.5" x14ac:dyDescent="0.25">
      <c r="A418" s="55"/>
      <c r="B418" s="46" t="s">
        <v>145</v>
      </c>
      <c r="C418" s="155"/>
      <c r="D418" s="44"/>
      <c r="E418" s="45"/>
      <c r="F418" s="45"/>
      <c r="G418" s="48"/>
      <c r="H418" s="45"/>
      <c r="I418" s="45"/>
      <c r="J418" s="44"/>
      <c r="K418" s="44"/>
      <c r="L418" s="1"/>
      <c r="M418" s="1"/>
      <c r="N418" s="1"/>
    </row>
    <row r="419" spans="1:14" x14ac:dyDescent="0.25">
      <c r="A419" s="1119" t="s">
        <v>2</v>
      </c>
      <c r="B419" s="1120" t="s">
        <v>171</v>
      </c>
      <c r="C419" s="1119" t="s">
        <v>4</v>
      </c>
      <c r="D419" s="1121" t="s">
        <v>5</v>
      </c>
      <c r="E419" s="1132"/>
      <c r="F419" s="1132"/>
      <c r="G419" s="1122" t="s">
        <v>6</v>
      </c>
      <c r="H419" s="1132"/>
      <c r="I419" s="1132"/>
      <c r="J419" s="1119" t="s">
        <v>7</v>
      </c>
      <c r="K419" s="289" t="s">
        <v>8</v>
      </c>
      <c r="L419" s="1"/>
      <c r="M419" s="1"/>
    </row>
    <row r="420" spans="1:14" x14ac:dyDescent="0.25">
      <c r="A420" s="1119"/>
      <c r="B420" s="1120"/>
      <c r="C420" s="1119"/>
      <c r="D420" s="289" t="s">
        <v>9</v>
      </c>
      <c r="E420" s="308" t="s">
        <v>10</v>
      </c>
      <c r="F420" s="308" t="s">
        <v>11</v>
      </c>
      <c r="G420" s="309" t="s">
        <v>12</v>
      </c>
      <c r="H420" s="308" t="s">
        <v>13</v>
      </c>
      <c r="I420" s="308" t="s">
        <v>11</v>
      </c>
      <c r="J420" s="1123"/>
      <c r="K420" s="115"/>
      <c r="L420" s="1"/>
      <c r="M420" s="1"/>
    </row>
    <row r="421" spans="1:14" x14ac:dyDescent="0.25">
      <c r="A421" s="1119"/>
      <c r="B421" s="1120"/>
      <c r="C421" s="1119"/>
      <c r="D421" s="118" t="s">
        <v>14</v>
      </c>
      <c r="E421" s="119" t="s">
        <v>14</v>
      </c>
      <c r="F421" s="119" t="s">
        <v>14</v>
      </c>
      <c r="G421" s="120" t="s">
        <v>15</v>
      </c>
      <c r="H421" s="119" t="s">
        <v>14</v>
      </c>
      <c r="I421" s="119" t="s">
        <v>14</v>
      </c>
      <c r="J421" s="118" t="s">
        <v>15</v>
      </c>
      <c r="K421" s="118"/>
      <c r="L421" s="1"/>
      <c r="M421" s="1"/>
    </row>
    <row r="422" spans="1:14" x14ac:dyDescent="0.25">
      <c r="A422" s="79" t="s">
        <v>185</v>
      </c>
      <c r="B422" s="199" t="s">
        <v>146</v>
      </c>
      <c r="C422" s="24"/>
      <c r="D422" s="10"/>
      <c r="E422" s="34"/>
      <c r="F422" s="34"/>
      <c r="G422" s="6"/>
      <c r="H422" s="34"/>
      <c r="I422" s="34"/>
      <c r="J422" s="10"/>
      <c r="K422" s="10"/>
      <c r="L422" s="1"/>
      <c r="M422" s="25"/>
    </row>
    <row r="423" spans="1:14" x14ac:dyDescent="0.25">
      <c r="A423" s="125" t="s">
        <v>184</v>
      </c>
      <c r="B423" s="280" t="s">
        <v>147</v>
      </c>
      <c r="C423" s="252">
        <f>SUM(C424:C425)</f>
        <v>5850440000</v>
      </c>
      <c r="D423" s="10"/>
      <c r="E423" s="34"/>
      <c r="F423" s="34"/>
      <c r="G423" s="6"/>
      <c r="H423" s="34"/>
      <c r="I423" s="34"/>
      <c r="J423" s="10"/>
      <c r="K423" s="10"/>
      <c r="L423" s="1"/>
      <c r="M423" s="1"/>
    </row>
    <row r="424" spans="1:14" x14ac:dyDescent="0.25">
      <c r="A424" s="154" t="s">
        <v>413</v>
      </c>
      <c r="B424" s="707" t="s">
        <v>414</v>
      </c>
      <c r="C424" s="253">
        <v>40440000</v>
      </c>
      <c r="D424" s="134" t="e">
        <f>C424/#REF!*100</f>
        <v>#REF!</v>
      </c>
      <c r="E424" s="134"/>
      <c r="F424" s="134"/>
      <c r="G424" s="181">
        <v>0</v>
      </c>
      <c r="H424" s="134"/>
      <c r="I424" s="134"/>
      <c r="J424" s="6">
        <f t="shared" ref="J424:J425" si="151">G424-C424</f>
        <v>-40440000</v>
      </c>
      <c r="K424" s="10"/>
      <c r="L424" s="1"/>
      <c r="M424" s="1"/>
    </row>
    <row r="425" spans="1:14" x14ac:dyDescent="0.25">
      <c r="A425" s="124" t="s">
        <v>148</v>
      </c>
      <c r="B425" s="133" t="s">
        <v>534</v>
      </c>
      <c r="C425" s="256">
        <v>5810000000</v>
      </c>
      <c r="D425" s="134">
        <f>C425/C423*100</f>
        <v>99.308769938671276</v>
      </c>
      <c r="E425" s="134">
        <f t="shared" ref="E425" si="152">G425/C425*100</f>
        <v>0</v>
      </c>
      <c r="F425" s="134">
        <f t="shared" ref="F425" si="153">(D425*E425)/100</f>
        <v>0</v>
      </c>
      <c r="G425" s="181">
        <v>0</v>
      </c>
      <c r="H425" s="134">
        <f t="shared" ref="H425" si="154">G425/C425*100</f>
        <v>0</v>
      </c>
      <c r="I425" s="134">
        <f t="shared" ref="I425" si="155">(D425*H425)/100</f>
        <v>0</v>
      </c>
      <c r="J425" s="6">
        <f t="shared" si="151"/>
        <v>-5810000000</v>
      </c>
      <c r="K425" s="10"/>
      <c r="L425" s="1"/>
      <c r="M425" s="1"/>
    </row>
    <row r="426" spans="1:14" x14ac:dyDescent="0.25">
      <c r="A426" s="72"/>
      <c r="B426" s="136" t="s">
        <v>154</v>
      </c>
      <c r="C426" s="808">
        <f>SUM(C424:C425)</f>
        <v>5850440000</v>
      </c>
      <c r="D426" s="271" t="e">
        <f>SUM(D424:D425)</f>
        <v>#REF!</v>
      </c>
      <c r="E426" s="134"/>
      <c r="F426" s="134"/>
      <c r="G426" s="181">
        <v>0</v>
      </c>
      <c r="H426" s="134"/>
      <c r="I426" s="134"/>
      <c r="J426" s="56">
        <v>0</v>
      </c>
      <c r="K426" s="130"/>
      <c r="L426" s="1"/>
      <c r="M426" s="1"/>
    </row>
    <row r="427" spans="1:14" x14ac:dyDescent="0.25">
      <c r="A427" s="5"/>
      <c r="B427" s="5"/>
      <c r="C427" s="65"/>
      <c r="D427" s="66"/>
      <c r="E427" s="30"/>
      <c r="F427" s="31"/>
      <c r="G427" s="36"/>
      <c r="H427" s="30"/>
      <c r="I427" s="31"/>
      <c r="J427" s="33"/>
      <c r="K427" s="29"/>
      <c r="L427" s="9"/>
      <c r="M427" s="9"/>
      <c r="N427" s="9"/>
    </row>
    <row r="428" spans="1:14" x14ac:dyDescent="0.25">
      <c r="A428" s="1119" t="s">
        <v>2</v>
      </c>
      <c r="B428" s="1120" t="s">
        <v>171</v>
      </c>
      <c r="C428" s="1119" t="s">
        <v>4</v>
      </c>
      <c r="D428" s="1121" t="s">
        <v>5</v>
      </c>
      <c r="E428" s="1132"/>
      <c r="F428" s="1132"/>
      <c r="G428" s="1122" t="s">
        <v>6</v>
      </c>
      <c r="H428" s="1132"/>
      <c r="I428" s="1132"/>
      <c r="J428" s="1119" t="s">
        <v>7</v>
      </c>
      <c r="K428" s="289" t="s">
        <v>8</v>
      </c>
      <c r="L428" s="1"/>
      <c r="M428" s="1"/>
    </row>
    <row r="429" spans="1:14" x14ac:dyDescent="0.25">
      <c r="A429" s="1119"/>
      <c r="B429" s="1120"/>
      <c r="C429" s="1119"/>
      <c r="D429" s="289" t="s">
        <v>9</v>
      </c>
      <c r="E429" s="308" t="s">
        <v>10</v>
      </c>
      <c r="F429" s="308" t="s">
        <v>11</v>
      </c>
      <c r="G429" s="309" t="s">
        <v>12</v>
      </c>
      <c r="H429" s="308" t="s">
        <v>13</v>
      </c>
      <c r="I429" s="308" t="s">
        <v>11</v>
      </c>
      <c r="J429" s="1123"/>
      <c r="K429" s="115"/>
      <c r="L429" s="1"/>
      <c r="M429" s="1"/>
    </row>
    <row r="430" spans="1:14" x14ac:dyDescent="0.25">
      <c r="A430" s="1119"/>
      <c r="B430" s="1120"/>
      <c r="C430" s="1119"/>
      <c r="D430" s="118" t="s">
        <v>14</v>
      </c>
      <c r="E430" s="119" t="s">
        <v>14</v>
      </c>
      <c r="F430" s="119" t="s">
        <v>14</v>
      </c>
      <c r="G430" s="120" t="s">
        <v>15</v>
      </c>
      <c r="H430" s="119" t="s">
        <v>14</v>
      </c>
      <c r="I430" s="119" t="s">
        <v>14</v>
      </c>
      <c r="J430" s="118" t="s">
        <v>15</v>
      </c>
      <c r="K430" s="118"/>
      <c r="L430" s="1"/>
      <c r="M430" s="1"/>
    </row>
    <row r="431" spans="1:14" x14ac:dyDescent="0.25">
      <c r="A431" s="79" t="s">
        <v>185</v>
      </c>
      <c r="B431" s="199" t="s">
        <v>146</v>
      </c>
      <c r="C431" s="24"/>
      <c r="D431" s="10"/>
      <c r="E431" s="34"/>
      <c r="F431" s="34"/>
      <c r="G431" s="6"/>
      <c r="H431" s="34"/>
      <c r="I431" s="34"/>
      <c r="J431" s="10"/>
      <c r="K431" s="10"/>
      <c r="L431" s="1"/>
      <c r="M431" s="1"/>
    </row>
    <row r="432" spans="1:14" x14ac:dyDescent="0.25">
      <c r="A432" s="125" t="s">
        <v>187</v>
      </c>
      <c r="B432" s="280" t="s">
        <v>164</v>
      </c>
      <c r="C432" s="252">
        <f>SUM(C433:C437)</f>
        <v>3539546088</v>
      </c>
      <c r="D432" s="10"/>
      <c r="E432" s="34"/>
      <c r="F432" s="34"/>
      <c r="G432" s="6"/>
      <c r="H432" s="34"/>
      <c r="I432" s="34"/>
      <c r="J432" s="10"/>
      <c r="K432" s="10"/>
      <c r="L432" s="1"/>
      <c r="M432" s="1"/>
    </row>
    <row r="433" spans="1:14" ht="25.5" x14ac:dyDescent="0.25">
      <c r="A433" s="154" t="s">
        <v>44</v>
      </c>
      <c r="B433" s="707" t="s">
        <v>384</v>
      </c>
      <c r="C433" s="253">
        <v>35255000</v>
      </c>
      <c r="D433" s="134">
        <f>C433/C432*100</f>
        <v>0.99603166969696488</v>
      </c>
      <c r="E433" s="134">
        <f t="shared" ref="E433:E436" si="156">G433/C433*100</f>
        <v>0</v>
      </c>
      <c r="F433" s="134">
        <f t="shared" ref="F433:F436" si="157">(D433*E433)/100</f>
        <v>0</v>
      </c>
      <c r="G433" s="181">
        <v>0</v>
      </c>
      <c r="H433" s="134">
        <f t="shared" ref="H433:H436" si="158">G433/C433*100</f>
        <v>0</v>
      </c>
      <c r="I433" s="134">
        <f t="shared" ref="I433:I436" si="159">(D433*H433)/100</f>
        <v>0</v>
      </c>
      <c r="J433" s="6">
        <f t="shared" ref="J433:J437" si="160">G433-C433</f>
        <v>-35255000</v>
      </c>
      <c r="K433" s="10"/>
      <c r="L433" s="1"/>
      <c r="M433" s="1"/>
    </row>
    <row r="434" spans="1:14" x14ac:dyDescent="0.25">
      <c r="A434" s="154" t="s">
        <v>413</v>
      </c>
      <c r="B434" s="707" t="s">
        <v>414</v>
      </c>
      <c r="C434" s="253">
        <v>385000</v>
      </c>
      <c r="D434" s="134"/>
      <c r="E434" s="134"/>
      <c r="F434" s="134"/>
      <c r="G434" s="181">
        <v>0</v>
      </c>
      <c r="H434" s="134"/>
      <c r="I434" s="134"/>
      <c r="J434" s="6">
        <f t="shared" si="160"/>
        <v>-385000</v>
      </c>
      <c r="K434" s="10"/>
      <c r="L434" s="1"/>
      <c r="M434" s="1"/>
    </row>
    <row r="435" spans="1:14" x14ac:dyDescent="0.25">
      <c r="A435" s="124" t="s">
        <v>148</v>
      </c>
      <c r="B435" s="133" t="s">
        <v>534</v>
      </c>
      <c r="C435" s="256">
        <v>2490000000</v>
      </c>
      <c r="D435" s="134">
        <f>C435/C432*100</f>
        <v>70.348003334149553</v>
      </c>
      <c r="E435" s="134">
        <f t="shared" si="156"/>
        <v>0</v>
      </c>
      <c r="F435" s="134">
        <f t="shared" si="157"/>
        <v>0</v>
      </c>
      <c r="G435" s="181">
        <v>0</v>
      </c>
      <c r="H435" s="134">
        <f t="shared" si="158"/>
        <v>0</v>
      </c>
      <c r="I435" s="134">
        <f t="shared" si="159"/>
        <v>0</v>
      </c>
      <c r="J435" s="6">
        <f t="shared" si="160"/>
        <v>-2490000000</v>
      </c>
      <c r="K435" s="10"/>
    </row>
    <row r="436" spans="1:14" s="84" customFormat="1" ht="25.5" x14ac:dyDescent="0.2">
      <c r="A436" s="124" t="s">
        <v>152</v>
      </c>
      <c r="B436" s="133" t="s">
        <v>166</v>
      </c>
      <c r="C436" s="256">
        <v>996000000</v>
      </c>
      <c r="D436" s="134">
        <f>C436/C432*100</f>
        <v>28.13920133365982</v>
      </c>
      <c r="E436" s="134">
        <f t="shared" si="156"/>
        <v>0</v>
      </c>
      <c r="F436" s="134">
        <f t="shared" si="157"/>
        <v>0</v>
      </c>
      <c r="G436" s="181">
        <v>0</v>
      </c>
      <c r="H436" s="134">
        <f t="shared" si="158"/>
        <v>0</v>
      </c>
      <c r="I436" s="134">
        <f t="shared" si="159"/>
        <v>0</v>
      </c>
      <c r="J436" s="6">
        <f t="shared" si="160"/>
        <v>-996000000</v>
      </c>
      <c r="K436" s="38"/>
    </row>
    <row r="437" spans="1:14" s="84" customFormat="1" x14ac:dyDescent="0.2">
      <c r="A437" s="825" t="s">
        <v>234</v>
      </c>
      <c r="B437" s="133" t="s">
        <v>522</v>
      </c>
      <c r="C437" s="256">
        <v>17906088</v>
      </c>
      <c r="D437" s="804"/>
      <c r="E437" s="134"/>
      <c r="F437" s="134"/>
      <c r="G437" s="181"/>
      <c r="H437" s="134"/>
      <c r="I437" s="134"/>
      <c r="J437" s="6">
        <f t="shared" si="160"/>
        <v>-17906088</v>
      </c>
      <c r="K437" s="805"/>
    </row>
    <row r="438" spans="1:14" x14ac:dyDescent="0.25">
      <c r="A438" s="70"/>
      <c r="B438" s="129" t="s">
        <v>95</v>
      </c>
      <c r="C438" s="807">
        <f>SUM(C433:C437)</f>
        <v>3539546088</v>
      </c>
      <c r="D438" s="271">
        <f>SUM(D433:D436)</f>
        <v>99.483236337506327</v>
      </c>
      <c r="E438" s="134"/>
      <c r="F438" s="134"/>
      <c r="G438" s="181">
        <v>0</v>
      </c>
      <c r="H438" s="134"/>
      <c r="I438" s="134"/>
      <c r="J438" s="780"/>
      <c r="K438" s="130"/>
    </row>
    <row r="439" spans="1:14" x14ac:dyDescent="0.25">
      <c r="J439" s="779"/>
    </row>
    <row r="441" spans="1:14" x14ac:dyDescent="0.25">
      <c r="A441" s="50"/>
      <c r="B441" s="5"/>
      <c r="C441" s="50"/>
      <c r="D441" s="29"/>
      <c r="E441" s="30"/>
      <c r="F441" s="31"/>
      <c r="G441" s="36"/>
      <c r="H441" s="32"/>
      <c r="I441" s="31"/>
      <c r="J441" s="36"/>
      <c r="K441" s="37"/>
    </row>
    <row r="442" spans="1:14" x14ac:dyDescent="0.25">
      <c r="A442" s="1"/>
      <c r="B442" s="16" t="s">
        <v>363</v>
      </c>
      <c r="C442" s="61"/>
      <c r="D442" s="1"/>
      <c r="E442" s="1"/>
      <c r="F442" s="1"/>
      <c r="G442" s="1"/>
      <c r="H442" s="1"/>
      <c r="I442" s="18" t="s">
        <v>544</v>
      </c>
      <c r="J442" s="17"/>
      <c r="K442" s="1"/>
    </row>
    <row r="443" spans="1:14" x14ac:dyDescent="0.25">
      <c r="A443" s="1"/>
      <c r="B443" s="19"/>
      <c r="C443" s="62"/>
      <c r="D443" s="1"/>
      <c r="E443" s="1"/>
      <c r="F443" s="1"/>
      <c r="G443" s="1"/>
      <c r="H443" s="1"/>
      <c r="I443" s="63"/>
      <c r="J443" s="16"/>
      <c r="K443" s="1"/>
    </row>
    <row r="444" spans="1:14" x14ac:dyDescent="0.25">
      <c r="A444" s="1"/>
      <c r="B444" s="19"/>
      <c r="C444" s="62"/>
      <c r="D444" s="1"/>
      <c r="E444" s="1"/>
      <c r="F444" s="1"/>
      <c r="G444" s="1"/>
      <c r="H444" s="1"/>
      <c r="I444" s="63"/>
      <c r="J444" s="16"/>
      <c r="K444" s="1"/>
    </row>
    <row r="445" spans="1:14" x14ac:dyDescent="0.25">
      <c r="A445" s="1"/>
      <c r="B445" s="19"/>
      <c r="C445" s="62"/>
      <c r="D445" s="1"/>
      <c r="E445" s="1"/>
      <c r="F445" s="1"/>
      <c r="G445" s="1"/>
      <c r="H445" s="1"/>
      <c r="I445" s="18"/>
      <c r="J445" s="19"/>
      <c r="K445" s="1"/>
    </row>
    <row r="446" spans="1:14" x14ac:dyDescent="0.25">
      <c r="A446" s="1"/>
      <c r="B446" s="75" t="s">
        <v>440</v>
      </c>
      <c r="C446" s="21"/>
      <c r="D446" s="1"/>
      <c r="E446" s="1"/>
      <c r="F446" s="1"/>
      <c r="G446" s="1"/>
      <c r="H446" s="1"/>
      <c r="I446" s="20"/>
      <c r="J446" s="21"/>
      <c r="K446" s="1"/>
    </row>
    <row r="447" spans="1:14" x14ac:dyDescent="0.25">
      <c r="A447" s="1"/>
      <c r="B447" s="739" t="s">
        <v>441</v>
      </c>
      <c r="C447" s="19"/>
      <c r="D447" s="1"/>
      <c r="E447" s="1"/>
      <c r="F447" s="1"/>
      <c r="G447" s="1"/>
      <c r="H447" s="1"/>
      <c r="I447" s="22"/>
      <c r="J447" s="19"/>
      <c r="K447" s="1"/>
    </row>
    <row r="448" spans="1:14" x14ac:dyDescent="0.25">
      <c r="A448" s="5"/>
      <c r="B448" s="5"/>
      <c r="C448" s="65"/>
      <c r="D448" s="66"/>
      <c r="E448" s="30"/>
      <c r="F448" s="31"/>
      <c r="G448" s="36"/>
      <c r="H448" s="30"/>
      <c r="I448" s="31"/>
      <c r="J448" s="33"/>
      <c r="K448" s="29"/>
      <c r="L448" s="9"/>
      <c r="M448" s="9"/>
      <c r="N448" s="9"/>
    </row>
  </sheetData>
  <mergeCells count="149">
    <mergeCell ref="J419:J420"/>
    <mergeCell ref="A428:A430"/>
    <mergeCell ref="B428:B430"/>
    <mergeCell ref="C428:C430"/>
    <mergeCell ref="D428:F428"/>
    <mergeCell ref="G428:I428"/>
    <mergeCell ref="J428:J429"/>
    <mergeCell ref="A416:B416"/>
    <mergeCell ref="A419:A421"/>
    <mergeCell ref="B419:B421"/>
    <mergeCell ref="C419:C421"/>
    <mergeCell ref="D419:F419"/>
    <mergeCell ref="G419:I419"/>
    <mergeCell ref="A399:A401"/>
    <mergeCell ref="B399:B401"/>
    <mergeCell ref="C399:C401"/>
    <mergeCell ref="D399:F399"/>
    <mergeCell ref="G399:I399"/>
    <mergeCell ref="J399:J400"/>
    <mergeCell ref="A387:A389"/>
    <mergeCell ref="B387:B389"/>
    <mergeCell ref="C387:C389"/>
    <mergeCell ref="D387:F387"/>
    <mergeCell ref="G387:I387"/>
    <mergeCell ref="J387:J388"/>
    <mergeCell ref="A378:A380"/>
    <mergeCell ref="B378:B380"/>
    <mergeCell ref="C378:C380"/>
    <mergeCell ref="D378:F378"/>
    <mergeCell ref="G378:I378"/>
    <mergeCell ref="J378:J379"/>
    <mergeCell ref="A354:A356"/>
    <mergeCell ref="B354:B356"/>
    <mergeCell ref="D354:F354"/>
    <mergeCell ref="G354:I354"/>
    <mergeCell ref="J354:J355"/>
    <mergeCell ref="A375:B375"/>
    <mergeCell ref="A341:A343"/>
    <mergeCell ref="B341:B343"/>
    <mergeCell ref="C341:C343"/>
    <mergeCell ref="D341:F341"/>
    <mergeCell ref="G341:I341"/>
    <mergeCell ref="J341:J342"/>
    <mergeCell ref="K306:K308"/>
    <mergeCell ref="A332:A334"/>
    <mergeCell ref="B332:B334"/>
    <mergeCell ref="C332:C334"/>
    <mergeCell ref="D332:F332"/>
    <mergeCell ref="G332:I332"/>
    <mergeCell ref="J332:J333"/>
    <mergeCell ref="A306:A308"/>
    <mergeCell ref="B306:B308"/>
    <mergeCell ref="C306:C308"/>
    <mergeCell ref="D306:F306"/>
    <mergeCell ref="G306:I306"/>
    <mergeCell ref="J306:J307"/>
    <mergeCell ref="A294:A296"/>
    <mergeCell ref="B294:B296"/>
    <mergeCell ref="C294:C296"/>
    <mergeCell ref="D294:F294"/>
    <mergeCell ref="G294:I294"/>
    <mergeCell ref="J294:J295"/>
    <mergeCell ref="K264:K266"/>
    <mergeCell ref="A285:A287"/>
    <mergeCell ref="B285:B287"/>
    <mergeCell ref="C285:C287"/>
    <mergeCell ref="D285:F285"/>
    <mergeCell ref="G285:I285"/>
    <mergeCell ref="J285:J286"/>
    <mergeCell ref="A264:A266"/>
    <mergeCell ref="B264:B266"/>
    <mergeCell ref="C264:C266"/>
    <mergeCell ref="D264:F264"/>
    <mergeCell ref="G264:I264"/>
    <mergeCell ref="J264:J265"/>
    <mergeCell ref="J241:J242"/>
    <mergeCell ref="A250:A252"/>
    <mergeCell ref="B250:B252"/>
    <mergeCell ref="C250:C252"/>
    <mergeCell ref="D250:F250"/>
    <mergeCell ref="G250:I250"/>
    <mergeCell ref="J250:J251"/>
    <mergeCell ref="A221:A223"/>
    <mergeCell ref="B221:B223"/>
    <mergeCell ref="D221:F221"/>
    <mergeCell ref="G221:I221"/>
    <mergeCell ref="J221:J222"/>
    <mergeCell ref="A241:A243"/>
    <mergeCell ref="B241:B243"/>
    <mergeCell ref="C241:C243"/>
    <mergeCell ref="D241:F241"/>
    <mergeCell ref="G241:I241"/>
    <mergeCell ref="A208:A210"/>
    <mergeCell ref="B208:B210"/>
    <mergeCell ref="C208:C210"/>
    <mergeCell ref="D208:F208"/>
    <mergeCell ref="G208:I208"/>
    <mergeCell ref="J208:J209"/>
    <mergeCell ref="A198:A200"/>
    <mergeCell ref="B198:B200"/>
    <mergeCell ref="C198:C200"/>
    <mergeCell ref="D198:F198"/>
    <mergeCell ref="G198:I198"/>
    <mergeCell ref="J198:J199"/>
    <mergeCell ref="A174:A176"/>
    <mergeCell ref="B174:B176"/>
    <mergeCell ref="C174:C176"/>
    <mergeCell ref="D174:F174"/>
    <mergeCell ref="G174:I174"/>
    <mergeCell ref="J174:J175"/>
    <mergeCell ref="A162:A164"/>
    <mergeCell ref="B162:B164"/>
    <mergeCell ref="C162:C164"/>
    <mergeCell ref="D162:F162"/>
    <mergeCell ref="G162:I162"/>
    <mergeCell ref="J162:J163"/>
    <mergeCell ref="K131:K133"/>
    <mergeCell ref="A149:B149"/>
    <mergeCell ref="A152:A154"/>
    <mergeCell ref="B152:B154"/>
    <mergeCell ref="C152:C154"/>
    <mergeCell ref="D152:F152"/>
    <mergeCell ref="G152:I152"/>
    <mergeCell ref="J152:J153"/>
    <mergeCell ref="A128:C128"/>
    <mergeCell ref="A131:A133"/>
    <mergeCell ref="B131:B133"/>
    <mergeCell ref="D131:F131"/>
    <mergeCell ref="G131:I131"/>
    <mergeCell ref="J131:J132"/>
    <mergeCell ref="A95:C95"/>
    <mergeCell ref="A97:K97"/>
    <mergeCell ref="A98:K98"/>
    <mergeCell ref="A99:K99"/>
    <mergeCell ref="A100:A102"/>
    <mergeCell ref="B100:B102"/>
    <mergeCell ref="C100:C102"/>
    <mergeCell ref="D100:F100"/>
    <mergeCell ref="G100:I100"/>
    <mergeCell ref="J100:J101"/>
    <mergeCell ref="A1:K1"/>
    <mergeCell ref="A2:K2"/>
    <mergeCell ref="A3:K3"/>
    <mergeCell ref="A5:A7"/>
    <mergeCell ref="B5:B7"/>
    <mergeCell ref="C5:C7"/>
    <mergeCell ref="D5:F5"/>
    <mergeCell ref="G5:I5"/>
    <mergeCell ref="J5:J6"/>
  </mergeCells>
  <printOptions horizontalCentered="1"/>
  <pageMargins left="0" right="0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48"/>
  <sheetViews>
    <sheetView workbookViewId="0">
      <selection sqref="A1:K96"/>
    </sheetView>
  </sheetViews>
  <sheetFormatPr defaultRowHeight="15" x14ac:dyDescent="0.25"/>
  <cols>
    <col min="1" max="1" width="14.140625" customWidth="1"/>
    <col min="2" max="2" width="51.140625" customWidth="1"/>
    <col min="3" max="3" width="13.140625" customWidth="1"/>
    <col min="4" max="4" width="6.5703125" customWidth="1"/>
    <col min="5" max="5" width="7.140625" bestFit="1" customWidth="1"/>
    <col min="6" max="6" width="9.28515625" customWidth="1"/>
    <col min="7" max="7" width="13.140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389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810" t="s">
        <v>1</v>
      </c>
      <c r="B4" s="810"/>
      <c r="C4" s="810"/>
      <c r="D4" s="810"/>
      <c r="E4" s="811"/>
      <c r="F4" s="811"/>
      <c r="G4" s="47"/>
      <c r="H4" s="811"/>
      <c r="I4" s="811"/>
      <c r="J4" s="810"/>
      <c r="K4" s="810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C11+C16+C21+C29+C39+C44+C52+C54+C57+C62+C64+C68+C72+C76+C79+C85+C89+C91</f>
        <v>14557351544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ht="25.5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/>
      <c r="H12" s="161"/>
      <c r="I12" s="161"/>
      <c r="J12" s="6">
        <f>G12-C12</f>
        <v>-1150000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0</v>
      </c>
      <c r="F13" s="134">
        <f>(D13*E13)/100</f>
        <v>0</v>
      </c>
      <c r="G13" s="6">
        <v>0</v>
      </c>
      <c r="H13" s="134">
        <f>G13/C13*100</f>
        <v>0</v>
      </c>
      <c r="I13" s="134">
        <f>(D13*H13)/100</f>
        <v>0</v>
      </c>
      <c r="J13" s="6">
        <f t="shared" ref="J13:J15" si="0">G13-C13</f>
        <v>-4430000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v>0</v>
      </c>
      <c r="H14" s="134"/>
      <c r="I14" s="134"/>
      <c r="J14" s="6">
        <f t="shared" si="0"/>
        <v>-4320000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v>0</v>
      </c>
      <c r="H15" s="134"/>
      <c r="I15" s="134"/>
      <c r="J15" s="6">
        <f t="shared" si="0"/>
        <v>-20100000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ht="25.5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v>0</v>
      </c>
      <c r="H18" s="134"/>
      <c r="I18" s="134"/>
      <c r="J18" s="6">
        <f t="shared" si="1"/>
        <v>-4720000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v>0</v>
      </c>
      <c r="H19" s="134"/>
      <c r="I19" s="134"/>
      <c r="J19" s="6">
        <f t="shared" si="1"/>
        <v>-5730000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v>0</v>
      </c>
      <c r="H20" s="134"/>
      <c r="I20" s="134"/>
      <c r="J20" s="6">
        <f t="shared" si="1"/>
        <v>-9380000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v>0</v>
      </c>
      <c r="H22" s="742"/>
      <c r="I22" s="742"/>
      <c r="J22" s="6">
        <f t="shared" ref="J22:J27" si="2">G22-C22</f>
        <v>-2310000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ht="25.5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0</v>
      </c>
      <c r="F24" s="134">
        <f t="shared" ref="F24:F26" si="3">(D24*E24)/100</f>
        <v>0</v>
      </c>
      <c r="G24" s="6">
        <v>0</v>
      </c>
      <c r="H24" s="134">
        <f t="shared" ref="H24:H26" si="4">G24/C24*100</f>
        <v>0</v>
      </c>
      <c r="I24" s="134">
        <f t="shared" ref="I24:I26" si="5">(D24*H24)/100</f>
        <v>0</v>
      </c>
      <c r="J24" s="6">
        <f t="shared" si="2"/>
        <v>-5459000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0</v>
      </c>
      <c r="F25" s="134">
        <f t="shared" si="3"/>
        <v>0</v>
      </c>
      <c r="G25" s="6">
        <v>0</v>
      </c>
      <c r="H25" s="134">
        <f t="shared" si="4"/>
        <v>0</v>
      </c>
      <c r="I25" s="134">
        <f t="shared" si="5"/>
        <v>0</v>
      </c>
      <c r="J25" s="6">
        <f t="shared" si="2"/>
        <v>-9661000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0</v>
      </c>
      <c r="F26" s="134">
        <f t="shared" si="3"/>
        <v>0</v>
      </c>
      <c r="G26" s="6">
        <v>0</v>
      </c>
      <c r="H26" s="134">
        <f t="shared" si="4"/>
        <v>0</v>
      </c>
      <c r="I26" s="134">
        <f t="shared" si="5"/>
        <v>0</v>
      </c>
      <c r="J26" s="6">
        <f t="shared" si="2"/>
        <v>-14400000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v>0</v>
      </c>
      <c r="H27" s="134"/>
      <c r="I27" s="134"/>
      <c r="J27" s="6">
        <f t="shared" si="2"/>
        <v>-18000000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SUM(C30:C38)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5307521700</v>
      </c>
      <c r="D30" s="200">
        <f>C30/C29*100</f>
        <v>45.312528533916776</v>
      </c>
      <c r="E30" s="134">
        <f>G30/C30*100</f>
        <v>12.077011385558725</v>
      </c>
      <c r="F30" s="134">
        <f t="shared" ref="F30:F38" si="6">(D30*E30)/100</f>
        <v>5.4723992301256752</v>
      </c>
      <c r="G30" s="6">
        <f>640990000</f>
        <v>640990000</v>
      </c>
      <c r="H30" s="134">
        <f>G30/C30*100</f>
        <v>12.077011385558725</v>
      </c>
      <c r="I30" s="134">
        <f t="shared" ref="I30:I38" si="7">(D30*H30)/100</f>
        <v>5.4723992301256752</v>
      </c>
      <c r="J30" s="6">
        <f t="shared" ref="J30:J38" si="8">G30-C30</f>
        <v>-4666531700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8" si="9">G31/C31*100</f>
        <v>8.7725652154358507</v>
      </c>
      <c r="F31" s="134">
        <f t="shared" si="6"/>
        <v>0.52788226799393279</v>
      </c>
      <c r="G31" s="6">
        <f>61831610</f>
        <v>61831610</v>
      </c>
      <c r="H31" s="134">
        <f t="shared" ref="H31:H38" si="10">G31/C31*100</f>
        <v>8.7725652154358507</v>
      </c>
      <c r="I31" s="134">
        <f t="shared" si="7"/>
        <v>0.52788226799393279</v>
      </c>
      <c r="J31" s="6">
        <f t="shared" si="8"/>
        <v>-642997690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11.699958567961808</v>
      </c>
      <c r="F32" s="134">
        <f t="shared" si="6"/>
        <v>0.39152596560564662</v>
      </c>
      <c r="G32" s="6">
        <f>45860000</f>
        <v>45860000</v>
      </c>
      <c r="H32" s="134">
        <f t="shared" si="10"/>
        <v>11.699958567961808</v>
      </c>
      <c r="I32" s="134">
        <f t="shared" si="7"/>
        <v>0.39152596560564662</v>
      </c>
      <c r="J32" s="6">
        <f t="shared" si="8"/>
        <v>-346107200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5.7013574660633486</v>
      </c>
      <c r="F33" s="134">
        <f t="shared" si="6"/>
        <v>2.1514292048107925E-2</v>
      </c>
      <c r="G33" s="6">
        <f>2520000</f>
        <v>2520000</v>
      </c>
      <c r="H33" s="134">
        <f t="shared" si="10"/>
        <v>5.7013574660633486</v>
      </c>
      <c r="I33" s="134">
        <f t="shared" si="7"/>
        <v>2.1514292048107925E-2</v>
      </c>
      <c r="J33" s="6">
        <f t="shared" si="8"/>
        <v>-41680000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13.881350245657304</v>
      </c>
      <c r="F34" s="134">
        <f t="shared" si="6"/>
        <v>0.134933883262042</v>
      </c>
      <c r="G34" s="6">
        <f>15805000</f>
        <v>15805000</v>
      </c>
      <c r="H34" s="134">
        <f>G34/C34*100</f>
        <v>13.881350245657304</v>
      </c>
      <c r="I34" s="134">
        <f t="shared" si="7"/>
        <v>0.134933883262042</v>
      </c>
      <c r="J34" s="6">
        <f t="shared" si="8"/>
        <v>-98052800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14.179894179894179</v>
      </c>
      <c r="F35" s="134">
        <f t="shared" si="6"/>
        <v>0.33139795878827427</v>
      </c>
      <c r="G35" s="6">
        <f>38817120</f>
        <v>38817120</v>
      </c>
      <c r="H35" s="134">
        <f t="shared" si="10"/>
        <v>14.179894179894179</v>
      </c>
      <c r="I35" s="134">
        <f t="shared" si="7"/>
        <v>0.33139795878827427</v>
      </c>
      <c r="J35" s="6">
        <f t="shared" si="8"/>
        <v>-234930480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1.0538533333333333</v>
      </c>
      <c r="F36" s="134">
        <f t="shared" si="6"/>
        <v>1.3495778803098435E-3</v>
      </c>
      <c r="G36" s="6">
        <f>158078</f>
        <v>158078</v>
      </c>
      <c r="H36" s="134">
        <f t="shared" si="10"/>
        <v>1.0538533333333333</v>
      </c>
      <c r="I36" s="134">
        <f t="shared" si="7"/>
        <v>1.3495778803098435E-3</v>
      </c>
      <c r="J36" s="6">
        <f t="shared" si="8"/>
        <v>-14841922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1.4098675034867503</v>
      </c>
      <c r="F37" s="134">
        <f t="shared" si="6"/>
        <v>6.9042095155971746E-5</v>
      </c>
      <c r="G37" s="6">
        <f>8087</f>
        <v>8087</v>
      </c>
      <c r="H37" s="134">
        <f>G37/C37*100</f>
        <v>1.4098675034867503</v>
      </c>
      <c r="I37" s="134">
        <f t="shared" si="7"/>
        <v>6.9042095155971746E-5</v>
      </c>
      <c r="J37" s="6">
        <f t="shared" si="8"/>
        <v>-565513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4861446762</v>
      </c>
      <c r="D38" s="200">
        <f>C38/C29*100</f>
        <v>41.504200561109776</v>
      </c>
      <c r="E38" s="134">
        <f t="shared" si="9"/>
        <v>0</v>
      </c>
      <c r="F38" s="134">
        <f t="shared" si="6"/>
        <v>0</v>
      </c>
      <c r="G38" s="6">
        <v>0</v>
      </c>
      <c r="H38" s="134">
        <f t="shared" si="10"/>
        <v>0</v>
      </c>
      <c r="I38" s="134">
        <f t="shared" si="7"/>
        <v>0</v>
      </c>
      <c r="J38" s="6">
        <f t="shared" si="8"/>
        <v>-4861446762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238" t="s">
        <v>498</v>
      </c>
      <c r="B39" s="238" t="s">
        <v>390</v>
      </c>
      <c r="C39" s="239">
        <f>SUM(C40:C43)</f>
        <v>1853928000</v>
      </c>
      <c r="D39" s="241"/>
      <c r="E39" s="242"/>
      <c r="F39" s="242"/>
      <c r="G39" s="791">
        <v>0</v>
      </c>
      <c r="H39" s="242"/>
      <c r="I39" s="242"/>
      <c r="J39" s="791">
        <v>0</v>
      </c>
      <c r="K39" s="237"/>
      <c r="L39" s="4"/>
      <c r="M39" s="4"/>
      <c r="N39" s="4"/>
      <c r="O39" s="4"/>
      <c r="P39" s="4"/>
      <c r="Q39" s="9"/>
      <c r="R39" s="1"/>
    </row>
    <row r="40" spans="1:18" x14ac:dyDescent="0.25">
      <c r="A40" s="49" t="s">
        <v>460</v>
      </c>
      <c r="B40" s="78" t="s">
        <v>47</v>
      </c>
      <c r="C40" s="56">
        <v>1723250000</v>
      </c>
      <c r="D40" s="200">
        <f>C40/C39*100</f>
        <v>92.95129044925153</v>
      </c>
      <c r="E40" s="134">
        <f>G40/C40*100</f>
        <v>14.823734223124911</v>
      </c>
      <c r="F40" s="134">
        <f t="shared" ref="F40:F43" si="11">(D40*E40)/100</f>
        <v>13.778852253161936</v>
      </c>
      <c r="G40" s="6">
        <f>127725000+127725000</f>
        <v>255450000</v>
      </c>
      <c r="H40" s="134">
        <f t="shared" ref="H40:H43" si="12">G40/C40*100</f>
        <v>14.823734223124911</v>
      </c>
      <c r="I40" s="134">
        <f t="shared" ref="I40:I43" si="13">(D40*H40)/100</f>
        <v>13.778852253161936</v>
      </c>
      <c r="J40" s="6">
        <f t="shared" ref="J40:J43" si="14">G40-C40</f>
        <v>-1467800000</v>
      </c>
      <c r="K40" s="163"/>
      <c r="L40" s="4"/>
      <c r="M40" s="4"/>
      <c r="N40" s="4"/>
      <c r="O40" s="4"/>
      <c r="P40" s="4"/>
      <c r="Q40" s="4"/>
      <c r="R40" s="9"/>
    </row>
    <row r="41" spans="1:18" x14ac:dyDescent="0.25">
      <c r="A41" s="49" t="s">
        <v>461</v>
      </c>
      <c r="B41" s="78" t="s">
        <v>51</v>
      </c>
      <c r="C41" s="56">
        <v>122730550</v>
      </c>
      <c r="D41" s="200">
        <f>C41/C39*100</f>
        <v>6.6200278543719069</v>
      </c>
      <c r="E41" s="134">
        <f t="shared" ref="E41:E43" si="15">G41/C41*100</f>
        <v>0</v>
      </c>
      <c r="F41" s="134">
        <f t="shared" si="11"/>
        <v>0</v>
      </c>
      <c r="G41" s="6">
        <v>0</v>
      </c>
      <c r="H41" s="134">
        <f t="shared" si="12"/>
        <v>0</v>
      </c>
      <c r="I41" s="134">
        <f t="shared" si="13"/>
        <v>0</v>
      </c>
      <c r="J41" s="6">
        <f t="shared" si="14"/>
        <v>-122730550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462</v>
      </c>
      <c r="B42" s="78" t="s">
        <v>203</v>
      </c>
      <c r="C42" s="56">
        <v>3532200</v>
      </c>
      <c r="D42" s="200">
        <f>C42/C39*100</f>
        <v>0.19052519838958148</v>
      </c>
      <c r="E42" s="134">
        <f t="shared" si="15"/>
        <v>0</v>
      </c>
      <c r="F42" s="134">
        <f t="shared" si="11"/>
        <v>0</v>
      </c>
      <c r="G42" s="6">
        <v>0</v>
      </c>
      <c r="H42" s="134">
        <f t="shared" si="12"/>
        <v>0</v>
      </c>
      <c r="I42" s="134">
        <f t="shared" si="13"/>
        <v>0</v>
      </c>
      <c r="J42" s="6">
        <f t="shared" si="14"/>
        <v>-3532200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463</v>
      </c>
      <c r="B43" s="78" t="s">
        <v>204</v>
      </c>
      <c r="C43" s="56">
        <v>4415250</v>
      </c>
      <c r="D43" s="200">
        <f>C43/C39*100</f>
        <v>0.23815649798697683</v>
      </c>
      <c r="E43" s="134">
        <f t="shared" si="15"/>
        <v>0</v>
      </c>
      <c r="F43" s="134">
        <f t="shared" si="11"/>
        <v>0</v>
      </c>
      <c r="G43" s="6">
        <v>0</v>
      </c>
      <c r="H43" s="134">
        <f t="shared" si="12"/>
        <v>0</v>
      </c>
      <c r="I43" s="134">
        <f t="shared" si="13"/>
        <v>0</v>
      </c>
      <c r="J43" s="6">
        <f t="shared" si="14"/>
        <v>-4415250</v>
      </c>
      <c r="K43" s="163"/>
      <c r="L43" s="4"/>
      <c r="M43" s="4"/>
      <c r="N43" s="4"/>
      <c r="O43" s="4"/>
      <c r="P43" s="4"/>
      <c r="Q43" s="4"/>
      <c r="R43" s="9"/>
    </row>
    <row r="44" spans="1:18" ht="25.5" x14ac:dyDescent="0.25">
      <c r="A44" s="238" t="s">
        <v>499</v>
      </c>
      <c r="B44" s="706" t="s">
        <v>205</v>
      </c>
      <c r="C44" s="239">
        <f>SUM(C45:C50)</f>
        <v>50000000</v>
      </c>
      <c r="D44" s="241"/>
      <c r="E44" s="242"/>
      <c r="F44" s="242"/>
      <c r="G44" s="791">
        <v>0</v>
      </c>
      <c r="H44" s="242"/>
      <c r="I44" s="242"/>
      <c r="J44" s="791">
        <v>0</v>
      </c>
      <c r="K44" s="237"/>
      <c r="L44" s="4"/>
      <c r="M44" s="4"/>
      <c r="N44" s="4"/>
      <c r="O44" s="4"/>
      <c r="P44" s="4"/>
      <c r="Q44" s="4"/>
      <c r="R44" s="9"/>
    </row>
    <row r="45" spans="1:18" s="783" customFormat="1" ht="16.5" customHeight="1" x14ac:dyDescent="0.25">
      <c r="A45" s="124" t="s">
        <v>450</v>
      </c>
      <c r="B45" s="707" t="s">
        <v>384</v>
      </c>
      <c r="C45" s="743">
        <v>2310000</v>
      </c>
      <c r="D45" s="741"/>
      <c r="E45" s="742"/>
      <c r="F45" s="742"/>
      <c r="G45" s="6">
        <v>0</v>
      </c>
      <c r="H45" s="742"/>
      <c r="I45" s="742"/>
      <c r="J45" s="6">
        <f t="shared" ref="J45:J50" si="16">G45-C45</f>
        <v>-2310000</v>
      </c>
      <c r="K45" s="744"/>
      <c r="L45" s="737"/>
      <c r="M45" s="737"/>
      <c r="N45" s="737"/>
      <c r="O45" s="737"/>
      <c r="P45" s="737"/>
      <c r="Q45" s="737"/>
      <c r="R45" s="782"/>
    </row>
    <row r="46" spans="1:18" s="783" customFormat="1" ht="16.5" customHeight="1" x14ac:dyDescent="0.25">
      <c r="A46" s="124" t="s">
        <v>448</v>
      </c>
      <c r="B46" s="707" t="s">
        <v>445</v>
      </c>
      <c r="C46" s="743">
        <v>170000</v>
      </c>
      <c r="D46" s="741"/>
      <c r="E46" s="742"/>
      <c r="F46" s="742"/>
      <c r="G46" s="6">
        <v>0</v>
      </c>
      <c r="H46" s="742"/>
      <c r="I46" s="742"/>
      <c r="J46" s="6">
        <f t="shared" si="16"/>
        <v>-170000</v>
      </c>
      <c r="K46" s="744"/>
      <c r="L46" s="737"/>
      <c r="M46" s="737"/>
      <c r="N46" s="737"/>
      <c r="O46" s="737"/>
      <c r="P46" s="737"/>
      <c r="Q46" s="737"/>
      <c r="R46" s="782"/>
    </row>
    <row r="47" spans="1:18" ht="25.5" x14ac:dyDescent="0.25">
      <c r="A47" s="49" t="s">
        <v>415</v>
      </c>
      <c r="B47" s="707" t="s">
        <v>197</v>
      </c>
      <c r="C47" s="56">
        <v>8775400</v>
      </c>
      <c r="D47" s="200">
        <f>C47/C44*100</f>
        <v>17.550799999999999</v>
      </c>
      <c r="E47" s="134">
        <f t="shared" ref="E47:E49" si="17">G47/C47*100</f>
        <v>0</v>
      </c>
      <c r="F47" s="134">
        <f t="shared" ref="F47:F49" si="18">(D47*E47)/100</f>
        <v>0</v>
      </c>
      <c r="G47" s="6">
        <v>0</v>
      </c>
      <c r="H47" s="134">
        <f t="shared" ref="H47:H49" si="19">G47/C47*100</f>
        <v>0</v>
      </c>
      <c r="I47" s="134">
        <f t="shared" ref="I47:I49" si="20">(D47*H47)/100</f>
        <v>0</v>
      </c>
      <c r="J47" s="6">
        <f t="shared" si="16"/>
        <v>-8775400</v>
      </c>
      <c r="K47" s="163"/>
      <c r="L47" s="4"/>
      <c r="M47" s="4"/>
      <c r="N47" s="4"/>
      <c r="O47" s="4"/>
      <c r="P47" s="4"/>
      <c r="Q47" s="4"/>
      <c r="R47" s="9"/>
    </row>
    <row r="48" spans="1:18" x14ac:dyDescent="0.25">
      <c r="A48" s="49" t="s">
        <v>413</v>
      </c>
      <c r="B48" s="707" t="s">
        <v>334</v>
      </c>
      <c r="C48" s="56">
        <v>4124600</v>
      </c>
      <c r="D48" s="200">
        <f>C48/C44*100</f>
        <v>8.2492000000000001</v>
      </c>
      <c r="E48" s="134">
        <f t="shared" si="17"/>
        <v>0</v>
      </c>
      <c r="F48" s="134">
        <f t="shared" si="18"/>
        <v>0</v>
      </c>
      <c r="G48" s="6">
        <v>0</v>
      </c>
      <c r="H48" s="134">
        <f t="shared" si="19"/>
        <v>0</v>
      </c>
      <c r="I48" s="134">
        <f t="shared" si="20"/>
        <v>0</v>
      </c>
      <c r="J48" s="6">
        <f t="shared" si="16"/>
        <v>-4124600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391</v>
      </c>
      <c r="B49" s="218" t="s">
        <v>198</v>
      </c>
      <c r="C49" s="56">
        <v>14520000</v>
      </c>
      <c r="D49" s="200">
        <f>C49/C44*100</f>
        <v>29.04</v>
      </c>
      <c r="E49" s="134">
        <f t="shared" si="17"/>
        <v>0</v>
      </c>
      <c r="F49" s="134">
        <f t="shared" si="18"/>
        <v>0</v>
      </c>
      <c r="G49" s="6">
        <v>0</v>
      </c>
      <c r="H49" s="134">
        <f t="shared" si="19"/>
        <v>0</v>
      </c>
      <c r="I49" s="134">
        <f t="shared" si="20"/>
        <v>0</v>
      </c>
      <c r="J49" s="6">
        <f t="shared" si="16"/>
        <v>-14520000</v>
      </c>
      <c r="K49" s="163"/>
      <c r="L49" s="4"/>
      <c r="M49" s="4"/>
      <c r="N49" s="4"/>
      <c r="O49" s="4"/>
      <c r="P49" s="4"/>
      <c r="Q49" s="4"/>
      <c r="R49" s="9"/>
    </row>
    <row r="50" spans="1:18" ht="26.25" thickBot="1" x14ac:dyDescent="0.3">
      <c r="A50" s="784" t="s">
        <v>447</v>
      </c>
      <c r="B50" s="316" t="s">
        <v>107</v>
      </c>
      <c r="C50" s="785">
        <v>20100000</v>
      </c>
      <c r="D50" s="200"/>
      <c r="E50" s="134"/>
      <c r="F50" s="134"/>
      <c r="G50" s="6">
        <v>0</v>
      </c>
      <c r="H50" s="134"/>
      <c r="I50" s="134"/>
      <c r="J50" s="6">
        <f t="shared" si="16"/>
        <v>-20100000</v>
      </c>
      <c r="K50" s="163"/>
      <c r="L50" s="4"/>
      <c r="M50" s="4"/>
      <c r="N50" s="4"/>
      <c r="O50" s="4"/>
      <c r="P50" s="4"/>
      <c r="Q50" s="4"/>
      <c r="R50" s="9"/>
    </row>
    <row r="51" spans="1:18" ht="15.75" thickBot="1" x14ac:dyDescent="0.3">
      <c r="A51" s="220" t="s">
        <v>500</v>
      </c>
      <c r="B51" s="225" t="s">
        <v>52</v>
      </c>
      <c r="C51" s="222"/>
      <c r="D51" s="216"/>
      <c r="E51" s="134"/>
      <c r="F51" s="134"/>
      <c r="G51" s="6">
        <v>0</v>
      </c>
      <c r="H51" s="134"/>
      <c r="I51" s="134"/>
      <c r="J51" s="6">
        <v>0</v>
      </c>
      <c r="K51" s="163"/>
      <c r="L51" s="4"/>
      <c r="M51" s="4"/>
      <c r="N51" s="4"/>
      <c r="O51" s="4"/>
      <c r="P51" s="4"/>
      <c r="Q51" s="4"/>
      <c r="R51" s="9"/>
    </row>
    <row r="52" spans="1:18" ht="26.25" x14ac:dyDescent="0.25">
      <c r="A52" s="233" t="s">
        <v>501</v>
      </c>
      <c r="B52" s="691" t="s">
        <v>382</v>
      </c>
      <c r="C52" s="234">
        <v>13476500</v>
      </c>
      <c r="D52" s="241"/>
      <c r="E52" s="242"/>
      <c r="F52" s="242"/>
      <c r="G52" s="791">
        <v>0</v>
      </c>
      <c r="H52" s="242"/>
      <c r="I52" s="242"/>
      <c r="J52" s="791">
        <v>0</v>
      </c>
      <c r="K52" s="237"/>
      <c r="L52" s="4"/>
      <c r="M52" s="4"/>
      <c r="N52" s="4"/>
      <c r="O52" s="713"/>
      <c r="P52" s="4"/>
      <c r="Q52" s="4"/>
      <c r="R52" s="9"/>
    </row>
    <row r="53" spans="1:18" x14ac:dyDescent="0.25">
      <c r="A53" s="49" t="s">
        <v>464</v>
      </c>
      <c r="B53" s="78" t="s">
        <v>55</v>
      </c>
      <c r="C53" s="56">
        <v>13476500</v>
      </c>
      <c r="D53" s="200">
        <f>C53/C52*100</f>
        <v>100</v>
      </c>
      <c r="E53" s="134">
        <f>G53/C53*100</f>
        <v>0</v>
      </c>
      <c r="F53" s="134">
        <f t="shared" ref="F53:F56" si="21">(D53*E53)/100</f>
        <v>0</v>
      </c>
      <c r="G53" s="6">
        <v>0</v>
      </c>
      <c r="H53" s="134">
        <f>G53/C53*100</f>
        <v>0</v>
      </c>
      <c r="I53" s="134">
        <f>(D53*H53)/100</f>
        <v>0</v>
      </c>
      <c r="J53" s="6">
        <f>G53-C53</f>
        <v>-13476500</v>
      </c>
      <c r="K53" s="163"/>
      <c r="L53" s="4"/>
      <c r="M53" s="4"/>
      <c r="N53" s="4"/>
      <c r="O53" s="4"/>
      <c r="P53" s="4"/>
      <c r="Q53" s="4"/>
      <c r="R53" s="9"/>
    </row>
    <row r="54" spans="1:18" x14ac:dyDescent="0.25">
      <c r="A54" s="238" t="s">
        <v>502</v>
      </c>
      <c r="B54" s="238" t="s">
        <v>58</v>
      </c>
      <c r="C54" s="239">
        <f>SUM(C55:C56)</f>
        <v>6708000</v>
      </c>
      <c r="D54" s="241"/>
      <c r="E54" s="242"/>
      <c r="F54" s="242"/>
      <c r="G54" s="791">
        <v>0</v>
      </c>
      <c r="H54" s="242"/>
      <c r="I54" s="242"/>
      <c r="J54" s="791">
        <v>0</v>
      </c>
      <c r="K54" s="237"/>
      <c r="L54" s="4"/>
      <c r="M54" s="4"/>
      <c r="N54" s="4"/>
      <c r="O54" s="4"/>
      <c r="P54" s="4"/>
      <c r="Q54" s="4"/>
      <c r="R54" s="9"/>
    </row>
    <row r="55" spans="1:18" x14ac:dyDescent="0.25">
      <c r="A55" s="49" t="s">
        <v>448</v>
      </c>
      <c r="B55" s="707" t="s">
        <v>445</v>
      </c>
      <c r="C55" s="56">
        <v>170000</v>
      </c>
      <c r="D55" s="200">
        <f>C55/C54*100</f>
        <v>2.5342874180083479</v>
      </c>
      <c r="E55" s="134">
        <f t="shared" ref="E55:E56" si="22">G55/C55*100</f>
        <v>0</v>
      </c>
      <c r="F55" s="134">
        <f t="shared" si="21"/>
        <v>0</v>
      </c>
      <c r="G55" s="6">
        <v>0</v>
      </c>
      <c r="H55" s="134">
        <f t="shared" ref="H55:H57" si="23">G55/C55*100</f>
        <v>0</v>
      </c>
      <c r="I55" s="134">
        <f t="shared" ref="I55:I56" si="24">(D55*H55)/100</f>
        <v>0</v>
      </c>
      <c r="J55" s="6">
        <f t="shared" ref="J55:J56" si="25">G55-C55</f>
        <v>-170000</v>
      </c>
      <c r="K55" s="163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465</v>
      </c>
      <c r="B56" s="707" t="s">
        <v>466</v>
      </c>
      <c r="C56" s="56">
        <v>6538000</v>
      </c>
      <c r="D56" s="200">
        <f>C56/C54*100</f>
        <v>97.465712581991653</v>
      </c>
      <c r="E56" s="134">
        <f t="shared" si="22"/>
        <v>0</v>
      </c>
      <c r="F56" s="134">
        <f t="shared" si="21"/>
        <v>0</v>
      </c>
      <c r="G56" s="6">
        <v>0</v>
      </c>
      <c r="H56" s="134">
        <f t="shared" si="23"/>
        <v>0</v>
      </c>
      <c r="I56" s="134">
        <f t="shared" si="24"/>
        <v>0</v>
      </c>
      <c r="J56" s="6">
        <f t="shared" si="25"/>
        <v>-6538000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238" t="s">
        <v>503</v>
      </c>
      <c r="B57" s="238" t="s">
        <v>61</v>
      </c>
      <c r="C57" s="239">
        <f>SUM(C58:C61)</f>
        <v>62599600</v>
      </c>
      <c r="D57" s="241"/>
      <c r="E57" s="242"/>
      <c r="F57" s="242"/>
      <c r="G57" s="791">
        <v>0</v>
      </c>
      <c r="H57" s="242">
        <f t="shared" si="23"/>
        <v>0</v>
      </c>
      <c r="I57" s="242"/>
      <c r="J57" s="791">
        <v>0</v>
      </c>
      <c r="K57" s="237"/>
      <c r="L57" s="4"/>
      <c r="M57" s="4"/>
      <c r="N57" s="4"/>
      <c r="O57" s="4"/>
      <c r="P57" s="4"/>
      <c r="Q57" s="4"/>
      <c r="R57" s="9"/>
    </row>
    <row r="58" spans="1:18" ht="22.5" customHeight="1" x14ac:dyDescent="0.25">
      <c r="A58" s="49" t="s">
        <v>450</v>
      </c>
      <c r="B58" s="707" t="s">
        <v>384</v>
      </c>
      <c r="C58" s="56">
        <v>3090000</v>
      </c>
      <c r="D58" s="200">
        <f>C58/C57*100</f>
        <v>4.9361337772126337</v>
      </c>
      <c r="E58" s="134">
        <f>G58/C58*100</f>
        <v>0</v>
      </c>
      <c r="F58" s="134">
        <f t="shared" ref="F58:F70" si="26">(D58*E58)/100</f>
        <v>0</v>
      </c>
      <c r="G58" s="6">
        <v>0</v>
      </c>
      <c r="H58" s="134">
        <f>G58/C58*100</f>
        <v>0</v>
      </c>
      <c r="I58" s="134">
        <f>(D58*H58)/100</f>
        <v>0</v>
      </c>
      <c r="J58" s="6">
        <f t="shared" ref="J58:J61" si="27">G58-C58</f>
        <v>-3090000</v>
      </c>
      <c r="K58" s="163"/>
      <c r="L58" s="4"/>
      <c r="M58" s="4"/>
      <c r="N58" s="4"/>
      <c r="O58" s="4"/>
      <c r="P58" s="4"/>
      <c r="Q58" s="4"/>
      <c r="R58" s="9"/>
    </row>
    <row r="59" spans="1:18" x14ac:dyDescent="0.25">
      <c r="A59" s="49" t="s">
        <v>448</v>
      </c>
      <c r="B59" s="707" t="s">
        <v>445</v>
      </c>
      <c r="C59" s="56">
        <v>170000</v>
      </c>
      <c r="D59" s="200"/>
      <c r="E59" s="134"/>
      <c r="F59" s="134"/>
      <c r="G59" s="6">
        <v>0</v>
      </c>
      <c r="H59" s="134"/>
      <c r="I59" s="134"/>
      <c r="J59" s="6">
        <f t="shared" si="27"/>
        <v>-170000</v>
      </c>
      <c r="K59" s="163"/>
      <c r="L59" s="4"/>
      <c r="M59" s="4"/>
      <c r="N59" s="4"/>
      <c r="O59" s="4"/>
      <c r="P59" s="4"/>
      <c r="Q59" s="4"/>
      <c r="R59" s="9"/>
    </row>
    <row r="60" spans="1:18" ht="25.5" x14ac:dyDescent="0.25">
      <c r="A60" s="49" t="s">
        <v>415</v>
      </c>
      <c r="B60" s="707" t="s">
        <v>197</v>
      </c>
      <c r="C60" s="56">
        <v>7993000</v>
      </c>
      <c r="D60" s="200"/>
      <c r="E60" s="134"/>
      <c r="F60" s="134"/>
      <c r="G60" s="6">
        <v>0</v>
      </c>
      <c r="H60" s="134"/>
      <c r="I60" s="134"/>
      <c r="J60" s="6">
        <f t="shared" si="27"/>
        <v>-7993000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413</v>
      </c>
      <c r="B61" s="707" t="s">
        <v>334</v>
      </c>
      <c r="C61" s="56">
        <v>51346600</v>
      </c>
      <c r="D61" s="200"/>
      <c r="E61" s="134"/>
      <c r="F61" s="134"/>
      <c r="G61" s="6">
        <f>3000000</f>
        <v>3000000</v>
      </c>
      <c r="H61" s="134"/>
      <c r="I61" s="134"/>
      <c r="J61" s="6">
        <f t="shared" si="27"/>
        <v>-48346600</v>
      </c>
      <c r="K61" s="163"/>
      <c r="L61" s="4"/>
      <c r="M61" s="4"/>
      <c r="N61" s="4"/>
      <c r="O61" s="4"/>
      <c r="P61" s="4"/>
      <c r="Q61" s="4"/>
      <c r="R61" s="9"/>
    </row>
    <row r="62" spans="1:18" s="796" customFormat="1" ht="25.5" x14ac:dyDescent="0.25">
      <c r="A62" s="799" t="s">
        <v>468</v>
      </c>
      <c r="B62" s="736" t="s">
        <v>467</v>
      </c>
      <c r="C62" s="800">
        <v>3000000</v>
      </c>
      <c r="D62" s="789"/>
      <c r="E62" s="790"/>
      <c r="F62" s="790"/>
      <c r="G62" s="791">
        <v>0</v>
      </c>
      <c r="H62" s="790"/>
      <c r="I62" s="790"/>
      <c r="J62" s="791">
        <v>0</v>
      </c>
      <c r="K62" s="793"/>
      <c r="L62" s="794"/>
      <c r="M62" s="794"/>
      <c r="N62" s="794"/>
      <c r="O62" s="794"/>
      <c r="P62" s="794"/>
      <c r="Q62" s="794"/>
      <c r="R62" s="795"/>
    </row>
    <row r="63" spans="1:18" x14ac:dyDescent="0.25">
      <c r="A63" s="49" t="s">
        <v>413</v>
      </c>
      <c r="B63" s="707" t="s">
        <v>334</v>
      </c>
      <c r="C63" s="56">
        <v>3000000</v>
      </c>
      <c r="D63" s="200"/>
      <c r="E63" s="134"/>
      <c r="F63" s="134"/>
      <c r="G63" s="6">
        <v>0</v>
      </c>
      <c r="H63" s="134"/>
      <c r="I63" s="134"/>
      <c r="J63" s="6">
        <f>G63-C63</f>
        <v>-3000000</v>
      </c>
      <c r="K63" s="163"/>
      <c r="L63" s="4"/>
      <c r="M63" s="4"/>
      <c r="N63" s="4"/>
      <c r="O63" s="4"/>
      <c r="P63" s="4"/>
      <c r="Q63" s="4"/>
      <c r="R63" s="9"/>
    </row>
    <row r="64" spans="1:18" s="796" customFormat="1" x14ac:dyDescent="0.25">
      <c r="A64" s="799" t="s">
        <v>469</v>
      </c>
      <c r="B64" s="736" t="s">
        <v>470</v>
      </c>
      <c r="C64" s="800">
        <f>SUM(C65:C67)</f>
        <v>12000000</v>
      </c>
      <c r="D64" s="789"/>
      <c r="E64" s="790"/>
      <c r="F64" s="790"/>
      <c r="G64" s="791">
        <v>0</v>
      </c>
      <c r="H64" s="790"/>
      <c r="I64" s="790"/>
      <c r="J64" s="791">
        <v>0</v>
      </c>
      <c r="K64" s="793"/>
      <c r="L64" s="794"/>
      <c r="M64" s="794"/>
      <c r="N64" s="794"/>
      <c r="O64" s="794"/>
      <c r="P64" s="794"/>
      <c r="Q64" s="794"/>
      <c r="R64" s="795"/>
    </row>
    <row r="65" spans="1:18" x14ac:dyDescent="0.25">
      <c r="A65" s="49" t="s">
        <v>448</v>
      </c>
      <c r="B65" s="707" t="s">
        <v>445</v>
      </c>
      <c r="C65" s="56">
        <v>170000</v>
      </c>
      <c r="D65" s="200"/>
      <c r="E65" s="134"/>
      <c r="F65" s="134"/>
      <c r="G65" s="6">
        <v>0</v>
      </c>
      <c r="H65" s="134"/>
      <c r="I65" s="134"/>
      <c r="J65" s="6">
        <f t="shared" ref="J65:J67" si="28">G65-C65</f>
        <v>-170000</v>
      </c>
      <c r="K65" s="163"/>
      <c r="L65" s="4"/>
      <c r="M65" s="4"/>
      <c r="N65" s="4"/>
      <c r="O65" s="4"/>
      <c r="P65" s="4"/>
      <c r="Q65" s="4"/>
      <c r="R65" s="9"/>
    </row>
    <row r="66" spans="1:18" x14ac:dyDescent="0.25">
      <c r="A66" s="49" t="s">
        <v>413</v>
      </c>
      <c r="B66" s="707" t="s">
        <v>334</v>
      </c>
      <c r="C66" s="56">
        <v>820000</v>
      </c>
      <c r="D66" s="200"/>
      <c r="E66" s="134"/>
      <c r="F66" s="134"/>
      <c r="G66" s="6">
        <v>0</v>
      </c>
      <c r="H66" s="134"/>
      <c r="I66" s="134"/>
      <c r="J66" s="6">
        <f t="shared" si="28"/>
        <v>-820000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391</v>
      </c>
      <c r="B67" s="218" t="s">
        <v>198</v>
      </c>
      <c r="C67" s="56">
        <v>11010000</v>
      </c>
      <c r="D67" s="200"/>
      <c r="E67" s="134"/>
      <c r="F67" s="134"/>
      <c r="G67" s="6">
        <v>0</v>
      </c>
      <c r="H67" s="134"/>
      <c r="I67" s="134"/>
      <c r="J67" s="6">
        <f t="shared" si="28"/>
        <v>-11010000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238" t="s">
        <v>504</v>
      </c>
      <c r="B68" s="238" t="s">
        <v>64</v>
      </c>
      <c r="C68" s="239">
        <f>SUM(C69:C70)</f>
        <v>148714000</v>
      </c>
      <c r="D68" s="241"/>
      <c r="E68" s="242"/>
      <c r="F68" s="242"/>
      <c r="G68" s="791">
        <v>0</v>
      </c>
      <c r="H68" s="242"/>
      <c r="I68" s="242"/>
      <c r="J68" s="791">
        <v>0</v>
      </c>
      <c r="K68" s="237"/>
      <c r="L68" s="4"/>
      <c r="M68" s="4"/>
      <c r="N68" s="4"/>
      <c r="O68" s="4"/>
      <c r="P68" s="4"/>
      <c r="Q68" s="4"/>
      <c r="R68" s="9"/>
    </row>
    <row r="69" spans="1:18" ht="21" customHeight="1" x14ac:dyDescent="0.25">
      <c r="A69" s="49" t="s">
        <v>450</v>
      </c>
      <c r="B69" s="707" t="s">
        <v>384</v>
      </c>
      <c r="C69" s="56">
        <v>3480000</v>
      </c>
      <c r="D69" s="200">
        <f>C69/C68*100</f>
        <v>2.3400621326842126</v>
      </c>
      <c r="E69" s="134">
        <f t="shared" ref="E69:E70" si="29">G69/C69*100</f>
        <v>0</v>
      </c>
      <c r="F69" s="134">
        <f t="shared" si="26"/>
        <v>0</v>
      </c>
      <c r="G69" s="6">
        <v>0</v>
      </c>
      <c r="H69" s="134">
        <f t="shared" ref="H69:H70" si="30">G69/C69*100</f>
        <v>0</v>
      </c>
      <c r="I69" s="134">
        <f t="shared" ref="I69:I70" si="31">(D69*H69)/100</f>
        <v>0</v>
      </c>
      <c r="J69" s="6">
        <f t="shared" ref="J69:J70" si="32">G69-C69</f>
        <v>-3480000</v>
      </c>
      <c r="K69" s="163"/>
      <c r="L69" s="4"/>
      <c r="M69" s="4"/>
      <c r="N69" s="4"/>
      <c r="O69" s="4"/>
      <c r="P69" s="4"/>
      <c r="Q69" s="4"/>
      <c r="R69" s="9"/>
    </row>
    <row r="70" spans="1:18" ht="15.75" thickBot="1" x14ac:dyDescent="0.3">
      <c r="A70" s="217" t="s">
        <v>449</v>
      </c>
      <c r="B70" s="78" t="s">
        <v>23</v>
      </c>
      <c r="C70" s="219">
        <v>145234000</v>
      </c>
      <c r="D70" s="200">
        <f>C70/C68*100</f>
        <v>97.659937867315776</v>
      </c>
      <c r="E70" s="134">
        <f t="shared" si="29"/>
        <v>0</v>
      </c>
      <c r="F70" s="134">
        <f t="shared" si="26"/>
        <v>0</v>
      </c>
      <c r="G70" s="6">
        <v>0</v>
      </c>
      <c r="H70" s="134">
        <f t="shared" si="30"/>
        <v>0</v>
      </c>
      <c r="I70" s="134">
        <f t="shared" si="31"/>
        <v>0</v>
      </c>
      <c r="J70" s="6">
        <f t="shared" si="32"/>
        <v>-145234000</v>
      </c>
      <c r="K70" s="163"/>
      <c r="L70" s="4"/>
      <c r="M70" s="4"/>
      <c r="N70" s="4"/>
      <c r="O70" s="694"/>
      <c r="P70" s="4"/>
      <c r="Q70" s="4"/>
      <c r="R70" s="9"/>
    </row>
    <row r="71" spans="1:18" ht="15.75" thickBot="1" x14ac:dyDescent="0.3">
      <c r="A71" s="689" t="s">
        <v>248</v>
      </c>
      <c r="B71" s="708" t="s">
        <v>68</v>
      </c>
      <c r="C71" s="690"/>
      <c r="D71" s="216"/>
      <c r="E71" s="134"/>
      <c r="F71" s="134"/>
      <c r="G71" s="6">
        <v>0</v>
      </c>
      <c r="H71" s="134"/>
      <c r="I71" s="134"/>
      <c r="J71" s="6">
        <v>0</v>
      </c>
      <c r="K71" s="163"/>
      <c r="L71" s="4"/>
      <c r="M71" s="4"/>
      <c r="N71" s="4"/>
      <c r="O71" s="4"/>
      <c r="P71" s="4"/>
      <c r="Q71" s="4"/>
      <c r="R71" s="9"/>
    </row>
    <row r="72" spans="1:18" x14ac:dyDescent="0.25">
      <c r="A72" s="233" t="s">
        <v>249</v>
      </c>
      <c r="B72" s="696" t="s">
        <v>387</v>
      </c>
      <c r="C72" s="234">
        <f>SUM(C73:C75)</f>
        <v>237367500</v>
      </c>
      <c r="D72" s="241"/>
      <c r="E72" s="242"/>
      <c r="F72" s="242"/>
      <c r="G72" s="791">
        <v>0</v>
      </c>
      <c r="H72" s="242"/>
      <c r="I72" s="242"/>
      <c r="J72" s="791">
        <v>0</v>
      </c>
      <c r="K72" s="237"/>
      <c r="L72" s="4"/>
      <c r="M72" s="4"/>
      <c r="N72" s="4"/>
      <c r="O72" s="713"/>
      <c r="P72" s="4"/>
      <c r="Q72" s="4"/>
      <c r="R72" s="9"/>
    </row>
    <row r="73" spans="1:18" x14ac:dyDescent="0.25">
      <c r="A73" s="49" t="s">
        <v>471</v>
      </c>
      <c r="B73" s="78" t="s">
        <v>388</v>
      </c>
      <c r="C73" s="56">
        <v>54000000</v>
      </c>
      <c r="D73" s="200">
        <f>C73/C72*100</f>
        <v>22.749533950519762</v>
      </c>
      <c r="E73" s="134">
        <f t="shared" ref="E73:E75" si="33">G73/C73*100</f>
        <v>13.249822222222221</v>
      </c>
      <c r="F73" s="134">
        <f t="shared" ref="F73:F75" si="34">(D73*E73)/100</f>
        <v>3.0142728048279559</v>
      </c>
      <c r="G73" s="6">
        <f>3574692+3580212</f>
        <v>7154904</v>
      </c>
      <c r="H73" s="134">
        <f t="shared" ref="H73:H77" si="35">G73/C73*100</f>
        <v>13.249822222222221</v>
      </c>
      <c r="I73" s="134">
        <f t="shared" ref="I73:I75" si="36">(D73*H73)/100</f>
        <v>3.0142728048279559</v>
      </c>
      <c r="J73" s="6">
        <f t="shared" ref="J73:J75" si="37">G73-C73</f>
        <v>-46845096</v>
      </c>
      <c r="K73" s="163"/>
      <c r="L73" s="4"/>
      <c r="M73" s="730"/>
      <c r="N73" s="4"/>
      <c r="O73" s="4"/>
      <c r="P73" s="4"/>
      <c r="Q73" s="4"/>
      <c r="R73" s="9"/>
    </row>
    <row r="74" spans="1:18" x14ac:dyDescent="0.25">
      <c r="A74" s="49" t="s">
        <v>472</v>
      </c>
      <c r="B74" s="78" t="s">
        <v>73</v>
      </c>
      <c r="C74" s="56">
        <v>39000000</v>
      </c>
      <c r="D74" s="200">
        <f>C74/C72*100</f>
        <v>16.430218964264274</v>
      </c>
      <c r="E74" s="134">
        <f t="shared" si="33"/>
        <v>8.948782051282052</v>
      </c>
      <c r="F74" s="134">
        <f t="shared" si="34"/>
        <v>1.470304485660421</v>
      </c>
      <c r="G74" s="6">
        <f>1550610+1939415</f>
        <v>3490025</v>
      </c>
      <c r="H74" s="134">
        <f t="shared" si="35"/>
        <v>8.948782051282052</v>
      </c>
      <c r="I74" s="134">
        <f t="shared" si="36"/>
        <v>1.470304485660421</v>
      </c>
      <c r="J74" s="6">
        <f t="shared" si="37"/>
        <v>-35509975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473</v>
      </c>
      <c r="B75" s="78" t="s">
        <v>75</v>
      </c>
      <c r="C75" s="56">
        <v>144367500</v>
      </c>
      <c r="D75" s="200">
        <f>C75/C72*100</f>
        <v>60.820247085215961</v>
      </c>
      <c r="E75" s="134">
        <f t="shared" si="33"/>
        <v>16.814044712279426</v>
      </c>
      <c r="F75" s="134">
        <f t="shared" si="34"/>
        <v>10.226343539027035</v>
      </c>
      <c r="G75" s="6">
        <f>12246071+12027945</f>
        <v>24274016</v>
      </c>
      <c r="H75" s="134">
        <f t="shared" si="35"/>
        <v>16.814044712279426</v>
      </c>
      <c r="I75" s="134">
        <f t="shared" si="36"/>
        <v>10.226343539027035</v>
      </c>
      <c r="J75" s="6">
        <f t="shared" si="37"/>
        <v>-120093484</v>
      </c>
      <c r="K75" s="163"/>
      <c r="L75" s="4"/>
      <c r="M75" s="4"/>
      <c r="N75" s="4"/>
      <c r="O75" s="4"/>
      <c r="P75" s="4"/>
      <c r="Q75" s="4"/>
      <c r="R75" s="9"/>
    </row>
    <row r="76" spans="1:18" x14ac:dyDescent="0.25">
      <c r="A76" s="238" t="s">
        <v>505</v>
      </c>
      <c r="B76" s="238" t="s">
        <v>76</v>
      </c>
      <c r="C76" s="239">
        <f>SUM(C77:C77)</f>
        <v>20000000</v>
      </c>
      <c r="D76" s="241"/>
      <c r="E76" s="242"/>
      <c r="F76" s="242"/>
      <c r="G76" s="791">
        <v>0</v>
      </c>
      <c r="H76" s="242"/>
      <c r="I76" s="242"/>
      <c r="J76" s="791">
        <v>0</v>
      </c>
      <c r="K76" s="237"/>
      <c r="L76" s="4"/>
      <c r="M76" s="4"/>
      <c r="N76" s="4"/>
      <c r="O76" s="4"/>
      <c r="P76" s="4"/>
      <c r="Q76" s="4"/>
      <c r="R76" s="9"/>
    </row>
    <row r="77" spans="1:18" ht="14.25" customHeight="1" thickBot="1" x14ac:dyDescent="0.3">
      <c r="A77" s="49" t="s">
        <v>450</v>
      </c>
      <c r="B77" s="707" t="s">
        <v>384</v>
      </c>
      <c r="C77" s="56">
        <v>20000000</v>
      </c>
      <c r="D77" s="200">
        <f>C77/C76*100</f>
        <v>100</v>
      </c>
      <c r="E77" s="134">
        <f t="shared" ref="E77" si="38">G77/C77*100</f>
        <v>0</v>
      </c>
      <c r="F77" s="134">
        <f t="shared" ref="F77" si="39">(D77*E77)/100</f>
        <v>0</v>
      </c>
      <c r="G77" s="6">
        <v>0</v>
      </c>
      <c r="H77" s="134">
        <f t="shared" si="35"/>
        <v>0</v>
      </c>
      <c r="I77" s="134">
        <f t="shared" ref="I77" si="40">(D77*H77)/100</f>
        <v>0</v>
      </c>
      <c r="J77" s="6">
        <f>G77-C77</f>
        <v>-20000000</v>
      </c>
      <c r="K77" s="163"/>
      <c r="L77" s="4"/>
      <c r="M77" s="4"/>
      <c r="N77" s="4"/>
      <c r="O77" s="4"/>
      <c r="P77" s="4"/>
      <c r="Q77" s="4"/>
      <c r="R77" s="9"/>
    </row>
    <row r="78" spans="1:18" ht="26.25" thickBot="1" x14ac:dyDescent="0.3">
      <c r="A78" s="689" t="s">
        <v>506</v>
      </c>
      <c r="B78" s="692" t="s">
        <v>377</v>
      </c>
      <c r="C78" s="690"/>
      <c r="D78" s="216"/>
      <c r="E78" s="134"/>
      <c r="F78" s="134"/>
      <c r="G78" s="6">
        <v>0</v>
      </c>
      <c r="H78" s="134"/>
      <c r="I78" s="134"/>
      <c r="J78" s="6">
        <v>0</v>
      </c>
      <c r="K78" s="163"/>
      <c r="L78" s="4"/>
      <c r="M78" s="4"/>
      <c r="N78" s="4"/>
      <c r="O78" s="694"/>
      <c r="P78" s="4"/>
      <c r="Q78" s="4"/>
      <c r="R78" s="9"/>
    </row>
    <row r="79" spans="1:18" ht="26.25" x14ac:dyDescent="0.25">
      <c r="A79" s="693" t="s">
        <v>507</v>
      </c>
      <c r="B79" s="691" t="s">
        <v>474</v>
      </c>
      <c r="C79" s="234">
        <f>SUM(C80:C84)</f>
        <v>151843982</v>
      </c>
      <c r="D79" s="241"/>
      <c r="E79" s="242"/>
      <c r="F79" s="242"/>
      <c r="G79" s="791">
        <v>0</v>
      </c>
      <c r="H79" s="242"/>
      <c r="I79" s="242"/>
      <c r="J79" s="791">
        <v>0</v>
      </c>
      <c r="K79" s="244"/>
      <c r="L79" s="4"/>
      <c r="M79" s="4"/>
      <c r="N79" s="4"/>
      <c r="O79" s="4"/>
      <c r="P79" s="4"/>
      <c r="Q79" s="4"/>
      <c r="R79" s="9"/>
    </row>
    <row r="80" spans="1:18" s="783" customFormat="1" ht="25.5" x14ac:dyDescent="0.25">
      <c r="A80" s="801" t="s">
        <v>450</v>
      </c>
      <c r="B80" s="707" t="s">
        <v>384</v>
      </c>
      <c r="C80" s="788">
        <v>7330000</v>
      </c>
      <c r="D80" s="741"/>
      <c r="E80" s="742"/>
      <c r="F80" s="742"/>
      <c r="G80" s="6">
        <v>0</v>
      </c>
      <c r="H80" s="742"/>
      <c r="I80" s="742"/>
      <c r="J80" s="6">
        <f t="shared" ref="J80:J84" si="41">G80-C80</f>
        <v>-7330000</v>
      </c>
      <c r="K80" s="743"/>
      <c r="L80" s="737"/>
      <c r="M80" s="737"/>
      <c r="N80" s="737"/>
      <c r="O80" s="737"/>
      <c r="P80" s="737"/>
      <c r="Q80" s="737"/>
      <c r="R80" s="782"/>
    </row>
    <row r="81" spans="1:18" x14ac:dyDescent="0.25">
      <c r="A81" s="224" t="s">
        <v>475</v>
      </c>
      <c r="B81" s="78" t="s">
        <v>81</v>
      </c>
      <c r="C81" s="56">
        <v>79356018</v>
      </c>
      <c r="D81" s="200">
        <f>C81/C79*100</f>
        <v>52.261549621373874</v>
      </c>
      <c r="E81" s="134">
        <f t="shared" ref="E81:E84" si="42">G81/C81*100</f>
        <v>0</v>
      </c>
      <c r="F81" s="134">
        <f t="shared" ref="F81:F84" si="43">(D81*E81)/100</f>
        <v>0</v>
      </c>
      <c r="G81" s="6">
        <v>0</v>
      </c>
      <c r="H81" s="134">
        <f t="shared" ref="H81:H84" si="44">G81/C81*100</f>
        <v>0</v>
      </c>
      <c r="I81" s="134">
        <f t="shared" ref="I81:I84" si="45">(D81*H81)/100</f>
        <v>0</v>
      </c>
      <c r="J81" s="6">
        <f t="shared" si="41"/>
        <v>-79356018</v>
      </c>
      <c r="K81" s="56"/>
      <c r="L81" s="4"/>
      <c r="M81" s="4"/>
      <c r="N81" s="4"/>
      <c r="O81" s="4"/>
      <c r="P81" s="4"/>
      <c r="Q81" s="4"/>
      <c r="R81" s="9"/>
    </row>
    <row r="82" spans="1:18" x14ac:dyDescent="0.25">
      <c r="A82" s="49" t="s">
        <v>476</v>
      </c>
      <c r="B82" s="78" t="s">
        <v>83</v>
      </c>
      <c r="C82" s="56">
        <v>22600000</v>
      </c>
      <c r="D82" s="200">
        <f>C82/C79*100</f>
        <v>14.883698189632566</v>
      </c>
      <c r="E82" s="134">
        <f t="shared" si="42"/>
        <v>0</v>
      </c>
      <c r="F82" s="134">
        <f t="shared" si="43"/>
        <v>0</v>
      </c>
      <c r="G82" s="6">
        <v>0</v>
      </c>
      <c r="H82" s="134">
        <f t="shared" si="44"/>
        <v>0</v>
      </c>
      <c r="I82" s="134">
        <f t="shared" si="45"/>
        <v>0</v>
      </c>
      <c r="J82" s="6">
        <f t="shared" si="41"/>
        <v>-22600000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477</v>
      </c>
      <c r="B83" s="78" t="s">
        <v>85</v>
      </c>
      <c r="C83" s="56">
        <v>13307964</v>
      </c>
      <c r="D83" s="200">
        <f>C83/C79*100</f>
        <v>8.7642353847121832</v>
      </c>
      <c r="E83" s="134">
        <f t="shared" si="42"/>
        <v>1.6531454398283616</v>
      </c>
      <c r="F83" s="134">
        <f t="shared" si="43"/>
        <v>0.1448855575981931</v>
      </c>
      <c r="G83" s="6">
        <f>220000</f>
        <v>220000</v>
      </c>
      <c r="H83" s="134">
        <f t="shared" si="44"/>
        <v>1.6531454398283616</v>
      </c>
      <c r="I83" s="134">
        <f t="shared" si="45"/>
        <v>0.1448855575981931</v>
      </c>
      <c r="J83" s="6">
        <f t="shared" si="41"/>
        <v>-13087964</v>
      </c>
      <c r="K83" s="56"/>
      <c r="L83" s="4"/>
      <c r="M83" s="4"/>
      <c r="N83" s="4"/>
      <c r="O83" s="713"/>
      <c r="P83" s="4"/>
      <c r="Q83" s="4"/>
      <c r="R83" s="9"/>
    </row>
    <row r="84" spans="1:18" ht="25.5" x14ac:dyDescent="0.25">
      <c r="A84" s="49" t="s">
        <v>478</v>
      </c>
      <c r="B84" s="77" t="s">
        <v>87</v>
      </c>
      <c r="C84" s="56">
        <v>29250000</v>
      </c>
      <c r="D84" s="200">
        <f>C84/C79*100</f>
        <v>19.263193453396134</v>
      </c>
      <c r="E84" s="134">
        <f t="shared" si="42"/>
        <v>0</v>
      </c>
      <c r="F84" s="134">
        <f t="shared" si="43"/>
        <v>0</v>
      </c>
      <c r="G84" s="6">
        <v>0</v>
      </c>
      <c r="H84" s="134">
        <f t="shared" si="44"/>
        <v>0</v>
      </c>
      <c r="I84" s="134">
        <f t="shared" si="45"/>
        <v>0</v>
      </c>
      <c r="J84" s="6">
        <f t="shared" si="41"/>
        <v>-29250000</v>
      </c>
      <c r="K84" s="56"/>
      <c r="L84" s="4"/>
      <c r="M84" s="4"/>
      <c r="N84" s="4"/>
      <c r="O84" s="4"/>
      <c r="P84" s="4"/>
      <c r="Q84" s="4"/>
      <c r="R84" s="9"/>
    </row>
    <row r="85" spans="1:18" s="796" customFormat="1" x14ac:dyDescent="0.25">
      <c r="A85" s="799" t="s">
        <v>483</v>
      </c>
      <c r="B85" s="691" t="s">
        <v>479</v>
      </c>
      <c r="C85" s="800">
        <f>SUM(C86:C88)</f>
        <v>30280000</v>
      </c>
      <c r="D85" s="789"/>
      <c r="E85" s="790"/>
      <c r="F85" s="790"/>
      <c r="G85" s="791">
        <v>0</v>
      </c>
      <c r="H85" s="790"/>
      <c r="I85" s="790"/>
      <c r="J85" s="791">
        <v>0</v>
      </c>
      <c r="K85" s="792"/>
      <c r="L85" s="794"/>
      <c r="M85" s="794"/>
      <c r="N85" s="794"/>
      <c r="O85" s="794"/>
      <c r="P85" s="794"/>
      <c r="Q85" s="794"/>
      <c r="R85" s="795"/>
    </row>
    <row r="86" spans="1:18" ht="25.5" x14ac:dyDescent="0.25">
      <c r="A86" s="49" t="s">
        <v>484</v>
      </c>
      <c r="B86" s="77" t="s">
        <v>480</v>
      </c>
      <c r="C86" s="56">
        <v>4110000</v>
      </c>
      <c r="D86" s="200"/>
      <c r="E86" s="134"/>
      <c r="F86" s="134"/>
      <c r="G86" s="6">
        <v>0</v>
      </c>
      <c r="H86" s="134"/>
      <c r="I86" s="134"/>
      <c r="J86" s="6">
        <f t="shared" ref="J86:J88" si="46">G86-C86</f>
        <v>-4110000</v>
      </c>
      <c r="K86" s="56"/>
      <c r="L86" s="4"/>
      <c r="M86" s="4"/>
      <c r="N86" s="4"/>
      <c r="O86" s="4"/>
      <c r="P86" s="4"/>
      <c r="Q86" s="4"/>
      <c r="R86" s="9"/>
    </row>
    <row r="87" spans="1:18" ht="25.5" x14ac:dyDescent="0.25">
      <c r="A87" s="49" t="s">
        <v>485</v>
      </c>
      <c r="B87" s="77" t="s">
        <v>481</v>
      </c>
      <c r="C87" s="56">
        <v>14490000</v>
      </c>
      <c r="D87" s="200"/>
      <c r="E87" s="134"/>
      <c r="F87" s="134"/>
      <c r="G87" s="6">
        <v>0</v>
      </c>
      <c r="H87" s="134"/>
      <c r="I87" s="134"/>
      <c r="J87" s="6">
        <f t="shared" si="46"/>
        <v>-14490000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486</v>
      </c>
      <c r="B88" s="77" t="s">
        <v>482</v>
      </c>
      <c r="C88" s="56">
        <v>11680000</v>
      </c>
      <c r="D88" s="200"/>
      <c r="E88" s="134"/>
      <c r="F88" s="134"/>
      <c r="G88" s="6">
        <v>0</v>
      </c>
      <c r="H88" s="134"/>
      <c r="I88" s="134"/>
      <c r="J88" s="6">
        <f t="shared" si="46"/>
        <v>-11680000</v>
      </c>
      <c r="K88" s="56"/>
      <c r="L88" s="4"/>
      <c r="M88" s="4"/>
      <c r="N88" s="4"/>
      <c r="O88" s="4"/>
      <c r="P88" s="4"/>
      <c r="Q88" s="4"/>
      <c r="R88" s="9"/>
    </row>
    <row r="89" spans="1:18" s="796" customFormat="1" ht="25.5" x14ac:dyDescent="0.25">
      <c r="A89" s="799" t="s">
        <v>508</v>
      </c>
      <c r="B89" s="802" t="s">
        <v>90</v>
      </c>
      <c r="C89" s="800">
        <v>107280000</v>
      </c>
      <c r="D89" s="789"/>
      <c r="E89" s="790"/>
      <c r="F89" s="790"/>
      <c r="G89" s="791"/>
      <c r="H89" s="790"/>
      <c r="I89" s="790"/>
      <c r="J89" s="791"/>
      <c r="K89" s="792"/>
      <c r="L89" s="794"/>
      <c r="M89" s="794"/>
      <c r="N89" s="794"/>
      <c r="O89" s="794"/>
      <c r="P89" s="794"/>
      <c r="Q89" s="794"/>
      <c r="R89" s="795"/>
    </row>
    <row r="90" spans="1:18" ht="25.5" x14ac:dyDescent="0.25">
      <c r="A90" s="49" t="s">
        <v>487</v>
      </c>
      <c r="B90" s="77" t="s">
        <v>509</v>
      </c>
      <c r="C90" s="56">
        <v>107280000</v>
      </c>
      <c r="D90" s="200"/>
      <c r="E90" s="134"/>
      <c r="F90" s="134"/>
      <c r="G90" s="6"/>
      <c r="H90" s="134"/>
      <c r="I90" s="134"/>
      <c r="J90" s="6">
        <f>G90-C90</f>
        <v>-107280000</v>
      </c>
      <c r="K90" s="56"/>
      <c r="L90" s="4"/>
      <c r="M90" s="4"/>
      <c r="N90" s="4"/>
      <c r="O90" s="4"/>
      <c r="P90" s="4"/>
      <c r="Q90" s="4"/>
      <c r="R90" s="9"/>
    </row>
    <row r="91" spans="1:18" ht="25.5" x14ac:dyDescent="0.25">
      <c r="A91" s="238" t="s">
        <v>510</v>
      </c>
      <c r="B91" s="240" t="s">
        <v>90</v>
      </c>
      <c r="C91" s="239">
        <v>47010000</v>
      </c>
      <c r="D91" s="241"/>
      <c r="E91" s="242"/>
      <c r="F91" s="242"/>
      <c r="G91" s="791">
        <v>0</v>
      </c>
      <c r="H91" s="242"/>
      <c r="I91" s="242"/>
      <c r="J91" s="791">
        <v>0</v>
      </c>
      <c r="K91" s="244"/>
      <c r="L91" s="4"/>
      <c r="M91" s="4"/>
      <c r="N91" s="4"/>
      <c r="O91" s="4"/>
      <c r="P91" s="4"/>
      <c r="Q91" s="4"/>
      <c r="R91" s="9"/>
    </row>
    <row r="92" spans="1:18" s="783" customFormat="1" x14ac:dyDescent="0.25">
      <c r="A92" s="124" t="s">
        <v>448</v>
      </c>
      <c r="B92" s="707" t="s">
        <v>445</v>
      </c>
      <c r="C92" s="743">
        <v>170000</v>
      </c>
      <c r="D92" s="741"/>
      <c r="E92" s="742"/>
      <c r="F92" s="742"/>
      <c r="G92" s="6">
        <v>0</v>
      </c>
      <c r="H92" s="742"/>
      <c r="I92" s="742"/>
      <c r="J92" s="6">
        <f t="shared" ref="J92:J94" si="47">G92-C92</f>
        <v>-170000</v>
      </c>
      <c r="K92" s="743"/>
      <c r="L92" s="737"/>
      <c r="M92" s="737"/>
      <c r="N92" s="737"/>
      <c r="O92" s="737"/>
      <c r="P92" s="737"/>
      <c r="Q92" s="737"/>
      <c r="R92" s="782"/>
    </row>
    <row r="93" spans="1:18" x14ac:dyDescent="0.25">
      <c r="A93" s="49" t="s">
        <v>490</v>
      </c>
      <c r="B93" s="316" t="s">
        <v>488</v>
      </c>
      <c r="C93" s="56">
        <v>8500000</v>
      </c>
      <c r="D93" s="200">
        <f>C93/C91*100</f>
        <v>18.081259306530526</v>
      </c>
      <c r="E93" s="134">
        <f t="shared" ref="E93:E94" si="48">G93/C93*100</f>
        <v>0</v>
      </c>
      <c r="F93" s="134">
        <f t="shared" ref="F93:F94" si="49">(D93*E93)/100</f>
        <v>0</v>
      </c>
      <c r="G93" s="6">
        <v>0</v>
      </c>
      <c r="H93" s="134">
        <f t="shared" ref="H93:H94" si="50">G93/C93*100</f>
        <v>0</v>
      </c>
      <c r="I93" s="134">
        <f t="shared" ref="I93:I94" si="51">(D93*H93)/100</f>
        <v>0</v>
      </c>
      <c r="J93" s="6">
        <f t="shared" si="47"/>
        <v>-8500000</v>
      </c>
      <c r="K93" s="56"/>
      <c r="L93" s="4"/>
      <c r="M93" s="4"/>
      <c r="N93" s="4"/>
      <c r="O93" s="4"/>
      <c r="P93" s="4"/>
      <c r="Q93" s="4"/>
      <c r="R93" s="9"/>
    </row>
    <row r="94" spans="1:18" ht="25.5" x14ac:dyDescent="0.25">
      <c r="A94" s="49" t="s">
        <v>491</v>
      </c>
      <c r="B94" s="77" t="s">
        <v>489</v>
      </c>
      <c r="C94" s="56">
        <v>38340000</v>
      </c>
      <c r="D94" s="200">
        <f>C94/C91*100</f>
        <v>81.557115507338864</v>
      </c>
      <c r="E94" s="134">
        <f t="shared" si="48"/>
        <v>0</v>
      </c>
      <c r="F94" s="134">
        <f t="shared" si="49"/>
        <v>0</v>
      </c>
      <c r="G94" s="6">
        <v>0</v>
      </c>
      <c r="H94" s="134">
        <f t="shared" si="50"/>
        <v>0</v>
      </c>
      <c r="I94" s="134">
        <f t="shared" si="51"/>
        <v>0</v>
      </c>
      <c r="J94" s="6">
        <f t="shared" si="47"/>
        <v>-38340000</v>
      </c>
      <c r="K94" s="56"/>
      <c r="L94" s="4"/>
      <c r="M94" s="695"/>
      <c r="N94" s="4"/>
      <c r="O94" s="4"/>
      <c r="P94" s="4"/>
      <c r="Q94" s="4"/>
      <c r="R94" s="9"/>
    </row>
    <row r="95" spans="1:18" x14ac:dyDescent="0.25">
      <c r="A95" s="1045" t="s">
        <v>95</v>
      </c>
      <c r="B95" s="1046"/>
      <c r="C95" s="1047"/>
      <c r="D95" s="81"/>
      <c r="E95" s="134"/>
      <c r="F95" s="134"/>
      <c r="G95" s="768">
        <f>SUM(G12:G94)</f>
        <v>1099578840</v>
      </c>
      <c r="H95" s="134"/>
      <c r="I95" s="134"/>
      <c r="J95" s="781">
        <v>0</v>
      </c>
      <c r="K95" s="130"/>
      <c r="L95" s="1"/>
      <c r="M95" s="1"/>
      <c r="N95" s="1"/>
      <c r="O95" s="1"/>
      <c r="P95" s="1"/>
      <c r="Q95" s="1"/>
      <c r="R95" s="1"/>
    </row>
    <row r="96" spans="1:18" x14ac:dyDescent="0.25">
      <c r="A96" s="50"/>
      <c r="B96" s="5"/>
      <c r="C96" s="50"/>
      <c r="D96" s="9"/>
      <c r="E96" s="23"/>
      <c r="F96" s="23"/>
      <c r="G96" s="11"/>
      <c r="H96" s="23"/>
      <c r="I96" s="23"/>
      <c r="J96" s="4"/>
      <c r="K96" s="9"/>
      <c r="L96" s="1"/>
      <c r="M96" s="1"/>
      <c r="N96" s="1"/>
      <c r="O96" s="1"/>
      <c r="P96" s="1"/>
      <c r="Q96" s="1"/>
      <c r="R96" s="1"/>
    </row>
    <row r="97" spans="1:18" x14ac:dyDescent="0.25">
      <c r="A97" s="1036" t="s">
        <v>0</v>
      </c>
      <c r="B97" s="1036"/>
      <c r="C97" s="1036"/>
      <c r="D97" s="1036"/>
      <c r="E97" s="1037"/>
      <c r="F97" s="1037"/>
      <c r="G97" s="1038"/>
      <c r="H97" s="1037"/>
      <c r="I97" s="1037"/>
      <c r="J97" s="1036"/>
      <c r="K97" s="1036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511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9"/>
      <c r="M98" s="9"/>
      <c r="N98" s="9"/>
      <c r="O98" s="9"/>
      <c r="P98" s="9"/>
      <c r="Q98" s="9"/>
      <c r="R98" s="9"/>
    </row>
    <row r="99" spans="1:18" x14ac:dyDescent="0.25">
      <c r="A99" s="1161" t="s">
        <v>389</v>
      </c>
      <c r="B99" s="1161"/>
      <c r="C99" s="1161"/>
      <c r="D99" s="1161"/>
      <c r="E99" s="1161"/>
      <c r="F99" s="1161"/>
      <c r="G99" s="1161"/>
      <c r="H99" s="1161"/>
      <c r="I99" s="1161"/>
      <c r="J99" s="1161"/>
      <c r="K99" s="1161"/>
      <c r="L99" s="9"/>
      <c r="M99" s="9"/>
      <c r="N99" s="9"/>
      <c r="O99" s="9"/>
      <c r="P99" s="9"/>
      <c r="Q99" s="9"/>
      <c r="R99" s="9"/>
    </row>
    <row r="100" spans="1:18" x14ac:dyDescent="0.25">
      <c r="A100" s="1048" t="s">
        <v>2</v>
      </c>
      <c r="B100" s="1051" t="s">
        <v>3</v>
      </c>
      <c r="C100" s="1048" t="s">
        <v>4</v>
      </c>
      <c r="D100" s="1054" t="s">
        <v>5</v>
      </c>
      <c r="E100" s="1055"/>
      <c r="F100" s="1055"/>
      <c r="G100" s="1044" t="s">
        <v>6</v>
      </c>
      <c r="H100" s="1055"/>
      <c r="I100" s="1055"/>
      <c r="J100" s="1048" t="s">
        <v>7</v>
      </c>
      <c r="K100" s="213" t="s">
        <v>8</v>
      </c>
      <c r="L100" s="9"/>
      <c r="M100" s="9"/>
      <c r="N100" s="9"/>
      <c r="O100" s="9"/>
      <c r="P100" s="9"/>
      <c r="Q100" s="9"/>
      <c r="R100" s="9"/>
    </row>
    <row r="101" spans="1:18" x14ac:dyDescent="0.25">
      <c r="A101" s="1049"/>
      <c r="B101" s="1052"/>
      <c r="C101" s="1049"/>
      <c r="D101" s="209" t="s">
        <v>9</v>
      </c>
      <c r="E101" s="214" t="s">
        <v>10</v>
      </c>
      <c r="F101" s="214" t="s">
        <v>11</v>
      </c>
      <c r="G101" s="209" t="s">
        <v>12</v>
      </c>
      <c r="H101" s="214" t="s">
        <v>13</v>
      </c>
      <c r="I101" s="214" t="s">
        <v>11</v>
      </c>
      <c r="J101" s="1049"/>
      <c r="K101" s="209"/>
      <c r="L101" s="1"/>
      <c r="M101" s="1"/>
      <c r="N101" s="1"/>
      <c r="O101" s="1"/>
      <c r="P101" s="1"/>
      <c r="Q101" s="1"/>
      <c r="R101" s="1"/>
    </row>
    <row r="102" spans="1:18" x14ac:dyDescent="0.25">
      <c r="A102" s="1050"/>
      <c r="B102" s="1053"/>
      <c r="C102" s="1050"/>
      <c r="D102" s="212" t="s">
        <v>14</v>
      </c>
      <c r="E102" s="215" t="s">
        <v>14</v>
      </c>
      <c r="F102" s="215" t="s">
        <v>14</v>
      </c>
      <c r="G102" s="212" t="s">
        <v>15</v>
      </c>
      <c r="H102" s="215" t="s">
        <v>14</v>
      </c>
      <c r="I102" s="215" t="s">
        <v>14</v>
      </c>
      <c r="J102" s="212" t="s">
        <v>15</v>
      </c>
      <c r="K102" s="212"/>
      <c r="L102" s="1"/>
      <c r="M102" s="1"/>
      <c r="N102" s="1"/>
      <c r="O102" s="1"/>
      <c r="P102" s="1"/>
      <c r="Q102" s="1"/>
      <c r="R102" s="1"/>
    </row>
    <row r="103" spans="1:18" ht="26.25" thickBot="1" x14ac:dyDescent="0.3">
      <c r="A103" s="227" t="s">
        <v>220</v>
      </c>
      <c r="B103" s="704" t="s">
        <v>212</v>
      </c>
      <c r="C103" s="245">
        <f>SUM(C104:C104)</f>
        <v>1071720000</v>
      </c>
      <c r="D103" s="6"/>
      <c r="E103" s="203"/>
      <c r="F103" s="204"/>
      <c r="G103" s="6"/>
      <c r="H103" s="204"/>
      <c r="I103" s="204"/>
      <c r="J103" s="6"/>
      <c r="K103" s="6"/>
      <c r="L103" s="1"/>
      <c r="M103" s="1"/>
      <c r="N103" s="1"/>
      <c r="O103" s="714"/>
      <c r="P103" s="1"/>
      <c r="Q103" s="1"/>
      <c r="R103" s="1"/>
    </row>
    <row r="104" spans="1:18" ht="26.25" thickBot="1" x14ac:dyDescent="0.3">
      <c r="A104" s="703" t="s">
        <v>180</v>
      </c>
      <c r="B104" s="705" t="s">
        <v>379</v>
      </c>
      <c r="C104" s="246">
        <f>SUM(C105:C105)</f>
        <v>1071720000</v>
      </c>
      <c r="D104" s="226"/>
      <c r="E104" s="204"/>
      <c r="F104" s="204"/>
      <c r="G104" s="6"/>
      <c r="H104" s="204"/>
      <c r="I104" s="204"/>
      <c r="J104" s="6"/>
      <c r="K104" s="6"/>
      <c r="L104" s="1"/>
      <c r="M104" s="1"/>
      <c r="N104" s="1"/>
      <c r="O104" s="1"/>
      <c r="P104" s="1"/>
      <c r="Q104" s="1"/>
      <c r="R104" s="1"/>
    </row>
    <row r="105" spans="1:18" ht="25.5" x14ac:dyDescent="0.25">
      <c r="A105" s="698" t="s">
        <v>181</v>
      </c>
      <c r="B105" s="706" t="s">
        <v>380</v>
      </c>
      <c r="C105" s="246">
        <f>SUM(C106:C127)</f>
        <v>1071720000</v>
      </c>
      <c r="D105" s="236"/>
      <c r="E105" s="278"/>
      <c r="F105" s="278"/>
      <c r="G105" s="236"/>
      <c r="H105" s="278"/>
      <c r="I105" s="278"/>
      <c r="J105" s="236"/>
      <c r="K105" s="236"/>
      <c r="L105" s="1"/>
      <c r="M105" s="1"/>
      <c r="N105" s="1"/>
      <c r="O105" s="715"/>
      <c r="P105" s="1"/>
      <c r="Q105" s="1"/>
      <c r="R105" s="1"/>
    </row>
    <row r="106" spans="1:18" ht="15" customHeight="1" x14ac:dyDescent="0.25">
      <c r="A106" s="315" t="s">
        <v>44</v>
      </c>
      <c r="B106" s="707" t="s">
        <v>384</v>
      </c>
      <c r="C106" s="722">
        <v>53020000</v>
      </c>
      <c r="D106" s="722">
        <f>C106/C104*100</f>
        <v>4.947187698279401</v>
      </c>
      <c r="E106" s="134">
        <f t="shared" ref="E106:E126" si="52">G106/C106*100</f>
        <v>0</v>
      </c>
      <c r="F106" s="134">
        <f t="shared" ref="F106:F126" si="53">(D106*E106)/100</f>
        <v>0</v>
      </c>
      <c r="G106" s="6">
        <v>0</v>
      </c>
      <c r="H106" s="134">
        <f t="shared" ref="H106:H126" si="54">G106/C106*100</f>
        <v>0</v>
      </c>
      <c r="I106" s="134">
        <f t="shared" ref="I106:I126" si="55">(D106*H106)/100</f>
        <v>0</v>
      </c>
      <c r="J106" s="6">
        <f t="shared" ref="J106:J127" si="56">G106-C106</f>
        <v>-53020000</v>
      </c>
      <c r="K106" s="6"/>
      <c r="L106" s="1"/>
      <c r="M106" s="1"/>
      <c r="N106" s="1"/>
      <c r="O106" s="1"/>
      <c r="P106" s="1"/>
      <c r="Q106" s="1"/>
      <c r="R106" s="1"/>
    </row>
    <row r="107" spans="1:18" ht="15" customHeight="1" x14ac:dyDescent="0.25">
      <c r="A107" s="315" t="s">
        <v>518</v>
      </c>
      <c r="B107" s="707" t="s">
        <v>512</v>
      </c>
      <c r="C107" s="722">
        <v>1500000</v>
      </c>
      <c r="D107" s="722"/>
      <c r="E107" s="134"/>
      <c r="F107" s="134"/>
      <c r="G107" s="6"/>
      <c r="H107" s="134"/>
      <c r="I107" s="134"/>
      <c r="J107" s="6">
        <f t="shared" si="56"/>
        <v>-1500000</v>
      </c>
      <c r="K107" s="6"/>
      <c r="L107" s="1"/>
      <c r="M107" s="1"/>
      <c r="N107" s="1"/>
      <c r="O107" s="1"/>
      <c r="P107" s="1"/>
      <c r="Q107" s="1"/>
      <c r="R107" s="1"/>
    </row>
    <row r="108" spans="1:18" ht="25.5" x14ac:dyDescent="0.25">
      <c r="A108" s="315" t="s">
        <v>59</v>
      </c>
      <c r="B108" s="707" t="s">
        <v>197</v>
      </c>
      <c r="C108" s="247">
        <v>24044000</v>
      </c>
      <c r="D108" s="279">
        <f>C108/C104*100</f>
        <v>2.2434964356361737</v>
      </c>
      <c r="E108" s="134">
        <f t="shared" si="52"/>
        <v>15.906255198802196</v>
      </c>
      <c r="F108" s="134">
        <f t="shared" si="53"/>
        <v>0.35685626842832086</v>
      </c>
      <c r="G108" s="6">
        <f>3824500</f>
        <v>3824500</v>
      </c>
      <c r="H108" s="134">
        <f t="shared" si="54"/>
        <v>15.906255198802196</v>
      </c>
      <c r="I108" s="134">
        <f t="shared" si="55"/>
        <v>0.35685626842832086</v>
      </c>
      <c r="J108" s="6">
        <f t="shared" si="56"/>
        <v>-20219500</v>
      </c>
      <c r="K108" s="6"/>
      <c r="L108" s="1"/>
      <c r="M108" s="25"/>
    </row>
    <row r="109" spans="1:18" x14ac:dyDescent="0.25">
      <c r="A109" s="228" t="s">
        <v>62</v>
      </c>
      <c r="B109" s="707" t="s">
        <v>334</v>
      </c>
      <c r="C109" s="247">
        <v>25150000</v>
      </c>
      <c r="D109" s="279">
        <f>C109/C104*100</f>
        <v>2.3466950322845519</v>
      </c>
      <c r="E109" s="134">
        <f t="shared" si="52"/>
        <v>6.0003976143141156</v>
      </c>
      <c r="F109" s="134">
        <f t="shared" si="53"/>
        <v>0.14081103273243012</v>
      </c>
      <c r="G109" s="6">
        <f>1509100</f>
        <v>1509100</v>
      </c>
      <c r="H109" s="134">
        <f t="shared" si="54"/>
        <v>6.0003976143141156</v>
      </c>
      <c r="I109" s="134">
        <f t="shared" si="55"/>
        <v>0.14081103273243012</v>
      </c>
      <c r="J109" s="6">
        <f t="shared" si="56"/>
        <v>-23640900</v>
      </c>
      <c r="K109" s="6"/>
      <c r="L109" s="1"/>
      <c r="M109" s="1"/>
      <c r="O109" s="716"/>
    </row>
    <row r="110" spans="1:18" x14ac:dyDescent="0.25">
      <c r="A110" s="315" t="s">
        <v>54</v>
      </c>
      <c r="B110" s="707" t="s">
        <v>386</v>
      </c>
      <c r="C110" s="248">
        <v>6000000</v>
      </c>
      <c r="D110" s="279">
        <f>C110/C104*100</f>
        <v>0.55984772141977379</v>
      </c>
      <c r="E110" s="134">
        <f t="shared" si="52"/>
        <v>0</v>
      </c>
      <c r="F110" s="134">
        <f t="shared" si="53"/>
        <v>0</v>
      </c>
      <c r="G110" s="6">
        <v>0</v>
      </c>
      <c r="H110" s="134">
        <f t="shared" si="54"/>
        <v>0</v>
      </c>
      <c r="I110" s="134">
        <f t="shared" si="55"/>
        <v>0</v>
      </c>
      <c r="J110" s="6">
        <f t="shared" si="56"/>
        <v>-6000000</v>
      </c>
      <c r="K110" s="6"/>
      <c r="L110" s="1"/>
      <c r="M110" s="1"/>
    </row>
    <row r="111" spans="1:18" ht="25.5" x14ac:dyDescent="0.25">
      <c r="A111" s="315" t="s">
        <v>86</v>
      </c>
      <c r="B111" s="707" t="s">
        <v>545</v>
      </c>
      <c r="C111" s="732">
        <v>6000000</v>
      </c>
      <c r="D111" s="279"/>
      <c r="E111" s="134"/>
      <c r="F111" s="134"/>
      <c r="G111" s="6"/>
      <c r="H111" s="134"/>
      <c r="I111" s="134"/>
      <c r="J111" s="6">
        <f t="shared" si="56"/>
        <v>-6000000</v>
      </c>
      <c r="K111" s="6"/>
      <c r="L111" s="1"/>
      <c r="M111" s="1"/>
    </row>
    <row r="112" spans="1:18" ht="25.5" x14ac:dyDescent="0.25">
      <c r="A112" s="315" t="s">
        <v>193</v>
      </c>
      <c r="B112" s="316" t="s">
        <v>372</v>
      </c>
      <c r="C112" s="732">
        <v>20000000</v>
      </c>
      <c r="D112" s="279">
        <f>C112/C104*100</f>
        <v>1.8661590713992462</v>
      </c>
      <c r="E112" s="134">
        <f t="shared" si="52"/>
        <v>0</v>
      </c>
      <c r="F112" s="134">
        <f t="shared" si="53"/>
        <v>0</v>
      </c>
      <c r="G112" s="6">
        <v>0</v>
      </c>
      <c r="H112" s="134">
        <f t="shared" si="54"/>
        <v>0</v>
      </c>
      <c r="I112" s="134">
        <f t="shared" si="55"/>
        <v>0</v>
      </c>
      <c r="J112" s="6">
        <f t="shared" si="56"/>
        <v>-20000000</v>
      </c>
      <c r="K112" s="6"/>
      <c r="L112" s="1"/>
      <c r="M112" s="716"/>
    </row>
    <row r="113" spans="1:13" x14ac:dyDescent="0.25">
      <c r="A113" s="315" t="s">
        <v>519</v>
      </c>
      <c r="B113" s="315" t="s">
        <v>513</v>
      </c>
      <c r="C113" s="248">
        <v>2292000</v>
      </c>
      <c r="D113" s="279">
        <f>C113/C104*100</f>
        <v>0.21386182958235359</v>
      </c>
      <c r="E113" s="134">
        <v>0</v>
      </c>
      <c r="F113" s="134">
        <f t="shared" si="53"/>
        <v>0</v>
      </c>
      <c r="G113" s="6">
        <v>0</v>
      </c>
      <c r="H113" s="134">
        <v>0</v>
      </c>
      <c r="I113" s="134">
        <f t="shared" si="55"/>
        <v>0</v>
      </c>
      <c r="J113" s="6">
        <f t="shared" si="56"/>
        <v>-2292000</v>
      </c>
      <c r="K113" s="6"/>
      <c r="L113" s="1"/>
      <c r="M113" s="1"/>
    </row>
    <row r="114" spans="1:13" x14ac:dyDescent="0.25">
      <c r="A114" s="228" t="s">
        <v>77</v>
      </c>
      <c r="B114" s="315" t="s">
        <v>103</v>
      </c>
      <c r="C114" s="247">
        <v>325910000</v>
      </c>
      <c r="D114" s="279">
        <f>C114/C104*100</f>
        <v>30.409995147986415</v>
      </c>
      <c r="E114" s="134">
        <f t="shared" si="52"/>
        <v>11.968027983185541</v>
      </c>
      <c r="F114" s="134">
        <f t="shared" si="53"/>
        <v>3.6394767289963794</v>
      </c>
      <c r="G114" s="6">
        <f>11800000+4700000+7015000+4320000+3500000+7670000</f>
        <v>39005000</v>
      </c>
      <c r="H114" s="134">
        <f t="shared" si="54"/>
        <v>11.968027983185541</v>
      </c>
      <c r="I114" s="134">
        <f t="shared" si="55"/>
        <v>3.6394767289963794</v>
      </c>
      <c r="J114" s="6">
        <f t="shared" si="56"/>
        <v>-286905000</v>
      </c>
      <c r="K114" s="6"/>
      <c r="L114" s="1"/>
      <c r="M114" s="1"/>
    </row>
    <row r="115" spans="1:13" x14ac:dyDescent="0.25">
      <c r="A115" s="228" t="s">
        <v>225</v>
      </c>
      <c r="B115" s="315" t="s">
        <v>217</v>
      </c>
      <c r="C115" s="247">
        <v>600000</v>
      </c>
      <c r="D115" s="279">
        <f>C115/C104*100</f>
        <v>5.5984772141977376E-2</v>
      </c>
      <c r="E115" s="134">
        <f t="shared" si="52"/>
        <v>100</v>
      </c>
      <c r="F115" s="134">
        <f t="shared" si="53"/>
        <v>5.5984772141977376E-2</v>
      </c>
      <c r="G115" s="6">
        <f>600000</f>
        <v>600000</v>
      </c>
      <c r="H115" s="134">
        <f t="shared" si="54"/>
        <v>100</v>
      </c>
      <c r="I115" s="134">
        <f t="shared" si="55"/>
        <v>5.5984772141977376E-2</v>
      </c>
      <c r="J115" s="6">
        <f t="shared" si="56"/>
        <v>0</v>
      </c>
      <c r="K115" s="6"/>
      <c r="L115" s="1"/>
      <c r="M115" s="1"/>
    </row>
    <row r="116" spans="1:13" x14ac:dyDescent="0.25">
      <c r="A116" s="228" t="s">
        <v>283</v>
      </c>
      <c r="B116" s="315" t="s">
        <v>514</v>
      </c>
      <c r="C116" s="247">
        <v>5000000</v>
      </c>
      <c r="D116" s="279">
        <f>C116/C104*100</f>
        <v>0.46653976784981155</v>
      </c>
      <c r="E116" s="134">
        <f t="shared" si="52"/>
        <v>100</v>
      </c>
      <c r="F116" s="134">
        <f t="shared" si="53"/>
        <v>0.46653976784981155</v>
      </c>
      <c r="G116" s="6">
        <f>5000000</f>
        <v>5000000</v>
      </c>
      <c r="H116" s="134">
        <f t="shared" si="54"/>
        <v>100</v>
      </c>
      <c r="I116" s="134">
        <f t="shared" si="55"/>
        <v>0.46653976784981155</v>
      </c>
      <c r="J116" s="6">
        <f t="shared" si="56"/>
        <v>0</v>
      </c>
      <c r="K116" s="6"/>
      <c r="L116" s="1"/>
      <c r="M116" s="1"/>
    </row>
    <row r="117" spans="1:13" x14ac:dyDescent="0.25">
      <c r="A117" s="228" t="s">
        <v>104</v>
      </c>
      <c r="B117" s="315" t="s">
        <v>105</v>
      </c>
      <c r="C117" s="249">
        <v>76700000</v>
      </c>
      <c r="D117" s="279">
        <f>C117/C104*100</f>
        <v>7.1567200388161085</v>
      </c>
      <c r="E117" s="134">
        <f t="shared" si="52"/>
        <v>0</v>
      </c>
      <c r="F117" s="134">
        <f t="shared" si="53"/>
        <v>0</v>
      </c>
      <c r="G117" s="6">
        <v>0</v>
      </c>
      <c r="H117" s="134">
        <f t="shared" si="54"/>
        <v>0</v>
      </c>
      <c r="I117" s="134">
        <f t="shared" si="55"/>
        <v>0</v>
      </c>
      <c r="J117" s="6">
        <f t="shared" si="56"/>
        <v>-76700000</v>
      </c>
      <c r="K117" s="6"/>
      <c r="L117" s="1"/>
      <c r="M117" s="1"/>
    </row>
    <row r="118" spans="1:13" x14ac:dyDescent="0.25">
      <c r="A118" s="228" t="s">
        <v>130</v>
      </c>
      <c r="B118" s="315" t="s">
        <v>392</v>
      </c>
      <c r="C118" s="249">
        <v>28200000</v>
      </c>
      <c r="D118" s="279"/>
      <c r="E118" s="134"/>
      <c r="F118" s="134"/>
      <c r="G118" s="6">
        <v>0</v>
      </c>
      <c r="H118" s="134"/>
      <c r="I118" s="134"/>
      <c r="J118" s="6">
        <f t="shared" si="56"/>
        <v>-28200000</v>
      </c>
      <c r="K118" s="6"/>
      <c r="L118" s="1"/>
      <c r="M118" s="1"/>
    </row>
    <row r="119" spans="1:13" ht="25.5" x14ac:dyDescent="0.25">
      <c r="A119" s="228" t="s">
        <v>106</v>
      </c>
      <c r="B119" s="316" t="s">
        <v>107</v>
      </c>
      <c r="C119" s="251">
        <v>139200000</v>
      </c>
      <c r="D119" s="279">
        <f>C119/C104*100</f>
        <v>12.988467136938752</v>
      </c>
      <c r="E119" s="134">
        <f t="shared" si="52"/>
        <v>5.9985632183908049</v>
      </c>
      <c r="F119" s="134">
        <f t="shared" si="53"/>
        <v>0.77912141230918519</v>
      </c>
      <c r="G119" s="6">
        <f>8350000</f>
        <v>8350000</v>
      </c>
      <c r="H119" s="134">
        <f t="shared" si="54"/>
        <v>5.9985632183908049</v>
      </c>
      <c r="I119" s="134">
        <f t="shared" si="55"/>
        <v>0.77912141230918519</v>
      </c>
      <c r="J119" s="6">
        <f t="shared" si="56"/>
        <v>-130850000</v>
      </c>
      <c r="K119" s="6"/>
      <c r="L119" s="1"/>
      <c r="M119" s="1"/>
    </row>
    <row r="120" spans="1:13" x14ac:dyDescent="0.25">
      <c r="A120" s="228" t="s">
        <v>227</v>
      </c>
      <c r="B120" s="315" t="s">
        <v>218</v>
      </c>
      <c r="C120" s="250">
        <v>219000000</v>
      </c>
      <c r="D120" s="279">
        <f>C120/C104*100</f>
        <v>20.434441831821744</v>
      </c>
      <c r="E120" s="134">
        <f t="shared" si="52"/>
        <v>0</v>
      </c>
      <c r="F120" s="134">
        <f t="shared" si="53"/>
        <v>0</v>
      </c>
      <c r="G120" s="6">
        <v>0</v>
      </c>
      <c r="H120" s="134">
        <f t="shared" si="54"/>
        <v>0</v>
      </c>
      <c r="I120" s="134">
        <f t="shared" si="55"/>
        <v>0</v>
      </c>
      <c r="J120" s="6">
        <f t="shared" si="56"/>
        <v>-219000000</v>
      </c>
      <c r="K120" s="6"/>
      <c r="L120" s="1"/>
      <c r="M120" s="1"/>
    </row>
    <row r="121" spans="1:13" x14ac:dyDescent="0.25">
      <c r="A121" s="315" t="s">
        <v>108</v>
      </c>
      <c r="B121" s="315" t="s">
        <v>109</v>
      </c>
      <c r="C121" s="250">
        <v>1200000</v>
      </c>
      <c r="D121" s="279">
        <f>C121/C104*100</f>
        <v>0.11196954428395475</v>
      </c>
      <c r="E121" s="134">
        <f t="shared" si="52"/>
        <v>0</v>
      </c>
      <c r="F121" s="134">
        <f t="shared" si="53"/>
        <v>0</v>
      </c>
      <c r="G121" s="6">
        <v>0</v>
      </c>
      <c r="H121" s="134">
        <f t="shared" si="54"/>
        <v>0</v>
      </c>
      <c r="I121" s="134">
        <f t="shared" si="55"/>
        <v>0</v>
      </c>
      <c r="J121" s="6">
        <f t="shared" si="56"/>
        <v>-1200000</v>
      </c>
      <c r="K121" s="6"/>
      <c r="L121" s="1"/>
      <c r="M121" s="1"/>
    </row>
    <row r="122" spans="1:13" x14ac:dyDescent="0.25">
      <c r="A122" s="83" t="s">
        <v>162</v>
      </c>
      <c r="B122" s="315" t="s">
        <v>515</v>
      </c>
      <c r="C122" s="250">
        <v>3000000</v>
      </c>
      <c r="D122" s="279">
        <f>C122/C104*100</f>
        <v>0.2799238607098869</v>
      </c>
      <c r="E122" s="134">
        <f t="shared" si="52"/>
        <v>0</v>
      </c>
      <c r="F122" s="134">
        <f t="shared" si="53"/>
        <v>0</v>
      </c>
      <c r="G122" s="6">
        <v>0</v>
      </c>
      <c r="H122" s="134">
        <f t="shared" si="54"/>
        <v>0</v>
      </c>
      <c r="I122" s="134">
        <f t="shared" si="55"/>
        <v>0</v>
      </c>
      <c r="J122" s="6">
        <f t="shared" si="56"/>
        <v>-3000000</v>
      </c>
      <c r="K122" s="6"/>
      <c r="L122" s="1"/>
      <c r="M122" s="1"/>
    </row>
    <row r="123" spans="1:13" ht="25.5" x14ac:dyDescent="0.25">
      <c r="A123" s="315" t="s">
        <v>116</v>
      </c>
      <c r="B123" s="316" t="s">
        <v>516</v>
      </c>
      <c r="C123" s="250">
        <v>7603000</v>
      </c>
      <c r="D123" s="279">
        <f>C123/C104*100</f>
        <v>0.70942037099242339</v>
      </c>
      <c r="E123" s="134">
        <f t="shared" si="52"/>
        <v>0</v>
      </c>
      <c r="F123" s="134">
        <f t="shared" si="53"/>
        <v>0</v>
      </c>
      <c r="G123" s="6">
        <v>0</v>
      </c>
      <c r="H123" s="134">
        <f t="shared" si="54"/>
        <v>0</v>
      </c>
      <c r="I123" s="134">
        <f t="shared" si="55"/>
        <v>0</v>
      </c>
      <c r="J123" s="6">
        <f t="shared" si="56"/>
        <v>-7603000</v>
      </c>
      <c r="K123" s="6"/>
      <c r="L123" s="1"/>
      <c r="M123" s="1"/>
    </row>
    <row r="124" spans="1:13" x14ac:dyDescent="0.25">
      <c r="A124" s="228" t="s">
        <v>65</v>
      </c>
      <c r="B124" s="315" t="s">
        <v>393</v>
      </c>
      <c r="C124" s="251">
        <v>43666000</v>
      </c>
      <c r="D124" s="279">
        <f>C124/C105*100</f>
        <v>4.0743851005859737</v>
      </c>
      <c r="E124" s="134">
        <f t="shared" si="52"/>
        <v>0</v>
      </c>
      <c r="F124" s="134">
        <f t="shared" si="53"/>
        <v>0</v>
      </c>
      <c r="G124" s="6">
        <v>0</v>
      </c>
      <c r="H124" s="134">
        <f t="shared" si="54"/>
        <v>0</v>
      </c>
      <c r="I124" s="134">
        <f t="shared" si="55"/>
        <v>0</v>
      </c>
      <c r="J124" s="6">
        <f t="shared" si="56"/>
        <v>-43666000</v>
      </c>
      <c r="K124" s="6"/>
    </row>
    <row r="125" spans="1:13" x14ac:dyDescent="0.25">
      <c r="A125" s="228" t="s">
        <v>66</v>
      </c>
      <c r="B125" s="315" t="s">
        <v>120</v>
      </c>
      <c r="C125" s="251">
        <v>38885000</v>
      </c>
      <c r="D125" s="279">
        <f>C125/C106*100</f>
        <v>73.340248962655593</v>
      </c>
      <c r="E125" s="134">
        <f t="shared" si="52"/>
        <v>0</v>
      </c>
      <c r="F125" s="134">
        <f t="shared" si="53"/>
        <v>0</v>
      </c>
      <c r="G125" s="6">
        <v>0</v>
      </c>
      <c r="H125" s="134">
        <v>0</v>
      </c>
      <c r="I125" s="134">
        <v>0</v>
      </c>
      <c r="J125" s="6">
        <f t="shared" si="56"/>
        <v>-38885000</v>
      </c>
      <c r="K125" s="6"/>
    </row>
    <row r="126" spans="1:13" x14ac:dyDescent="0.25">
      <c r="A126" s="315" t="s">
        <v>287</v>
      </c>
      <c r="B126" s="315" t="s">
        <v>191</v>
      </c>
      <c r="C126" s="250">
        <v>15000000</v>
      </c>
      <c r="D126" s="279">
        <f>C126/C104*100</f>
        <v>1.3996193035494346</v>
      </c>
      <c r="E126" s="134">
        <f t="shared" si="52"/>
        <v>0</v>
      </c>
      <c r="F126" s="134">
        <f t="shared" si="53"/>
        <v>0</v>
      </c>
      <c r="G126" s="6">
        <v>0</v>
      </c>
      <c r="H126" s="134">
        <f t="shared" si="54"/>
        <v>0</v>
      </c>
      <c r="I126" s="134">
        <f t="shared" si="55"/>
        <v>0</v>
      </c>
      <c r="J126" s="6">
        <f t="shared" si="56"/>
        <v>-15000000</v>
      </c>
      <c r="K126" s="6"/>
    </row>
    <row r="127" spans="1:13" x14ac:dyDescent="0.25">
      <c r="A127" s="803" t="s">
        <v>520</v>
      </c>
      <c r="B127" s="315" t="s">
        <v>517</v>
      </c>
      <c r="C127" s="250">
        <v>29750000</v>
      </c>
      <c r="D127" s="279"/>
      <c r="E127" s="134"/>
      <c r="F127" s="134"/>
      <c r="G127" s="6">
        <f>29750000</f>
        <v>29750000</v>
      </c>
      <c r="H127" s="134"/>
      <c r="I127" s="134"/>
      <c r="J127" s="6">
        <f t="shared" si="56"/>
        <v>0</v>
      </c>
      <c r="K127" s="6"/>
    </row>
    <row r="128" spans="1:13" x14ac:dyDescent="0.25">
      <c r="A128" s="1066" t="s">
        <v>95</v>
      </c>
      <c r="B128" s="1067"/>
      <c r="C128" s="1068"/>
      <c r="D128" s="277"/>
      <c r="E128" s="134"/>
      <c r="F128" s="134"/>
      <c r="G128" s="26">
        <f>SUM(G106:G127)</f>
        <v>88038600</v>
      </c>
      <c r="H128" s="134"/>
      <c r="I128" s="134"/>
      <c r="J128" s="734"/>
      <c r="K128" s="26">
        <v>0</v>
      </c>
    </row>
    <row r="129" spans="1:15" x14ac:dyDescent="0.25">
      <c r="A129" s="52"/>
      <c r="B129" s="8"/>
      <c r="C129" s="52"/>
      <c r="D129" s="27"/>
      <c r="E129" s="28"/>
      <c r="F129" s="23"/>
      <c r="G129" s="11"/>
      <c r="H129" s="23"/>
      <c r="I129" s="23"/>
      <c r="J129" s="9"/>
      <c r="K129" s="9"/>
    </row>
    <row r="130" spans="1:15" x14ac:dyDescent="0.25">
      <c r="A130" s="50"/>
      <c r="B130" s="5"/>
      <c r="C130" s="50"/>
      <c r="D130" s="9"/>
      <c r="E130" s="23"/>
      <c r="F130" s="23"/>
      <c r="G130" s="11"/>
      <c r="H130" s="23"/>
      <c r="I130" s="23"/>
      <c r="J130" s="9"/>
      <c r="K130" s="9"/>
    </row>
    <row r="131" spans="1:15" x14ac:dyDescent="0.25">
      <c r="A131" s="1069" t="s">
        <v>2</v>
      </c>
      <c r="B131" s="1069" t="s">
        <v>123</v>
      </c>
      <c r="C131" s="813"/>
      <c r="D131" s="1063" t="s">
        <v>5</v>
      </c>
      <c r="E131" s="1064"/>
      <c r="F131" s="1064"/>
      <c r="G131" s="1065" t="s">
        <v>6</v>
      </c>
      <c r="H131" s="1064"/>
      <c r="I131" s="1064"/>
      <c r="J131" s="1056" t="s">
        <v>7</v>
      </c>
      <c r="K131" s="1056" t="s">
        <v>8</v>
      </c>
    </row>
    <row r="132" spans="1:15" x14ac:dyDescent="0.25">
      <c r="A132" s="1070"/>
      <c r="B132" s="1070"/>
      <c r="C132" s="814" t="s">
        <v>124</v>
      </c>
      <c r="D132" s="89" t="s">
        <v>9</v>
      </c>
      <c r="E132" s="90" t="s">
        <v>10</v>
      </c>
      <c r="F132" s="90" t="s">
        <v>11</v>
      </c>
      <c r="G132" s="91" t="s">
        <v>12</v>
      </c>
      <c r="H132" s="90" t="s">
        <v>13</v>
      </c>
      <c r="I132" s="90" t="s">
        <v>11</v>
      </c>
      <c r="J132" s="1057"/>
      <c r="K132" s="1057"/>
      <c r="O132" s="713"/>
    </row>
    <row r="133" spans="1:15" x14ac:dyDescent="0.25">
      <c r="A133" s="1071"/>
      <c r="B133" s="1071"/>
      <c r="C133" s="814"/>
      <c r="D133" s="92" t="s">
        <v>14</v>
      </c>
      <c r="E133" s="93" t="s">
        <v>14</v>
      </c>
      <c r="F133" s="93" t="s">
        <v>14</v>
      </c>
      <c r="G133" s="94" t="s">
        <v>15</v>
      </c>
      <c r="H133" s="93" t="s">
        <v>14</v>
      </c>
      <c r="I133" s="93" t="s">
        <v>14</v>
      </c>
      <c r="J133" s="92" t="s">
        <v>15</v>
      </c>
      <c r="K133" s="1058"/>
    </row>
    <row r="134" spans="1:15" ht="25.5" x14ac:dyDescent="0.25">
      <c r="A134" s="139" t="s">
        <v>180</v>
      </c>
      <c r="B134" s="696" t="s">
        <v>379</v>
      </c>
      <c r="C134" s="58"/>
      <c r="D134" s="38"/>
      <c r="E134" s="134"/>
      <c r="F134" s="134"/>
      <c r="G134" s="135"/>
      <c r="H134" s="134"/>
      <c r="I134" s="134"/>
      <c r="J134" s="38"/>
      <c r="K134" s="10"/>
    </row>
    <row r="135" spans="1:15" ht="25.5" x14ac:dyDescent="0.25">
      <c r="A135" s="176" t="s">
        <v>181</v>
      </c>
      <c r="B135" s="697" t="s">
        <v>380</v>
      </c>
      <c r="C135" s="86">
        <f>SUM(C136:C148)</f>
        <v>185000000</v>
      </c>
      <c r="D135" s="179"/>
      <c r="E135" s="180"/>
      <c r="F135" s="180"/>
      <c r="G135" s="181"/>
      <c r="H135" s="180"/>
      <c r="I135" s="180"/>
      <c r="J135" s="179"/>
      <c r="K135" s="167"/>
    </row>
    <row r="136" spans="1:15" ht="25.5" x14ac:dyDescent="0.25">
      <c r="A136" s="170" t="s">
        <v>44</v>
      </c>
      <c r="B136" s="707" t="s">
        <v>384</v>
      </c>
      <c r="C136" s="58">
        <v>8580000</v>
      </c>
      <c r="D136" s="180">
        <f>C136/C135*100</f>
        <v>4.6378378378378375</v>
      </c>
      <c r="E136" s="134">
        <f t="shared" ref="E136:E143" si="57">G136/C136*100</f>
        <v>0</v>
      </c>
      <c r="F136" s="134">
        <f t="shared" ref="F136:F143" si="58">(D136*E136)/100</f>
        <v>0</v>
      </c>
      <c r="G136" s="181">
        <v>0</v>
      </c>
      <c r="H136" s="134">
        <f t="shared" ref="H136:H143" si="59">G136/C136*100</f>
        <v>0</v>
      </c>
      <c r="I136" s="134">
        <f t="shared" ref="I136:I143" si="60">(D136*H136)/100</f>
        <v>0</v>
      </c>
      <c r="J136" s="6">
        <f t="shared" ref="J136:J148" si="61">G136-C136</f>
        <v>-8580000</v>
      </c>
      <c r="K136" s="167"/>
    </row>
    <row r="137" spans="1:15" ht="25.5" x14ac:dyDescent="0.25">
      <c r="A137" s="170" t="s">
        <v>59</v>
      </c>
      <c r="B137" s="707" t="s">
        <v>197</v>
      </c>
      <c r="C137" s="58">
        <v>13390000</v>
      </c>
      <c r="D137" s="180">
        <f>C137/C135*100</f>
        <v>7.2378378378378381</v>
      </c>
      <c r="E137" s="134">
        <f t="shared" si="57"/>
        <v>0</v>
      </c>
      <c r="F137" s="134">
        <f t="shared" si="58"/>
        <v>0</v>
      </c>
      <c r="G137" s="181">
        <v>0</v>
      </c>
      <c r="H137" s="134">
        <f t="shared" si="59"/>
        <v>0</v>
      </c>
      <c r="I137" s="134">
        <f t="shared" si="60"/>
        <v>0</v>
      </c>
      <c r="J137" s="6">
        <f t="shared" si="61"/>
        <v>-13390000</v>
      </c>
      <c r="K137" s="167"/>
    </row>
    <row r="138" spans="1:15" x14ac:dyDescent="0.25">
      <c r="A138" s="170" t="s">
        <v>62</v>
      </c>
      <c r="B138" s="707" t="s">
        <v>334</v>
      </c>
      <c r="C138" s="58">
        <v>8840000</v>
      </c>
      <c r="D138" s="180">
        <v>2.34</v>
      </c>
      <c r="E138" s="134">
        <f t="shared" si="57"/>
        <v>0</v>
      </c>
      <c r="F138" s="134">
        <f t="shared" si="58"/>
        <v>0</v>
      </c>
      <c r="G138" s="181">
        <v>0</v>
      </c>
      <c r="H138" s="134">
        <f t="shared" si="59"/>
        <v>0</v>
      </c>
      <c r="I138" s="134">
        <f t="shared" si="60"/>
        <v>0</v>
      </c>
      <c r="J138" s="6">
        <f t="shared" si="61"/>
        <v>-8840000</v>
      </c>
      <c r="K138" s="167"/>
    </row>
    <row r="139" spans="1:15" ht="25.5" x14ac:dyDescent="0.25">
      <c r="A139" s="170" t="s">
        <v>193</v>
      </c>
      <c r="B139" s="316" t="s">
        <v>372</v>
      </c>
      <c r="C139" s="58">
        <v>6300000</v>
      </c>
      <c r="D139" s="180"/>
      <c r="E139" s="134"/>
      <c r="F139" s="134"/>
      <c r="G139" s="181">
        <f>6300000</f>
        <v>6300000</v>
      </c>
      <c r="H139" s="134"/>
      <c r="I139" s="134"/>
      <c r="J139" s="6">
        <f t="shared" si="61"/>
        <v>0</v>
      </c>
      <c r="K139" s="167"/>
    </row>
    <row r="140" spans="1:15" x14ac:dyDescent="0.25">
      <c r="A140" s="170" t="s">
        <v>148</v>
      </c>
      <c r="B140" s="133" t="s">
        <v>531</v>
      </c>
      <c r="C140" s="58">
        <v>10000000</v>
      </c>
      <c r="D140" s="180"/>
      <c r="E140" s="134"/>
      <c r="F140" s="134"/>
      <c r="G140" s="181">
        <v>0</v>
      </c>
      <c r="H140" s="134"/>
      <c r="I140" s="134"/>
      <c r="J140" s="6">
        <f t="shared" si="61"/>
        <v>-10000000</v>
      </c>
      <c r="K140" s="167"/>
    </row>
    <row r="141" spans="1:15" x14ac:dyDescent="0.25">
      <c r="A141" s="170" t="s">
        <v>77</v>
      </c>
      <c r="B141" s="170" t="s">
        <v>127</v>
      </c>
      <c r="C141" s="58">
        <v>67741000</v>
      </c>
      <c r="D141" s="180">
        <f>C141/C135*100</f>
        <v>36.616756756756757</v>
      </c>
      <c r="E141" s="134">
        <f t="shared" si="57"/>
        <v>33.871658227661236</v>
      </c>
      <c r="F141" s="134">
        <f t="shared" si="58"/>
        <v>12.402702702702703</v>
      </c>
      <c r="G141" s="181">
        <f>22945000</f>
        <v>22945000</v>
      </c>
      <c r="H141" s="134">
        <f t="shared" si="59"/>
        <v>33.871658227661236</v>
      </c>
      <c r="I141" s="134">
        <f t="shared" si="60"/>
        <v>12.402702702702703</v>
      </c>
      <c r="J141" s="6">
        <f t="shared" si="61"/>
        <v>-44796000</v>
      </c>
      <c r="K141" s="167"/>
    </row>
    <row r="142" spans="1:15" x14ac:dyDescent="0.25">
      <c r="A142" s="170" t="s">
        <v>183</v>
      </c>
      <c r="B142" s="170" t="s">
        <v>178</v>
      </c>
      <c r="C142" s="58">
        <v>12000000</v>
      </c>
      <c r="D142" s="180">
        <f>C142/C135*100</f>
        <v>6.4864864864864868</v>
      </c>
      <c r="E142" s="134">
        <f t="shared" si="57"/>
        <v>58.333333333333336</v>
      </c>
      <c r="F142" s="134">
        <f t="shared" si="58"/>
        <v>3.7837837837837842</v>
      </c>
      <c r="G142" s="181">
        <f>7000000</f>
        <v>7000000</v>
      </c>
      <c r="H142" s="134">
        <f t="shared" si="59"/>
        <v>58.333333333333336</v>
      </c>
      <c r="I142" s="134">
        <f t="shared" si="60"/>
        <v>3.7837837837837842</v>
      </c>
      <c r="J142" s="6">
        <f t="shared" si="61"/>
        <v>-5000000</v>
      </c>
      <c r="K142" s="167"/>
    </row>
    <row r="143" spans="1:15" x14ac:dyDescent="0.25">
      <c r="A143" s="170" t="s">
        <v>104</v>
      </c>
      <c r="B143" s="170" t="s">
        <v>182</v>
      </c>
      <c r="C143" s="58">
        <v>23200000</v>
      </c>
      <c r="D143" s="180">
        <f>C143/C135*100</f>
        <v>12.54054054054054</v>
      </c>
      <c r="E143" s="134">
        <f t="shared" si="57"/>
        <v>48.275862068965516</v>
      </c>
      <c r="F143" s="134">
        <f t="shared" si="58"/>
        <v>6.0540540540540544</v>
      </c>
      <c r="G143" s="181">
        <f>11200000</f>
        <v>11200000</v>
      </c>
      <c r="H143" s="134">
        <f t="shared" si="59"/>
        <v>48.275862068965516</v>
      </c>
      <c r="I143" s="134">
        <f t="shared" si="60"/>
        <v>6.0540540540540544</v>
      </c>
      <c r="J143" s="6">
        <f t="shared" si="61"/>
        <v>-12000000</v>
      </c>
      <c r="K143" s="167"/>
    </row>
    <row r="144" spans="1:15" ht="25.5" x14ac:dyDescent="0.25">
      <c r="A144" s="170" t="s">
        <v>106</v>
      </c>
      <c r="B144" s="316" t="s">
        <v>107</v>
      </c>
      <c r="C144" s="58">
        <v>22200000</v>
      </c>
      <c r="D144" s="180"/>
      <c r="E144" s="134"/>
      <c r="F144" s="134"/>
      <c r="G144" s="181">
        <v>0</v>
      </c>
      <c r="H144" s="134"/>
      <c r="I144" s="134"/>
      <c r="J144" s="6">
        <f t="shared" si="61"/>
        <v>-22200000</v>
      </c>
      <c r="K144" s="167"/>
    </row>
    <row r="145" spans="1:14" x14ac:dyDescent="0.25">
      <c r="A145" s="170" t="s">
        <v>162</v>
      </c>
      <c r="B145" s="315" t="s">
        <v>515</v>
      </c>
      <c r="C145" s="58">
        <v>2000000</v>
      </c>
      <c r="D145" s="180"/>
      <c r="E145" s="134"/>
      <c r="F145" s="134"/>
      <c r="G145" s="181"/>
      <c r="H145" s="134"/>
      <c r="I145" s="134"/>
      <c r="J145" s="6">
        <f t="shared" si="61"/>
        <v>-2000000</v>
      </c>
      <c r="K145" s="167"/>
    </row>
    <row r="146" spans="1:14" x14ac:dyDescent="0.25">
      <c r="A146" s="170" t="s">
        <v>521</v>
      </c>
      <c r="B146" s="316" t="s">
        <v>526</v>
      </c>
      <c r="C146" s="58">
        <v>1000000</v>
      </c>
      <c r="D146" s="180"/>
      <c r="E146" s="134"/>
      <c r="F146" s="134"/>
      <c r="G146" s="181"/>
      <c r="H146" s="134"/>
      <c r="I146" s="134"/>
      <c r="J146" s="6">
        <f t="shared" si="61"/>
        <v>-1000000</v>
      </c>
      <c r="K146" s="167"/>
    </row>
    <row r="147" spans="1:14" ht="25.5" x14ac:dyDescent="0.25">
      <c r="A147" s="747" t="s">
        <v>116</v>
      </c>
      <c r="B147" s="316" t="s">
        <v>420</v>
      </c>
      <c r="C147" s="58">
        <v>2749000</v>
      </c>
      <c r="D147" s="180"/>
      <c r="E147" s="134"/>
      <c r="F147" s="134"/>
      <c r="G147" s="181">
        <v>0</v>
      </c>
      <c r="H147" s="134"/>
      <c r="I147" s="134"/>
      <c r="J147" s="6">
        <f t="shared" si="61"/>
        <v>-2749000</v>
      </c>
      <c r="K147" s="167"/>
    </row>
    <row r="148" spans="1:14" x14ac:dyDescent="0.25">
      <c r="A148" s="747" t="s">
        <v>65</v>
      </c>
      <c r="B148" s="315" t="s">
        <v>393</v>
      </c>
      <c r="C148" s="58">
        <v>7000000</v>
      </c>
      <c r="D148" s="180"/>
      <c r="E148" s="134"/>
      <c r="F148" s="134"/>
      <c r="G148" s="181">
        <v>0</v>
      </c>
      <c r="H148" s="134"/>
      <c r="I148" s="134"/>
      <c r="J148" s="6">
        <f t="shared" si="61"/>
        <v>-7000000</v>
      </c>
      <c r="K148" s="167"/>
    </row>
    <row r="149" spans="1:14" x14ac:dyDescent="0.25">
      <c r="A149" s="1059" t="s">
        <v>128</v>
      </c>
      <c r="B149" s="1060"/>
      <c r="C149" s="60">
        <f>SUM(C136:C148)</f>
        <v>185000000</v>
      </c>
      <c r="D149" s="276">
        <f>SUM(D136:D146)</f>
        <v>69.859459459459458</v>
      </c>
      <c r="E149" s="134"/>
      <c r="F149" s="134"/>
      <c r="G149" s="837">
        <f>SUM(G136:G148)</f>
        <v>47445000</v>
      </c>
      <c r="H149" s="134"/>
      <c r="I149" s="134"/>
      <c r="J149" s="56">
        <v>0</v>
      </c>
      <c r="K149" s="3"/>
    </row>
    <row r="150" spans="1:14" x14ac:dyDescent="0.25">
      <c r="A150" s="54"/>
      <c r="B150" s="54"/>
      <c r="C150" s="59"/>
      <c r="D150" s="182"/>
      <c r="E150" s="183"/>
      <c r="F150" s="183"/>
      <c r="G150" s="184"/>
      <c r="H150" s="183"/>
      <c r="I150" s="183"/>
      <c r="J150" s="185"/>
      <c r="K150" s="37"/>
    </row>
    <row r="151" spans="1:14" ht="31.5" x14ac:dyDescent="0.25">
      <c r="A151" s="55"/>
      <c r="B151" s="46" t="s">
        <v>145</v>
      </c>
      <c r="C151" s="155"/>
      <c r="D151" s="44"/>
      <c r="E151" s="45"/>
      <c r="F151" s="45"/>
      <c r="G151" s="48"/>
      <c r="H151" s="45"/>
      <c r="I151" s="45"/>
      <c r="J151" s="44"/>
      <c r="K151" s="44"/>
      <c r="L151" s="1"/>
      <c r="M151" s="1"/>
      <c r="N151" s="1"/>
    </row>
    <row r="152" spans="1:14" x14ac:dyDescent="0.25">
      <c r="A152" s="1061" t="s">
        <v>2</v>
      </c>
      <c r="B152" s="1062" t="s">
        <v>176</v>
      </c>
      <c r="C152" s="1061" t="s">
        <v>4</v>
      </c>
      <c r="D152" s="1063" t="s">
        <v>5</v>
      </c>
      <c r="E152" s="1064"/>
      <c r="F152" s="1064"/>
      <c r="G152" s="1065" t="s">
        <v>6</v>
      </c>
      <c r="H152" s="1064"/>
      <c r="I152" s="1064"/>
      <c r="J152" s="1061" t="s">
        <v>7</v>
      </c>
      <c r="K152" s="281" t="s">
        <v>8</v>
      </c>
      <c r="L152" s="1"/>
      <c r="M152" s="1"/>
      <c r="N152" s="1"/>
    </row>
    <row r="153" spans="1:14" x14ac:dyDescent="0.25">
      <c r="A153" s="1061"/>
      <c r="B153" s="1062"/>
      <c r="C153" s="1061"/>
      <c r="D153" s="281" t="s">
        <v>9</v>
      </c>
      <c r="E153" s="292" t="s">
        <v>10</v>
      </c>
      <c r="F153" s="292" t="s">
        <v>11</v>
      </c>
      <c r="G153" s="293" t="s">
        <v>12</v>
      </c>
      <c r="H153" s="292" t="s">
        <v>13</v>
      </c>
      <c r="I153" s="292" t="s">
        <v>11</v>
      </c>
      <c r="J153" s="1056"/>
      <c r="K153" s="89"/>
    </row>
    <row r="154" spans="1:14" x14ac:dyDescent="0.25">
      <c r="A154" s="1061"/>
      <c r="B154" s="1062"/>
      <c r="C154" s="1061"/>
      <c r="D154" s="92" t="s">
        <v>14</v>
      </c>
      <c r="E154" s="93" t="s">
        <v>14</v>
      </c>
      <c r="F154" s="93" t="s">
        <v>14</v>
      </c>
      <c r="G154" s="94" t="s">
        <v>15</v>
      </c>
      <c r="H154" s="93" t="s">
        <v>14</v>
      </c>
      <c r="I154" s="93" t="s">
        <v>14</v>
      </c>
      <c r="J154" s="92" t="s">
        <v>15</v>
      </c>
      <c r="K154" s="92"/>
    </row>
    <row r="155" spans="1:14" x14ac:dyDescent="0.25">
      <c r="A155" s="79" t="s">
        <v>185</v>
      </c>
      <c r="B155" s="199" t="s">
        <v>146</v>
      </c>
      <c r="C155" s="24"/>
      <c r="D155" s="10"/>
      <c r="E155" s="34"/>
      <c r="F155" s="34"/>
      <c r="G155" s="6"/>
      <c r="H155" s="34"/>
      <c r="I155" s="34"/>
      <c r="J155" s="10"/>
      <c r="K155" s="10"/>
    </row>
    <row r="156" spans="1:14" x14ac:dyDescent="0.25">
      <c r="A156" s="125" t="s">
        <v>184</v>
      </c>
      <c r="B156" s="280" t="s">
        <v>147</v>
      </c>
      <c r="C156" s="252">
        <f>SUM(C157:C158)</f>
        <v>2975640000</v>
      </c>
      <c r="D156" s="10"/>
      <c r="E156" s="34"/>
      <c r="F156" s="34"/>
      <c r="G156" s="6"/>
      <c r="H156" s="34"/>
      <c r="I156" s="34"/>
      <c r="J156" s="10"/>
      <c r="K156" s="10"/>
    </row>
    <row r="157" spans="1:14" ht="25.5" x14ac:dyDescent="0.25">
      <c r="A157" s="154" t="s">
        <v>44</v>
      </c>
      <c r="B157" s="707" t="s">
        <v>384</v>
      </c>
      <c r="C157" s="253">
        <v>35640000</v>
      </c>
      <c r="D157" s="134">
        <f>C157/C156*100</f>
        <v>1.1977255313142718</v>
      </c>
      <c r="E157" s="134">
        <f t="shared" ref="E157:E158" si="62">G157/C157*100</f>
        <v>0</v>
      </c>
      <c r="F157" s="134">
        <f t="shared" ref="F157:F158" si="63">(D157*E157)/100</f>
        <v>0</v>
      </c>
      <c r="G157" s="181">
        <v>0</v>
      </c>
      <c r="H157" s="134">
        <f t="shared" ref="H157:H158" si="64">G157/C157*100</f>
        <v>0</v>
      </c>
      <c r="I157" s="134">
        <f t="shared" ref="I157:I158" si="65">(D157*H157)/100</f>
        <v>0</v>
      </c>
      <c r="J157" s="6">
        <f t="shared" ref="J157:J158" si="66">G157-C157</f>
        <v>-35640000</v>
      </c>
      <c r="K157" s="10"/>
    </row>
    <row r="158" spans="1:14" x14ac:dyDescent="0.25">
      <c r="A158" s="124" t="s">
        <v>148</v>
      </c>
      <c r="B158" s="133" t="s">
        <v>531</v>
      </c>
      <c r="C158" s="253">
        <v>2940000000</v>
      </c>
      <c r="D158" s="134">
        <f>C158/C156*100</f>
        <v>98.802274468685724</v>
      </c>
      <c r="E158" s="134">
        <f t="shared" si="62"/>
        <v>0</v>
      </c>
      <c r="F158" s="134">
        <f t="shared" si="63"/>
        <v>0</v>
      </c>
      <c r="G158" s="181">
        <v>0</v>
      </c>
      <c r="H158" s="134">
        <f t="shared" si="64"/>
        <v>0</v>
      </c>
      <c r="I158" s="134">
        <f t="shared" si="65"/>
        <v>0</v>
      </c>
      <c r="J158" s="6">
        <f t="shared" si="66"/>
        <v>-2940000000</v>
      </c>
      <c r="K158" s="10"/>
    </row>
    <row r="159" spans="1:14" x14ac:dyDescent="0.25">
      <c r="A159" s="70"/>
      <c r="B159" s="129" t="s">
        <v>95</v>
      </c>
      <c r="C159" s="807">
        <f>SUM(C157:C158)</f>
        <v>2975640000</v>
      </c>
      <c r="D159" s="271">
        <f>SUM(D157:D158)</f>
        <v>100</v>
      </c>
      <c r="E159" s="134"/>
      <c r="F159" s="134"/>
      <c r="G159" s="181">
        <v>0</v>
      </c>
      <c r="H159" s="134"/>
      <c r="I159" s="134"/>
      <c r="J159" s="734"/>
      <c r="K159" s="130"/>
    </row>
    <row r="160" spans="1:14" x14ac:dyDescent="0.25">
      <c r="A160" s="54"/>
      <c r="B160" s="2"/>
      <c r="C160" s="59"/>
      <c r="D160" s="29"/>
      <c r="E160" s="31"/>
      <c r="F160" s="31"/>
      <c r="G160" s="36"/>
      <c r="H160" s="31"/>
      <c r="I160" s="31"/>
      <c r="J160" s="15"/>
      <c r="K160" s="37"/>
    </row>
    <row r="161" spans="1:11" x14ac:dyDescent="0.25">
      <c r="A161" s="50"/>
      <c r="B161" s="5"/>
      <c r="C161" s="50"/>
      <c r="D161" s="29"/>
      <c r="E161" s="30"/>
      <c r="F161" s="31"/>
      <c r="G161" s="36"/>
      <c r="H161" s="32"/>
      <c r="I161" s="31"/>
      <c r="J161" s="36"/>
      <c r="K161" s="37"/>
    </row>
    <row r="162" spans="1:11" x14ac:dyDescent="0.25">
      <c r="A162" s="1061" t="s">
        <v>2</v>
      </c>
      <c r="B162" s="1062" t="s">
        <v>176</v>
      </c>
      <c r="C162" s="1061" t="s">
        <v>4</v>
      </c>
      <c r="D162" s="1063" t="s">
        <v>5</v>
      </c>
      <c r="E162" s="1064"/>
      <c r="F162" s="1064"/>
      <c r="G162" s="1065" t="s">
        <v>6</v>
      </c>
      <c r="H162" s="1064"/>
      <c r="I162" s="1064"/>
      <c r="J162" s="1061" t="s">
        <v>7</v>
      </c>
      <c r="K162" s="281" t="s">
        <v>8</v>
      </c>
    </row>
    <row r="163" spans="1:11" x14ac:dyDescent="0.25">
      <c r="A163" s="1061"/>
      <c r="B163" s="1062"/>
      <c r="C163" s="1061"/>
      <c r="D163" s="281" t="s">
        <v>9</v>
      </c>
      <c r="E163" s="292" t="s">
        <v>10</v>
      </c>
      <c r="F163" s="292" t="s">
        <v>11</v>
      </c>
      <c r="G163" s="293" t="s">
        <v>12</v>
      </c>
      <c r="H163" s="292" t="s">
        <v>13</v>
      </c>
      <c r="I163" s="292" t="s">
        <v>11</v>
      </c>
      <c r="J163" s="1056"/>
      <c r="K163" s="89"/>
    </row>
    <row r="164" spans="1:11" x14ac:dyDescent="0.25">
      <c r="A164" s="1061"/>
      <c r="B164" s="1062"/>
      <c r="C164" s="1061"/>
      <c r="D164" s="92" t="s">
        <v>14</v>
      </c>
      <c r="E164" s="93" t="s">
        <v>14</v>
      </c>
      <c r="F164" s="93" t="s">
        <v>14</v>
      </c>
      <c r="G164" s="94" t="s">
        <v>15</v>
      </c>
      <c r="H164" s="93" t="s">
        <v>14</v>
      </c>
      <c r="I164" s="93" t="s">
        <v>14</v>
      </c>
      <c r="J164" s="92" t="s">
        <v>15</v>
      </c>
      <c r="K164" s="92"/>
    </row>
    <row r="165" spans="1:11" x14ac:dyDescent="0.25">
      <c r="A165" s="79" t="s">
        <v>185</v>
      </c>
      <c r="B165" s="199" t="s">
        <v>146</v>
      </c>
      <c r="C165" s="153"/>
      <c r="D165" s="150"/>
      <c r="E165" s="151"/>
      <c r="F165" s="151"/>
      <c r="G165" s="152"/>
      <c r="H165" s="151"/>
      <c r="I165" s="151"/>
      <c r="J165" s="150"/>
      <c r="K165" s="150"/>
    </row>
    <row r="166" spans="1:11" x14ac:dyDescent="0.25">
      <c r="A166" s="125" t="s">
        <v>184</v>
      </c>
      <c r="B166" s="280" t="s">
        <v>150</v>
      </c>
      <c r="C166" s="254">
        <f>SUM(C167:C170)</f>
        <v>1803960912</v>
      </c>
      <c r="D166" s="10"/>
      <c r="E166" s="34"/>
      <c r="F166" s="34"/>
      <c r="G166" s="6"/>
      <c r="H166" s="34"/>
      <c r="I166" s="34"/>
      <c r="J166" s="10"/>
      <c r="K166" s="10"/>
    </row>
    <row r="167" spans="1:11" ht="25.5" x14ac:dyDescent="0.25">
      <c r="A167" s="38" t="s">
        <v>44</v>
      </c>
      <c r="B167" s="707" t="s">
        <v>384</v>
      </c>
      <c r="C167" s="255">
        <v>30310000</v>
      </c>
      <c r="D167" s="134">
        <f>C167/C166*100</f>
        <v>1.6801916160365231</v>
      </c>
      <c r="E167" s="134">
        <f t="shared" ref="E167:E169" si="67">G167/C167*100</f>
        <v>0</v>
      </c>
      <c r="F167" s="134">
        <f t="shared" ref="F167:F169" si="68">(D167*E167)/100</f>
        <v>0</v>
      </c>
      <c r="G167" s="181">
        <v>0</v>
      </c>
      <c r="H167" s="134">
        <f t="shared" ref="H167:H169" si="69">G167/C167*100</f>
        <v>0</v>
      </c>
      <c r="I167" s="134">
        <f t="shared" ref="I167:I169" si="70">(D167*H167)/100</f>
        <v>0</v>
      </c>
      <c r="J167" s="6">
        <f t="shared" ref="J167:J170" si="71">G167-C167</f>
        <v>-30310000</v>
      </c>
      <c r="K167" s="10"/>
    </row>
    <row r="168" spans="1:11" x14ac:dyDescent="0.25">
      <c r="A168" s="49" t="s">
        <v>148</v>
      </c>
      <c r="B168" s="133" t="s">
        <v>531</v>
      </c>
      <c r="C168" s="256">
        <v>1260590000</v>
      </c>
      <c r="D168" s="134">
        <f>C168/C166*100</f>
        <v>69.87900855359554</v>
      </c>
      <c r="E168" s="134">
        <f t="shared" si="67"/>
        <v>0</v>
      </c>
      <c r="F168" s="134">
        <f t="shared" si="68"/>
        <v>0</v>
      </c>
      <c r="G168" s="181">
        <v>0</v>
      </c>
      <c r="H168" s="134">
        <f t="shared" si="69"/>
        <v>0</v>
      </c>
      <c r="I168" s="134">
        <f t="shared" si="70"/>
        <v>0</v>
      </c>
      <c r="J168" s="6">
        <f t="shared" si="71"/>
        <v>-1260590000</v>
      </c>
      <c r="K168" s="10"/>
    </row>
    <row r="169" spans="1:11" s="84" customFormat="1" ht="25.5" x14ac:dyDescent="0.2">
      <c r="A169" s="49" t="s">
        <v>152</v>
      </c>
      <c r="B169" s="133" t="s">
        <v>153</v>
      </c>
      <c r="C169" s="256">
        <v>504000000</v>
      </c>
      <c r="D169" s="134">
        <f>C169/C166*100</f>
        <v>27.9385210980669</v>
      </c>
      <c r="E169" s="134">
        <f t="shared" si="67"/>
        <v>0</v>
      </c>
      <c r="F169" s="134">
        <f t="shared" si="68"/>
        <v>0</v>
      </c>
      <c r="G169" s="181">
        <v>0</v>
      </c>
      <c r="H169" s="134">
        <f t="shared" si="69"/>
        <v>0</v>
      </c>
      <c r="I169" s="134">
        <f t="shared" si="70"/>
        <v>0</v>
      </c>
      <c r="J169" s="6">
        <f t="shared" si="71"/>
        <v>-504000000</v>
      </c>
      <c r="K169" s="38"/>
    </row>
    <row r="170" spans="1:11" s="84" customFormat="1" x14ac:dyDescent="0.2">
      <c r="A170" s="749" t="s">
        <v>234</v>
      </c>
      <c r="B170" s="133" t="s">
        <v>522</v>
      </c>
      <c r="C170" s="256">
        <v>9060912</v>
      </c>
      <c r="D170" s="804"/>
      <c r="E170" s="134"/>
      <c r="F170" s="134"/>
      <c r="G170" s="181"/>
      <c r="H170" s="134"/>
      <c r="I170" s="134"/>
      <c r="J170" s="6">
        <f t="shared" si="71"/>
        <v>-9060912</v>
      </c>
      <c r="K170" s="805"/>
    </row>
    <row r="171" spans="1:11" x14ac:dyDescent="0.25">
      <c r="A171" s="812"/>
      <c r="B171" s="129" t="s">
        <v>154</v>
      </c>
      <c r="C171" s="826">
        <f>SUM(C167:C170)</f>
        <v>1803960912</v>
      </c>
      <c r="D171" s="272">
        <f>SUM(D167:D169)</f>
        <v>99.497721267698964</v>
      </c>
      <c r="E171" s="134"/>
      <c r="F171" s="134"/>
      <c r="G171" s="181">
        <v>0</v>
      </c>
      <c r="H171" s="134"/>
      <c r="I171" s="134"/>
      <c r="J171" s="734"/>
      <c r="K171" s="40"/>
    </row>
    <row r="172" spans="1:11" x14ac:dyDescent="0.25">
      <c r="A172" s="54"/>
      <c r="B172" s="54"/>
      <c r="C172" s="59"/>
      <c r="D172" s="182"/>
      <c r="E172" s="183"/>
      <c r="F172" s="183"/>
      <c r="G172" s="184"/>
      <c r="H172" s="183"/>
      <c r="I172" s="183"/>
      <c r="J172" s="185"/>
      <c r="K172" s="37"/>
    </row>
    <row r="173" spans="1:11" x14ac:dyDescent="0.25">
      <c r="A173" s="50"/>
      <c r="B173" s="5"/>
      <c r="C173" s="50"/>
      <c r="D173" s="9"/>
      <c r="E173" s="23"/>
      <c r="F173" s="23"/>
      <c r="G173" s="11"/>
      <c r="H173" s="23"/>
      <c r="I173" s="23"/>
      <c r="J173" s="9"/>
      <c r="K173" s="9"/>
    </row>
    <row r="174" spans="1:11" x14ac:dyDescent="0.25">
      <c r="A174" s="1072" t="s">
        <v>2</v>
      </c>
      <c r="B174" s="1072" t="s">
        <v>129</v>
      </c>
      <c r="C174" s="1072" t="s">
        <v>124</v>
      </c>
      <c r="D174" s="1075" t="s">
        <v>5</v>
      </c>
      <c r="E174" s="1076"/>
      <c r="F174" s="1076"/>
      <c r="G174" s="1077" t="s">
        <v>6</v>
      </c>
      <c r="H174" s="1076"/>
      <c r="I174" s="1076"/>
      <c r="J174" s="1078" t="s">
        <v>7</v>
      </c>
      <c r="K174" s="95" t="s">
        <v>8</v>
      </c>
    </row>
    <row r="175" spans="1:11" x14ac:dyDescent="0.25">
      <c r="A175" s="1073"/>
      <c r="B175" s="1073"/>
      <c r="C175" s="1073"/>
      <c r="D175" s="95" t="s">
        <v>9</v>
      </c>
      <c r="E175" s="294" t="s">
        <v>10</v>
      </c>
      <c r="F175" s="294" t="s">
        <v>11</v>
      </c>
      <c r="G175" s="96" t="s">
        <v>12</v>
      </c>
      <c r="H175" s="97" t="s">
        <v>13</v>
      </c>
      <c r="I175" s="97" t="s">
        <v>11</v>
      </c>
      <c r="J175" s="1079"/>
      <c r="K175" s="98"/>
    </row>
    <row r="176" spans="1:11" x14ac:dyDescent="0.25">
      <c r="A176" s="1074"/>
      <c r="B176" s="1074"/>
      <c r="C176" s="1074"/>
      <c r="D176" s="101" t="s">
        <v>14</v>
      </c>
      <c r="E176" s="100" t="s">
        <v>14</v>
      </c>
      <c r="F176" s="100" t="s">
        <v>14</v>
      </c>
      <c r="G176" s="99" t="s">
        <v>15</v>
      </c>
      <c r="H176" s="100" t="s">
        <v>14</v>
      </c>
      <c r="I176" s="100" t="s">
        <v>14</v>
      </c>
      <c r="J176" s="101" t="s">
        <v>15</v>
      </c>
      <c r="K176" s="101"/>
    </row>
    <row r="177" spans="1:15" ht="25.5" x14ac:dyDescent="0.25">
      <c r="A177" s="175" t="s">
        <v>180</v>
      </c>
      <c r="B177" s="696" t="s">
        <v>379</v>
      </c>
      <c r="C177" s="126"/>
      <c r="D177" s="121"/>
      <c r="E177" s="122"/>
      <c r="F177" s="122"/>
      <c r="G177" s="123"/>
      <c r="H177" s="122"/>
      <c r="I177" s="122"/>
      <c r="J177" s="121"/>
      <c r="K177" s="121"/>
    </row>
    <row r="178" spans="1:15" ht="25.5" x14ac:dyDescent="0.25">
      <c r="A178" s="176" t="s">
        <v>181</v>
      </c>
      <c r="B178" s="697" t="s">
        <v>380</v>
      </c>
      <c r="C178" s="86">
        <f>SUM(C179:C194)</f>
        <v>335000000</v>
      </c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0" t="s">
        <v>44</v>
      </c>
      <c r="B179" s="707" t="s">
        <v>384</v>
      </c>
      <c r="C179" s="58">
        <v>16310000</v>
      </c>
      <c r="D179" s="134">
        <f>C179/C178*100</f>
        <v>4.8686567164179104</v>
      </c>
      <c r="E179" s="134">
        <f t="shared" ref="E179:E191" si="72">G179/C179*100</f>
        <v>0</v>
      </c>
      <c r="F179" s="134">
        <f t="shared" ref="F179:F191" si="73">(D179*E179)/100</f>
        <v>0</v>
      </c>
      <c r="G179" s="181">
        <v>0</v>
      </c>
      <c r="H179" s="134">
        <f t="shared" ref="H179:H191" si="74">G179/C179*100</f>
        <v>0</v>
      </c>
      <c r="I179" s="134">
        <f t="shared" ref="I179:I191" si="75">(D179*H179)/100</f>
        <v>0</v>
      </c>
      <c r="J179" s="6">
        <f t="shared" ref="J179:J194" si="76">G179-C179</f>
        <v>-16310000</v>
      </c>
      <c r="K179" s="121"/>
    </row>
    <row r="180" spans="1:15" ht="25.5" x14ac:dyDescent="0.25">
      <c r="A180" s="170" t="s">
        <v>59</v>
      </c>
      <c r="B180" s="707" t="s">
        <v>197</v>
      </c>
      <c r="C180" s="58">
        <v>13836500</v>
      </c>
      <c r="D180" s="180">
        <f>C180/C178*100</f>
        <v>4.1302985074626868</v>
      </c>
      <c r="E180" s="134">
        <f t="shared" si="72"/>
        <v>50</v>
      </c>
      <c r="F180" s="134">
        <f t="shared" si="73"/>
        <v>2.0651492537313434</v>
      </c>
      <c r="G180" s="181">
        <f>6918250</f>
        <v>6918250</v>
      </c>
      <c r="H180" s="134">
        <f t="shared" si="74"/>
        <v>50</v>
      </c>
      <c r="I180" s="134">
        <f t="shared" si="75"/>
        <v>2.0651492537313434</v>
      </c>
      <c r="J180" s="6">
        <f t="shared" si="76"/>
        <v>-6918250</v>
      </c>
      <c r="K180" s="167"/>
    </row>
    <row r="181" spans="1:15" ht="25.5" x14ac:dyDescent="0.25">
      <c r="A181" s="170" t="s">
        <v>62</v>
      </c>
      <c r="B181" s="707" t="s">
        <v>385</v>
      </c>
      <c r="C181" s="58">
        <v>10871000</v>
      </c>
      <c r="D181" s="726">
        <f>C181/C178*100</f>
        <v>3.2450746268656716</v>
      </c>
      <c r="E181" s="134">
        <f t="shared" si="72"/>
        <v>0</v>
      </c>
      <c r="F181" s="134">
        <f t="shared" si="73"/>
        <v>0</v>
      </c>
      <c r="G181" s="181">
        <v>0</v>
      </c>
      <c r="H181" s="134">
        <f t="shared" si="74"/>
        <v>0</v>
      </c>
      <c r="I181" s="134">
        <f t="shared" si="75"/>
        <v>0</v>
      </c>
      <c r="J181" s="6">
        <f t="shared" si="76"/>
        <v>-10871000</v>
      </c>
      <c r="K181" s="167"/>
    </row>
    <row r="182" spans="1:15" x14ac:dyDescent="0.25">
      <c r="A182" s="170" t="s">
        <v>148</v>
      </c>
      <c r="B182" s="133" t="s">
        <v>531</v>
      </c>
      <c r="C182" s="58">
        <v>10000000</v>
      </c>
      <c r="D182" s="726"/>
      <c r="E182" s="134"/>
      <c r="F182" s="134"/>
      <c r="G182" s="181">
        <f>10000000</f>
        <v>10000000</v>
      </c>
      <c r="H182" s="134"/>
      <c r="I182" s="134"/>
      <c r="J182" s="6">
        <f t="shared" si="76"/>
        <v>0</v>
      </c>
      <c r="K182" s="167"/>
    </row>
    <row r="183" spans="1:15" x14ac:dyDescent="0.25">
      <c r="A183" s="170" t="s">
        <v>77</v>
      </c>
      <c r="B183" s="170" t="s">
        <v>127</v>
      </c>
      <c r="C183" s="58">
        <v>61010000</v>
      </c>
      <c r="D183" s="726">
        <f>C183/C178*100</f>
        <v>18.211940298507461</v>
      </c>
      <c r="E183" s="134">
        <f t="shared" si="72"/>
        <v>0</v>
      </c>
      <c r="F183" s="134">
        <f t="shared" si="73"/>
        <v>0</v>
      </c>
      <c r="G183" s="181">
        <v>0</v>
      </c>
      <c r="H183" s="134">
        <f t="shared" si="74"/>
        <v>0</v>
      </c>
      <c r="I183" s="134">
        <f t="shared" si="75"/>
        <v>0</v>
      </c>
      <c r="J183" s="6">
        <f t="shared" si="76"/>
        <v>-61010000</v>
      </c>
      <c r="K183" s="167"/>
      <c r="O183" s="190"/>
    </row>
    <row r="184" spans="1:15" x14ac:dyDescent="0.25">
      <c r="A184" s="170" t="s">
        <v>183</v>
      </c>
      <c r="B184" s="170" t="s">
        <v>178</v>
      </c>
      <c r="C184" s="58">
        <v>44625000</v>
      </c>
      <c r="D184" s="726">
        <f>C184/C178*100</f>
        <v>13.32089552238806</v>
      </c>
      <c r="E184" s="134">
        <f t="shared" si="72"/>
        <v>22.408963585434176</v>
      </c>
      <c r="F184" s="134">
        <f t="shared" si="73"/>
        <v>2.9850746268656718</v>
      </c>
      <c r="G184" s="181">
        <f>10000000</f>
        <v>10000000</v>
      </c>
      <c r="H184" s="134">
        <f t="shared" si="74"/>
        <v>22.408963585434176</v>
      </c>
      <c r="I184" s="134">
        <f t="shared" si="75"/>
        <v>2.9850746268656718</v>
      </c>
      <c r="J184" s="6">
        <f t="shared" si="76"/>
        <v>-34625000</v>
      </c>
      <c r="K184" s="167"/>
    </row>
    <row r="185" spans="1:15" x14ac:dyDescent="0.25">
      <c r="A185" s="170" t="s">
        <v>186</v>
      </c>
      <c r="B185" s="170" t="s">
        <v>179</v>
      </c>
      <c r="C185" s="58">
        <v>44100000</v>
      </c>
      <c r="D185" s="726">
        <f>C185/C178*100</f>
        <v>13.164179104477611</v>
      </c>
      <c r="E185" s="134">
        <f t="shared" si="72"/>
        <v>79.365079365079367</v>
      </c>
      <c r="F185" s="134">
        <f t="shared" si="73"/>
        <v>10.447761194029852</v>
      </c>
      <c r="G185" s="181">
        <f>35000000</f>
        <v>35000000</v>
      </c>
      <c r="H185" s="134">
        <f t="shared" si="74"/>
        <v>79.365079365079367</v>
      </c>
      <c r="I185" s="134">
        <f t="shared" si="75"/>
        <v>10.447761194029852</v>
      </c>
      <c r="J185" s="6">
        <f t="shared" si="76"/>
        <v>-9100000</v>
      </c>
      <c r="K185" s="167"/>
    </row>
    <row r="186" spans="1:15" ht="25.5" x14ac:dyDescent="0.25">
      <c r="A186" s="170" t="s">
        <v>106</v>
      </c>
      <c r="B186" s="316" t="s">
        <v>375</v>
      </c>
      <c r="C186" s="58">
        <v>44000000</v>
      </c>
      <c r="D186" s="726">
        <f>C186/C178*100</f>
        <v>13.134328358208954</v>
      </c>
      <c r="E186" s="134">
        <f t="shared" si="72"/>
        <v>0</v>
      </c>
      <c r="F186" s="134">
        <f t="shared" si="73"/>
        <v>0</v>
      </c>
      <c r="G186" s="181">
        <v>0</v>
      </c>
      <c r="H186" s="134">
        <f t="shared" si="74"/>
        <v>0</v>
      </c>
      <c r="I186" s="134">
        <f t="shared" si="75"/>
        <v>0</v>
      </c>
      <c r="J186" s="6">
        <f t="shared" si="76"/>
        <v>-44000000</v>
      </c>
      <c r="K186" s="167"/>
    </row>
    <row r="187" spans="1:15" x14ac:dyDescent="0.25">
      <c r="A187" s="170" t="s">
        <v>162</v>
      </c>
      <c r="B187" s="315" t="s">
        <v>515</v>
      </c>
      <c r="C187" s="58">
        <v>36000000</v>
      </c>
      <c r="D187" s="726"/>
      <c r="E187" s="134"/>
      <c r="F187" s="134"/>
      <c r="G187" s="181"/>
      <c r="H187" s="134"/>
      <c r="I187" s="134"/>
      <c r="J187" s="6">
        <f t="shared" si="76"/>
        <v>-36000000</v>
      </c>
      <c r="K187" s="167"/>
    </row>
    <row r="188" spans="1:15" x14ac:dyDescent="0.25">
      <c r="A188" s="170" t="s">
        <v>527</v>
      </c>
      <c r="B188" s="316" t="s">
        <v>523</v>
      </c>
      <c r="C188" s="58">
        <v>5625000</v>
      </c>
      <c r="D188" s="726"/>
      <c r="E188" s="134"/>
      <c r="F188" s="134"/>
      <c r="G188" s="181"/>
      <c r="H188" s="134"/>
      <c r="I188" s="134"/>
      <c r="J188" s="6">
        <f t="shared" si="76"/>
        <v>-5625000</v>
      </c>
      <c r="K188" s="167"/>
    </row>
    <row r="189" spans="1:15" x14ac:dyDescent="0.25">
      <c r="A189" s="170" t="s">
        <v>528</v>
      </c>
      <c r="B189" s="316" t="s">
        <v>524</v>
      </c>
      <c r="C189" s="58">
        <v>16000000</v>
      </c>
      <c r="D189" s="726"/>
      <c r="E189" s="134"/>
      <c r="F189" s="134"/>
      <c r="G189" s="181"/>
      <c r="H189" s="134"/>
      <c r="I189" s="134"/>
      <c r="J189" s="6">
        <f t="shared" si="76"/>
        <v>-16000000</v>
      </c>
      <c r="K189" s="167"/>
    </row>
    <row r="190" spans="1:15" x14ac:dyDescent="0.25">
      <c r="A190" s="170" t="s">
        <v>529</v>
      </c>
      <c r="B190" s="316" t="s">
        <v>525</v>
      </c>
      <c r="C190" s="58">
        <v>4000000</v>
      </c>
      <c r="D190" s="726"/>
      <c r="E190" s="134"/>
      <c r="F190" s="134"/>
      <c r="G190" s="181"/>
      <c r="H190" s="134"/>
      <c r="I190" s="134"/>
      <c r="J190" s="6">
        <f t="shared" si="76"/>
        <v>-4000000</v>
      </c>
      <c r="K190" s="167"/>
    </row>
    <row r="191" spans="1:15" ht="25.5" x14ac:dyDescent="0.25">
      <c r="A191" s="170" t="s">
        <v>116</v>
      </c>
      <c r="B191" s="133" t="s">
        <v>371</v>
      </c>
      <c r="C191" s="178">
        <v>1622500</v>
      </c>
      <c r="D191" s="726">
        <f>C191/C178*100</f>
        <v>0.4843283582089552</v>
      </c>
      <c r="E191" s="134">
        <f t="shared" si="72"/>
        <v>0</v>
      </c>
      <c r="F191" s="134">
        <f t="shared" si="73"/>
        <v>0</v>
      </c>
      <c r="G191" s="181">
        <v>0</v>
      </c>
      <c r="H191" s="134">
        <f t="shared" si="74"/>
        <v>0</v>
      </c>
      <c r="I191" s="134">
        <f t="shared" si="75"/>
        <v>0</v>
      </c>
      <c r="J191" s="6">
        <f t="shared" si="76"/>
        <v>-1622500</v>
      </c>
      <c r="K191" s="167"/>
      <c r="M191" s="190"/>
    </row>
    <row r="192" spans="1:15" x14ac:dyDescent="0.25">
      <c r="A192" s="748" t="s">
        <v>65</v>
      </c>
      <c r="B192" s="315" t="s">
        <v>393</v>
      </c>
      <c r="C192" s="178">
        <v>7000000</v>
      </c>
      <c r="D192" s="726"/>
      <c r="E192" s="134"/>
      <c r="F192" s="134"/>
      <c r="G192" s="181"/>
      <c r="H192" s="134"/>
      <c r="I192" s="134"/>
      <c r="J192" s="6">
        <f t="shared" si="76"/>
        <v>-7000000</v>
      </c>
      <c r="K192" s="167"/>
      <c r="M192" s="190"/>
    </row>
    <row r="193" spans="1:14" x14ac:dyDescent="0.25">
      <c r="A193" s="748" t="s">
        <v>287</v>
      </c>
      <c r="B193" s="315" t="s">
        <v>191</v>
      </c>
      <c r="C193" s="178">
        <v>15000000</v>
      </c>
      <c r="D193" s="726"/>
      <c r="E193" s="134"/>
      <c r="F193" s="134"/>
      <c r="G193" s="181"/>
      <c r="H193" s="134"/>
      <c r="I193" s="134"/>
      <c r="J193" s="6">
        <f t="shared" si="76"/>
        <v>-15000000</v>
      </c>
      <c r="K193" s="167"/>
      <c r="M193" s="190"/>
    </row>
    <row r="194" spans="1:14" x14ac:dyDescent="0.25">
      <c r="A194" s="748" t="s">
        <v>275</v>
      </c>
      <c r="B194" s="133" t="s">
        <v>421</v>
      </c>
      <c r="C194" s="178">
        <v>5000000</v>
      </c>
      <c r="D194" s="726"/>
      <c r="E194" s="134"/>
      <c r="F194" s="134"/>
      <c r="G194" s="181">
        <v>0</v>
      </c>
      <c r="H194" s="134"/>
      <c r="I194" s="134"/>
      <c r="J194" s="6">
        <f t="shared" si="76"/>
        <v>-5000000</v>
      </c>
      <c r="K194" s="167"/>
      <c r="M194" s="190"/>
    </row>
    <row r="195" spans="1:14" x14ac:dyDescent="0.25">
      <c r="A195" s="69"/>
      <c r="B195" s="67" t="s">
        <v>128</v>
      </c>
      <c r="C195" s="60">
        <f>SUM(C179:C194)</f>
        <v>335000000</v>
      </c>
      <c r="D195" s="275">
        <f>SUM(D179:D191)</f>
        <v>70.5597014925373</v>
      </c>
      <c r="E195" s="134"/>
      <c r="F195" s="134"/>
      <c r="G195" s="42">
        <f>SUM(G179:G194)</f>
        <v>61918250</v>
      </c>
      <c r="H195" s="134"/>
      <c r="I195" s="134"/>
      <c r="J195" s="734"/>
      <c r="K195" s="38"/>
    </row>
    <row r="196" spans="1:14" x14ac:dyDescent="0.25">
      <c r="A196" s="186"/>
      <c r="B196" s="2"/>
      <c r="C196" s="187"/>
      <c r="D196" s="188"/>
      <c r="E196" s="183"/>
      <c r="F196" s="183"/>
      <c r="G196" s="184"/>
      <c r="H196" s="183"/>
      <c r="I196" s="183"/>
      <c r="J196" s="189"/>
      <c r="K196" s="53"/>
    </row>
    <row r="197" spans="1:14" ht="31.5" x14ac:dyDescent="0.25">
      <c r="A197" s="55"/>
      <c r="B197" s="46" t="s">
        <v>145</v>
      </c>
      <c r="C197" s="155"/>
      <c r="D197" s="44"/>
      <c r="E197" s="45"/>
      <c r="F197" s="45"/>
      <c r="G197" s="48"/>
      <c r="H197" s="45"/>
      <c r="I197" s="45"/>
      <c r="J197" s="44"/>
      <c r="K197" s="44"/>
      <c r="L197" s="1"/>
      <c r="M197" s="1"/>
      <c r="N197" s="1"/>
    </row>
    <row r="198" spans="1:14" x14ac:dyDescent="0.25">
      <c r="A198" s="1082" t="s">
        <v>2</v>
      </c>
      <c r="B198" s="1081" t="s">
        <v>168</v>
      </c>
      <c r="C198" s="1082" t="s">
        <v>4</v>
      </c>
      <c r="D198" s="1083" t="s">
        <v>5</v>
      </c>
      <c r="E198" s="1084"/>
      <c r="F198" s="1084"/>
      <c r="G198" s="1085" t="s">
        <v>6</v>
      </c>
      <c r="H198" s="1084"/>
      <c r="I198" s="1084"/>
      <c r="J198" s="1082" t="s">
        <v>7</v>
      </c>
      <c r="K198" s="283" t="s">
        <v>8</v>
      </c>
    </row>
    <row r="199" spans="1:14" x14ac:dyDescent="0.25">
      <c r="A199" s="1082"/>
      <c r="B199" s="1081"/>
      <c r="C199" s="1082"/>
      <c r="D199" s="283" t="s">
        <v>9</v>
      </c>
      <c r="E199" s="297" t="s">
        <v>10</v>
      </c>
      <c r="F199" s="297" t="s">
        <v>11</v>
      </c>
      <c r="G199" s="298" t="s">
        <v>12</v>
      </c>
      <c r="H199" s="297" t="s">
        <v>13</v>
      </c>
      <c r="I199" s="297" t="s">
        <v>11</v>
      </c>
      <c r="J199" s="1086"/>
      <c r="K199" s="284"/>
    </row>
    <row r="200" spans="1:14" x14ac:dyDescent="0.25">
      <c r="A200" s="1082"/>
      <c r="B200" s="1081"/>
      <c r="C200" s="1082"/>
      <c r="D200" s="282" t="s">
        <v>14</v>
      </c>
      <c r="E200" s="295" t="s">
        <v>14</v>
      </c>
      <c r="F200" s="295" t="s">
        <v>14</v>
      </c>
      <c r="G200" s="296" t="s">
        <v>15</v>
      </c>
      <c r="H200" s="295" t="s">
        <v>14</v>
      </c>
      <c r="I200" s="295" t="s">
        <v>14</v>
      </c>
      <c r="J200" s="282" t="s">
        <v>15</v>
      </c>
      <c r="K200" s="282"/>
    </row>
    <row r="201" spans="1:14" x14ac:dyDescent="0.25">
      <c r="A201" s="79" t="s">
        <v>185</v>
      </c>
      <c r="B201" s="199" t="s">
        <v>146</v>
      </c>
      <c r="C201" s="145"/>
      <c r="D201" s="146"/>
      <c r="E201" s="147"/>
      <c r="F201" s="147"/>
      <c r="G201" s="148"/>
      <c r="H201" s="147"/>
      <c r="I201" s="147"/>
      <c r="J201" s="146"/>
      <c r="K201" s="146"/>
    </row>
    <row r="202" spans="1:14" x14ac:dyDescent="0.25">
      <c r="A202" s="125" t="s">
        <v>184</v>
      </c>
      <c r="B202" s="280" t="s">
        <v>147</v>
      </c>
      <c r="C202" s="257">
        <f>SUM(C203:C205)</f>
        <v>2695640000</v>
      </c>
      <c r="D202" s="146"/>
      <c r="E202" s="147"/>
      <c r="F202" s="147"/>
      <c r="G202" s="148"/>
      <c r="H202" s="147"/>
      <c r="I202" s="147"/>
      <c r="J202" s="146"/>
      <c r="K202" s="146"/>
    </row>
    <row r="203" spans="1:14" ht="25.5" x14ac:dyDescent="0.25">
      <c r="A203" s="317" t="s">
        <v>44</v>
      </c>
      <c r="B203" s="707" t="s">
        <v>384</v>
      </c>
      <c r="C203" s="258">
        <v>33350000</v>
      </c>
      <c r="D203" s="267">
        <f>C203/C202*100</f>
        <v>1.2371830066329332</v>
      </c>
      <c r="E203" s="134">
        <f t="shared" ref="E203:E205" si="77">G203/C203*100</f>
        <v>0</v>
      </c>
      <c r="F203" s="134">
        <f t="shared" ref="F203:F205" si="78">(D203*E203)/100</f>
        <v>0</v>
      </c>
      <c r="G203" s="181">
        <v>0</v>
      </c>
      <c r="H203" s="134">
        <f t="shared" ref="H203:H205" si="79">G203/C203*100</f>
        <v>0</v>
      </c>
      <c r="I203" s="134">
        <f t="shared" ref="I203:I205" si="80">(D203*H203)/100</f>
        <v>0</v>
      </c>
      <c r="J203" s="6">
        <f t="shared" ref="J203:J205" si="81">G203-C203</f>
        <v>-33350000</v>
      </c>
      <c r="K203" s="146"/>
    </row>
    <row r="204" spans="1:14" ht="25.5" x14ac:dyDescent="0.25">
      <c r="A204" s="319" t="s">
        <v>59</v>
      </c>
      <c r="B204" s="707" t="s">
        <v>197</v>
      </c>
      <c r="C204" s="258">
        <v>2290000</v>
      </c>
      <c r="D204" s="267"/>
      <c r="E204" s="134"/>
      <c r="F204" s="134"/>
      <c r="G204" s="181"/>
      <c r="H204" s="134"/>
      <c r="I204" s="134"/>
      <c r="J204" s="6">
        <f t="shared" si="81"/>
        <v>-2290000</v>
      </c>
      <c r="K204" s="146"/>
    </row>
    <row r="205" spans="1:14" x14ac:dyDescent="0.25">
      <c r="A205" s="49" t="s">
        <v>148</v>
      </c>
      <c r="B205" s="133" t="s">
        <v>531</v>
      </c>
      <c r="C205" s="259">
        <v>2660000000</v>
      </c>
      <c r="D205" s="267">
        <f>C205/C202*100</f>
        <v>98.67786499680966</v>
      </c>
      <c r="E205" s="134">
        <f t="shared" si="77"/>
        <v>0</v>
      </c>
      <c r="F205" s="134">
        <f t="shared" si="78"/>
        <v>0</v>
      </c>
      <c r="G205" s="181">
        <v>0</v>
      </c>
      <c r="H205" s="134">
        <f t="shared" si="79"/>
        <v>0</v>
      </c>
      <c r="I205" s="134">
        <f t="shared" si="80"/>
        <v>0</v>
      </c>
      <c r="J205" s="6">
        <f t="shared" si="81"/>
        <v>-2660000000</v>
      </c>
      <c r="K205" s="146"/>
    </row>
    <row r="206" spans="1:14" x14ac:dyDescent="0.25">
      <c r="A206" s="71"/>
      <c r="B206" s="76" t="s">
        <v>95</v>
      </c>
      <c r="C206" s="806">
        <f>SUM(C203:C205)</f>
        <v>2695640000</v>
      </c>
      <c r="D206" s="141">
        <f>SUM(D203:D205)</f>
        <v>99.915048003442593</v>
      </c>
      <c r="E206" s="134"/>
      <c r="F206" s="134"/>
      <c r="G206" s="181">
        <v>0</v>
      </c>
      <c r="H206" s="134"/>
      <c r="I206" s="134"/>
      <c r="J206" s="56">
        <v>0</v>
      </c>
      <c r="K206" s="143"/>
    </row>
    <row r="207" spans="1:14" x14ac:dyDescent="0.25">
      <c r="A207" s="186"/>
      <c r="B207" s="2"/>
      <c r="C207" s="187"/>
      <c r="D207" s="188"/>
      <c r="E207" s="183"/>
      <c r="F207" s="183"/>
      <c r="G207" s="184"/>
      <c r="H207" s="183"/>
      <c r="I207" s="183"/>
      <c r="J207" s="189"/>
      <c r="K207" s="53"/>
    </row>
    <row r="208" spans="1:14" x14ac:dyDescent="0.25">
      <c r="A208" s="1080" t="s">
        <v>2</v>
      </c>
      <c r="B208" s="1081" t="s">
        <v>168</v>
      </c>
      <c r="C208" s="1080" t="s">
        <v>4</v>
      </c>
      <c r="D208" s="1075" t="s">
        <v>5</v>
      </c>
      <c r="E208" s="1076"/>
      <c r="F208" s="1076"/>
      <c r="G208" s="1077" t="s">
        <v>6</v>
      </c>
      <c r="H208" s="1076"/>
      <c r="I208" s="1076"/>
      <c r="J208" s="1080" t="s">
        <v>7</v>
      </c>
      <c r="K208" s="95" t="s">
        <v>8</v>
      </c>
    </row>
    <row r="209" spans="1:11" x14ac:dyDescent="0.25">
      <c r="A209" s="1080"/>
      <c r="B209" s="1081"/>
      <c r="C209" s="1080"/>
      <c r="D209" s="95" t="s">
        <v>9</v>
      </c>
      <c r="E209" s="294" t="s">
        <v>10</v>
      </c>
      <c r="F209" s="294" t="s">
        <v>11</v>
      </c>
      <c r="G209" s="299" t="s">
        <v>12</v>
      </c>
      <c r="H209" s="294" t="s">
        <v>13</v>
      </c>
      <c r="I209" s="294" t="s">
        <v>11</v>
      </c>
      <c r="J209" s="1078"/>
      <c r="K209" s="98"/>
    </row>
    <row r="210" spans="1:11" x14ac:dyDescent="0.25">
      <c r="A210" s="1080"/>
      <c r="B210" s="1081"/>
      <c r="C210" s="1080"/>
      <c r="D210" s="101" t="s">
        <v>14</v>
      </c>
      <c r="E210" s="100" t="s">
        <v>14</v>
      </c>
      <c r="F210" s="100" t="s">
        <v>14</v>
      </c>
      <c r="G210" s="99" t="s">
        <v>15</v>
      </c>
      <c r="H210" s="100" t="s">
        <v>14</v>
      </c>
      <c r="I210" s="100" t="s">
        <v>14</v>
      </c>
      <c r="J210" s="101" t="s">
        <v>15</v>
      </c>
      <c r="K210" s="101"/>
    </row>
    <row r="211" spans="1:11" x14ac:dyDescent="0.25">
      <c r="A211" s="79" t="s">
        <v>185</v>
      </c>
      <c r="B211" s="199" t="s">
        <v>146</v>
      </c>
      <c r="C211" s="24"/>
      <c r="D211" s="10"/>
      <c r="E211" s="34"/>
      <c r="F211" s="34"/>
      <c r="G211" s="6"/>
      <c r="H211" s="34"/>
      <c r="I211" s="34"/>
      <c r="J211" s="10"/>
      <c r="K211" s="10"/>
    </row>
    <row r="212" spans="1:11" x14ac:dyDescent="0.25">
      <c r="A212" s="125" t="s">
        <v>187</v>
      </c>
      <c r="B212" s="280" t="s">
        <v>150</v>
      </c>
      <c r="C212" s="252">
        <f>SUM(C213:C217)</f>
        <v>1635097968</v>
      </c>
      <c r="D212" s="10"/>
      <c r="E212" s="34"/>
      <c r="F212" s="34"/>
      <c r="G212" s="6"/>
      <c r="H212" s="34"/>
      <c r="I212" s="34"/>
      <c r="J212" s="10"/>
      <c r="K212" s="10"/>
    </row>
    <row r="213" spans="1:11" ht="25.5" x14ac:dyDescent="0.25">
      <c r="A213" s="313" t="s">
        <v>44</v>
      </c>
      <c r="B213" s="707" t="s">
        <v>384</v>
      </c>
      <c r="C213" s="253">
        <v>29600000</v>
      </c>
      <c r="D213" s="134">
        <f>C213/C212*100</f>
        <v>1.8102890823236593</v>
      </c>
      <c r="E213" s="134">
        <f t="shared" ref="E213:E216" si="82">G213/C213*100</f>
        <v>0</v>
      </c>
      <c r="F213" s="134">
        <f t="shared" ref="F213:F216" si="83">(D213*E213)/100</f>
        <v>0</v>
      </c>
      <c r="G213" s="181">
        <v>0</v>
      </c>
      <c r="H213" s="134">
        <f t="shared" ref="H213:H216" si="84">G213/C213*100</f>
        <v>0</v>
      </c>
      <c r="I213" s="134">
        <f t="shared" ref="I213:I216" si="85">(D213*H213)/100</f>
        <v>0</v>
      </c>
      <c r="J213" s="6">
        <f t="shared" ref="J213:J217" si="86">G213-C213</f>
        <v>-29600000</v>
      </c>
      <c r="K213" s="10"/>
    </row>
    <row r="214" spans="1:11" ht="25.5" x14ac:dyDescent="0.25">
      <c r="A214" s="319" t="s">
        <v>59</v>
      </c>
      <c r="B214" s="707" t="s">
        <v>197</v>
      </c>
      <c r="C214" s="253">
        <v>1300000</v>
      </c>
      <c r="D214" s="134"/>
      <c r="E214" s="134"/>
      <c r="F214" s="134"/>
      <c r="G214" s="181"/>
      <c r="H214" s="134"/>
      <c r="I214" s="134"/>
      <c r="J214" s="6">
        <f t="shared" si="86"/>
        <v>-1300000</v>
      </c>
      <c r="K214" s="10"/>
    </row>
    <row r="215" spans="1:11" x14ac:dyDescent="0.25">
      <c r="A215" s="49" t="s">
        <v>148</v>
      </c>
      <c r="B215" s="133" t="s">
        <v>531</v>
      </c>
      <c r="C215" s="256">
        <v>1140000000</v>
      </c>
      <c r="D215" s="134">
        <f>C215/C212*100</f>
        <v>69.720593035438228</v>
      </c>
      <c r="E215" s="134">
        <f t="shared" si="82"/>
        <v>0</v>
      </c>
      <c r="F215" s="134">
        <f t="shared" si="83"/>
        <v>0</v>
      </c>
      <c r="G215" s="181">
        <v>0</v>
      </c>
      <c r="H215" s="134">
        <f t="shared" si="84"/>
        <v>0</v>
      </c>
      <c r="I215" s="134">
        <f t="shared" si="85"/>
        <v>0</v>
      </c>
      <c r="J215" s="6">
        <f t="shared" si="86"/>
        <v>-1140000000</v>
      </c>
      <c r="K215" s="10"/>
    </row>
    <row r="216" spans="1:11" s="84" customFormat="1" ht="25.5" x14ac:dyDescent="0.2">
      <c r="A216" s="49" t="s">
        <v>152</v>
      </c>
      <c r="B216" s="133" t="s">
        <v>153</v>
      </c>
      <c r="C216" s="256">
        <v>456000000</v>
      </c>
      <c r="D216" s="134">
        <f>C216/C212*100</f>
        <v>27.888237214175295</v>
      </c>
      <c r="E216" s="134">
        <f t="shared" si="82"/>
        <v>0</v>
      </c>
      <c r="F216" s="134">
        <f t="shared" si="83"/>
        <v>0</v>
      </c>
      <c r="G216" s="181">
        <v>0</v>
      </c>
      <c r="H216" s="134">
        <f t="shared" si="84"/>
        <v>0</v>
      </c>
      <c r="I216" s="134">
        <f t="shared" si="85"/>
        <v>0</v>
      </c>
      <c r="J216" s="6">
        <f t="shared" si="86"/>
        <v>-456000000</v>
      </c>
      <c r="K216" s="38"/>
    </row>
    <row r="217" spans="1:11" s="84" customFormat="1" x14ac:dyDescent="0.2">
      <c r="A217" s="749" t="s">
        <v>234</v>
      </c>
      <c r="B217" s="133" t="s">
        <v>522</v>
      </c>
      <c r="C217" s="256">
        <v>8197968</v>
      </c>
      <c r="D217" s="804"/>
      <c r="E217" s="134"/>
      <c r="F217" s="134"/>
      <c r="G217" s="181"/>
      <c r="H217" s="134"/>
      <c r="I217" s="134"/>
      <c r="J217" s="6">
        <f t="shared" si="86"/>
        <v>-8197968</v>
      </c>
      <c r="K217" s="805"/>
    </row>
    <row r="218" spans="1:11" x14ac:dyDescent="0.25">
      <c r="A218" s="70"/>
      <c r="B218" s="129" t="s">
        <v>95</v>
      </c>
      <c r="C218" s="807">
        <f>SUM(C213:C217)</f>
        <v>1635097968</v>
      </c>
      <c r="D218" s="271">
        <f>SUM(D213:D216)</f>
        <v>99.419119331937182</v>
      </c>
      <c r="E218" s="134"/>
      <c r="F218" s="134"/>
      <c r="G218" s="181">
        <v>0</v>
      </c>
      <c r="H218" s="134"/>
      <c r="I218" s="134"/>
      <c r="J218" s="56">
        <v>0</v>
      </c>
      <c r="K218" s="130"/>
    </row>
    <row r="219" spans="1:11" x14ac:dyDescent="0.25">
      <c r="A219" s="186"/>
      <c r="B219" s="2"/>
      <c r="C219" s="187"/>
      <c r="D219" s="188"/>
      <c r="E219" s="183"/>
      <c r="F219" s="183"/>
      <c r="G219" s="184"/>
      <c r="H219" s="183"/>
      <c r="I219" s="183"/>
      <c r="J219" s="189"/>
      <c r="K219" s="53"/>
    </row>
    <row r="220" spans="1:11" x14ac:dyDescent="0.25">
      <c r="A220" s="50"/>
      <c r="B220" s="5"/>
      <c r="C220" s="50"/>
      <c r="D220" s="9"/>
      <c r="E220" s="23"/>
      <c r="F220" s="23"/>
      <c r="G220" s="11"/>
      <c r="H220" s="23"/>
      <c r="I220" s="23"/>
      <c r="J220" s="9"/>
      <c r="K220" s="9"/>
    </row>
    <row r="221" spans="1:11" x14ac:dyDescent="0.25">
      <c r="A221" s="1088" t="s">
        <v>2</v>
      </c>
      <c r="B221" s="1094" t="s">
        <v>133</v>
      </c>
      <c r="C221" s="815"/>
      <c r="D221" s="1097" t="s">
        <v>5</v>
      </c>
      <c r="E221" s="1098"/>
      <c r="F221" s="1099"/>
      <c r="G221" s="1100" t="s">
        <v>6</v>
      </c>
      <c r="H221" s="1101"/>
      <c r="I221" s="1102"/>
      <c r="J221" s="1088" t="s">
        <v>7</v>
      </c>
      <c r="K221" s="108" t="s">
        <v>8</v>
      </c>
    </row>
    <row r="222" spans="1:11" x14ac:dyDescent="0.25">
      <c r="A222" s="1092"/>
      <c r="B222" s="1095"/>
      <c r="C222" s="816" t="s">
        <v>4</v>
      </c>
      <c r="D222" s="109" t="s">
        <v>9</v>
      </c>
      <c r="E222" s="110" t="s">
        <v>10</v>
      </c>
      <c r="F222" s="110" t="s">
        <v>11</v>
      </c>
      <c r="G222" s="111" t="s">
        <v>12</v>
      </c>
      <c r="H222" s="110" t="s">
        <v>13</v>
      </c>
      <c r="I222" s="110" t="s">
        <v>11</v>
      </c>
      <c r="J222" s="1092"/>
      <c r="K222" s="109"/>
    </row>
    <row r="223" spans="1:11" x14ac:dyDescent="0.25">
      <c r="A223" s="1093"/>
      <c r="B223" s="1096"/>
      <c r="C223" s="817"/>
      <c r="D223" s="112" t="s">
        <v>14</v>
      </c>
      <c r="E223" s="113" t="s">
        <v>14</v>
      </c>
      <c r="F223" s="113" t="s">
        <v>14</v>
      </c>
      <c r="G223" s="114" t="s">
        <v>15</v>
      </c>
      <c r="H223" s="113" t="s">
        <v>14</v>
      </c>
      <c r="I223" s="113" t="s">
        <v>14</v>
      </c>
      <c r="J223" s="112" t="s">
        <v>15</v>
      </c>
      <c r="K223" s="112"/>
    </row>
    <row r="224" spans="1:11" ht="25.5" x14ac:dyDescent="0.25">
      <c r="A224" s="79" t="s">
        <v>180</v>
      </c>
      <c r="B224" s="696" t="s">
        <v>379</v>
      </c>
      <c r="C224" s="291"/>
      <c r="D224" s="10"/>
      <c r="E224" s="34"/>
      <c r="F224" s="34"/>
      <c r="G224" s="6"/>
      <c r="H224" s="34"/>
      <c r="I224" s="34"/>
      <c r="J224" s="10"/>
      <c r="K224" s="10"/>
    </row>
    <row r="225" spans="1:14" ht="25.5" x14ac:dyDescent="0.25">
      <c r="A225" s="125" t="s">
        <v>181</v>
      </c>
      <c r="B225" s="697" t="s">
        <v>380</v>
      </c>
      <c r="C225" s="87">
        <f>SUM(C226:C237)</f>
        <v>185000000</v>
      </c>
      <c r="D225" s="10"/>
      <c r="E225" s="34"/>
      <c r="F225" s="34"/>
      <c r="G225" s="6"/>
      <c r="H225" s="34"/>
      <c r="I225" s="34"/>
      <c r="J225" s="10"/>
      <c r="K225" s="10"/>
    </row>
    <row r="226" spans="1:14" ht="25.5" x14ac:dyDescent="0.25">
      <c r="A226" s="49" t="s">
        <v>44</v>
      </c>
      <c r="B226" s="707" t="s">
        <v>384</v>
      </c>
      <c r="C226" s="172">
        <v>8580000</v>
      </c>
      <c r="D226" s="134">
        <f>C226/C225*100</f>
        <v>4.6378378378378375</v>
      </c>
      <c r="E226" s="134">
        <f t="shared" ref="E226:E235" si="87">G226/C226*100</f>
        <v>0</v>
      </c>
      <c r="F226" s="134">
        <f t="shared" ref="F226:F235" si="88">(D226*E226)/100</f>
        <v>0</v>
      </c>
      <c r="G226" s="181">
        <v>0</v>
      </c>
      <c r="H226" s="134">
        <f t="shared" ref="H226:H235" si="89">G226/C226*100</f>
        <v>0</v>
      </c>
      <c r="I226" s="134">
        <f t="shared" ref="I226:I235" si="90">(D226*H226)/100</f>
        <v>0</v>
      </c>
      <c r="J226" s="6">
        <f t="shared" ref="J226:J237" si="91">G226-C226</f>
        <v>-8580000</v>
      </c>
      <c r="K226" s="10"/>
    </row>
    <row r="227" spans="1:14" ht="25.5" x14ac:dyDescent="0.25">
      <c r="A227" s="49" t="s">
        <v>59</v>
      </c>
      <c r="B227" s="707" t="s">
        <v>197</v>
      </c>
      <c r="C227" s="256">
        <v>9515700</v>
      </c>
      <c r="D227" s="134">
        <f>C227/C225*100</f>
        <v>5.1436216216216222</v>
      </c>
      <c r="E227" s="134">
        <f t="shared" si="87"/>
        <v>0</v>
      </c>
      <c r="F227" s="134">
        <f t="shared" si="88"/>
        <v>0</v>
      </c>
      <c r="G227" s="181">
        <v>0</v>
      </c>
      <c r="H227" s="134">
        <f t="shared" si="89"/>
        <v>0</v>
      </c>
      <c r="I227" s="134">
        <f t="shared" si="90"/>
        <v>0</v>
      </c>
      <c r="J227" s="6">
        <f t="shared" si="91"/>
        <v>-9515700</v>
      </c>
      <c r="K227" s="10"/>
    </row>
    <row r="228" spans="1:14" x14ac:dyDescent="0.25">
      <c r="A228" s="49" t="s">
        <v>62</v>
      </c>
      <c r="B228" s="707" t="s">
        <v>334</v>
      </c>
      <c r="C228" s="256">
        <v>4450000</v>
      </c>
      <c r="D228" s="134">
        <f>C228/C225*100</f>
        <v>2.4054054054054053</v>
      </c>
      <c r="E228" s="134">
        <f t="shared" si="87"/>
        <v>0</v>
      </c>
      <c r="F228" s="134">
        <f t="shared" si="88"/>
        <v>0</v>
      </c>
      <c r="G228" s="181">
        <v>0</v>
      </c>
      <c r="H228" s="134">
        <f t="shared" si="89"/>
        <v>0</v>
      </c>
      <c r="I228" s="134">
        <f t="shared" si="90"/>
        <v>0</v>
      </c>
      <c r="J228" s="6">
        <f t="shared" si="91"/>
        <v>-4450000</v>
      </c>
      <c r="K228" s="10"/>
    </row>
    <row r="229" spans="1:14" ht="25.5" x14ac:dyDescent="0.25">
      <c r="A229" s="49"/>
      <c r="B229" s="707" t="s">
        <v>532</v>
      </c>
      <c r="C229" s="256">
        <v>3500000</v>
      </c>
      <c r="D229" s="134"/>
      <c r="E229" s="134"/>
      <c r="F229" s="134"/>
      <c r="G229" s="181"/>
      <c r="H229" s="134"/>
      <c r="I229" s="134"/>
      <c r="J229" s="6">
        <f t="shared" si="91"/>
        <v>-3500000</v>
      </c>
      <c r="K229" s="10"/>
    </row>
    <row r="230" spans="1:14" x14ac:dyDescent="0.25">
      <c r="A230" s="49" t="s">
        <v>77</v>
      </c>
      <c r="B230" s="49" t="s">
        <v>135</v>
      </c>
      <c r="C230" s="174">
        <v>73080000</v>
      </c>
      <c r="D230" s="134">
        <f>C230/C225*100</f>
        <v>39.502702702702699</v>
      </c>
      <c r="E230" s="134">
        <f t="shared" si="87"/>
        <v>0</v>
      </c>
      <c r="F230" s="134">
        <f t="shared" si="88"/>
        <v>0</v>
      </c>
      <c r="G230" s="181">
        <v>0</v>
      </c>
      <c r="H230" s="134">
        <f t="shared" si="89"/>
        <v>0</v>
      </c>
      <c r="I230" s="134">
        <f t="shared" si="90"/>
        <v>0</v>
      </c>
      <c r="J230" s="6">
        <f t="shared" si="91"/>
        <v>-73080000</v>
      </c>
      <c r="K230" s="10"/>
    </row>
    <row r="231" spans="1:14" x14ac:dyDescent="0.25">
      <c r="A231" s="49"/>
      <c r="B231" s="170" t="s">
        <v>178</v>
      </c>
      <c r="C231" s="174">
        <v>5125000</v>
      </c>
      <c r="D231" s="134"/>
      <c r="E231" s="134"/>
      <c r="F231" s="134"/>
      <c r="G231" s="181"/>
      <c r="H231" s="134"/>
      <c r="I231" s="134"/>
      <c r="J231" s="6">
        <f t="shared" si="91"/>
        <v>-5125000</v>
      </c>
      <c r="K231" s="10"/>
    </row>
    <row r="232" spans="1:14" x14ac:dyDescent="0.25">
      <c r="A232" s="49" t="s">
        <v>104</v>
      </c>
      <c r="B232" s="170" t="s">
        <v>179</v>
      </c>
      <c r="C232" s="172">
        <v>33400000</v>
      </c>
      <c r="D232" s="134">
        <f>C232/C225*100</f>
        <v>18.054054054054053</v>
      </c>
      <c r="E232" s="134">
        <f t="shared" si="87"/>
        <v>0</v>
      </c>
      <c r="F232" s="134">
        <f t="shared" si="88"/>
        <v>0</v>
      </c>
      <c r="G232" s="181">
        <v>0</v>
      </c>
      <c r="H232" s="134">
        <f t="shared" si="89"/>
        <v>0</v>
      </c>
      <c r="I232" s="134">
        <f t="shared" si="90"/>
        <v>0</v>
      </c>
      <c r="J232" s="6">
        <f t="shared" si="91"/>
        <v>-33400000</v>
      </c>
      <c r="K232" s="10"/>
    </row>
    <row r="233" spans="1:14" ht="25.5" x14ac:dyDescent="0.25">
      <c r="A233" s="49" t="s">
        <v>106</v>
      </c>
      <c r="B233" s="316" t="s">
        <v>375</v>
      </c>
      <c r="C233" s="178">
        <v>16500000</v>
      </c>
      <c r="D233" s="134">
        <f>C233/C225*100</f>
        <v>8.9189189189189193</v>
      </c>
      <c r="E233" s="134">
        <f t="shared" si="87"/>
        <v>0</v>
      </c>
      <c r="F233" s="134">
        <f t="shared" si="88"/>
        <v>0</v>
      </c>
      <c r="G233" s="181">
        <v>0</v>
      </c>
      <c r="H233" s="134">
        <f t="shared" si="89"/>
        <v>0</v>
      </c>
      <c r="I233" s="134">
        <f t="shared" si="90"/>
        <v>0</v>
      </c>
      <c r="J233" s="6">
        <f t="shared" si="91"/>
        <v>-16500000</v>
      </c>
      <c r="K233" s="10"/>
    </row>
    <row r="234" spans="1:14" x14ac:dyDescent="0.25">
      <c r="A234" s="49"/>
      <c r="B234" s="316" t="s">
        <v>533</v>
      </c>
      <c r="C234" s="178">
        <v>2500000</v>
      </c>
      <c r="D234" s="134"/>
      <c r="E234" s="134"/>
      <c r="F234" s="134"/>
      <c r="G234" s="181"/>
      <c r="H234" s="134"/>
      <c r="I234" s="134"/>
      <c r="J234" s="6">
        <f t="shared" si="91"/>
        <v>-2500000</v>
      </c>
      <c r="K234" s="10"/>
    </row>
    <row r="235" spans="1:14" ht="25.5" x14ac:dyDescent="0.25">
      <c r="A235" s="49" t="s">
        <v>116</v>
      </c>
      <c r="B235" s="133" t="s">
        <v>371</v>
      </c>
      <c r="C235" s="178">
        <v>4824300</v>
      </c>
      <c r="D235" s="134">
        <f>C235/C225*100</f>
        <v>2.6077297297297299</v>
      </c>
      <c r="E235" s="134">
        <f t="shared" si="87"/>
        <v>0</v>
      </c>
      <c r="F235" s="134">
        <f t="shared" si="88"/>
        <v>0</v>
      </c>
      <c r="G235" s="181">
        <v>0</v>
      </c>
      <c r="H235" s="134">
        <f t="shared" si="89"/>
        <v>0</v>
      </c>
      <c r="I235" s="134">
        <f t="shared" si="90"/>
        <v>0</v>
      </c>
      <c r="J235" s="6">
        <f t="shared" si="91"/>
        <v>-4824300</v>
      </c>
      <c r="K235" s="10"/>
    </row>
    <row r="236" spans="1:14" x14ac:dyDescent="0.25">
      <c r="A236" s="749" t="s">
        <v>121</v>
      </c>
      <c r="B236" s="315" t="s">
        <v>191</v>
      </c>
      <c r="C236" s="178">
        <v>19400000</v>
      </c>
      <c r="D236" s="134"/>
      <c r="E236" s="134"/>
      <c r="F236" s="134"/>
      <c r="G236" s="181">
        <v>0</v>
      </c>
      <c r="H236" s="134"/>
      <c r="I236" s="134"/>
      <c r="J236" s="6">
        <f t="shared" si="91"/>
        <v>-19400000</v>
      </c>
      <c r="K236" s="10"/>
    </row>
    <row r="237" spans="1:14" x14ac:dyDescent="0.25">
      <c r="A237" s="749" t="s">
        <v>407</v>
      </c>
      <c r="B237" s="133" t="s">
        <v>424</v>
      </c>
      <c r="C237" s="178">
        <v>4125000</v>
      </c>
      <c r="D237" s="134"/>
      <c r="E237" s="134"/>
      <c r="F237" s="134"/>
      <c r="G237" s="181">
        <v>0</v>
      </c>
      <c r="H237" s="134"/>
      <c r="I237" s="134"/>
      <c r="J237" s="6">
        <f t="shared" si="91"/>
        <v>-4125000</v>
      </c>
      <c r="K237" s="10"/>
    </row>
    <row r="238" spans="1:14" x14ac:dyDescent="0.25">
      <c r="A238" s="70"/>
      <c r="B238" s="819" t="s">
        <v>136</v>
      </c>
      <c r="C238" s="43">
        <f>SUM(C226:C237)</f>
        <v>185000000</v>
      </c>
      <c r="D238" s="12">
        <f>SUM(D226:D235)</f>
        <v>81.27027027027026</v>
      </c>
      <c r="E238" s="134"/>
      <c r="F238" s="134"/>
      <c r="G238" s="181">
        <v>0</v>
      </c>
      <c r="H238" s="134"/>
      <c r="I238" s="134"/>
      <c r="J238" s="734"/>
      <c r="K238" s="3"/>
    </row>
    <row r="239" spans="1:14" x14ac:dyDescent="0.25">
      <c r="A239" s="53"/>
      <c r="B239" s="5"/>
      <c r="C239" s="189"/>
      <c r="D239" s="29"/>
      <c r="E239" s="30"/>
      <c r="F239" s="23"/>
      <c r="G239" s="11"/>
      <c r="H239" s="32"/>
      <c r="I239" s="23"/>
      <c r="J239" s="15"/>
      <c r="K239" s="37"/>
    </row>
    <row r="240" spans="1:14" ht="31.5" x14ac:dyDescent="0.25">
      <c r="A240" s="55"/>
      <c r="B240" s="46" t="s">
        <v>145</v>
      </c>
      <c r="C240" s="155"/>
      <c r="D240" s="44"/>
      <c r="E240" s="45"/>
      <c r="F240" s="45"/>
      <c r="G240" s="48"/>
      <c r="H240" s="45"/>
      <c r="I240" s="45"/>
      <c r="J240" s="44"/>
      <c r="K240" s="44"/>
      <c r="L240" s="1"/>
      <c r="M240" s="1"/>
      <c r="N240" s="1"/>
    </row>
    <row r="241" spans="1:11" x14ac:dyDescent="0.25">
      <c r="A241" s="1087" t="s">
        <v>2</v>
      </c>
      <c r="B241" s="1089" t="s">
        <v>169</v>
      </c>
      <c r="C241" s="1087" t="s">
        <v>4</v>
      </c>
      <c r="D241" s="1090" t="s">
        <v>5</v>
      </c>
      <c r="E241" s="1090"/>
      <c r="F241" s="1090"/>
      <c r="G241" s="1091" t="s">
        <v>6</v>
      </c>
      <c r="H241" s="1091"/>
      <c r="I241" s="1091"/>
      <c r="J241" s="1087" t="s">
        <v>7</v>
      </c>
      <c r="K241" s="108" t="s">
        <v>8</v>
      </c>
    </row>
    <row r="242" spans="1:11" x14ac:dyDescent="0.25">
      <c r="A242" s="1087"/>
      <c r="B242" s="1089"/>
      <c r="C242" s="1087"/>
      <c r="D242" s="108" t="s">
        <v>9</v>
      </c>
      <c r="E242" s="300" t="s">
        <v>10</v>
      </c>
      <c r="F242" s="300" t="s">
        <v>11</v>
      </c>
      <c r="G242" s="301" t="s">
        <v>12</v>
      </c>
      <c r="H242" s="300" t="s">
        <v>13</v>
      </c>
      <c r="I242" s="300" t="s">
        <v>11</v>
      </c>
      <c r="J242" s="1088"/>
      <c r="K242" s="109"/>
    </row>
    <row r="243" spans="1:11" x14ac:dyDescent="0.25">
      <c r="A243" s="1087"/>
      <c r="B243" s="1089"/>
      <c r="C243" s="1087"/>
      <c r="D243" s="112" t="s">
        <v>14</v>
      </c>
      <c r="E243" s="113" t="s">
        <v>14</v>
      </c>
      <c r="F243" s="113" t="s">
        <v>14</v>
      </c>
      <c r="G243" s="114" t="s">
        <v>15</v>
      </c>
      <c r="H243" s="113" t="s">
        <v>14</v>
      </c>
      <c r="I243" s="113" t="s">
        <v>14</v>
      </c>
      <c r="J243" s="112" t="s">
        <v>15</v>
      </c>
      <c r="K243" s="112"/>
    </row>
    <row r="244" spans="1:11" x14ac:dyDescent="0.25">
      <c r="A244" s="79" t="s">
        <v>185</v>
      </c>
      <c r="B244" s="199" t="s">
        <v>146</v>
      </c>
      <c r="C244" s="24"/>
      <c r="D244" s="10"/>
      <c r="E244" s="34"/>
      <c r="F244" s="34"/>
      <c r="G244" s="6"/>
      <c r="H244" s="34"/>
      <c r="I244" s="34"/>
      <c r="J244" s="10"/>
      <c r="K244" s="10"/>
    </row>
    <row r="245" spans="1:11" x14ac:dyDescent="0.25">
      <c r="A245" s="125" t="s">
        <v>184</v>
      </c>
      <c r="B245" s="280" t="s">
        <v>147</v>
      </c>
      <c r="C245" s="252">
        <f>SUM(C246:C247)</f>
        <v>2905640000</v>
      </c>
      <c r="D245" s="10"/>
      <c r="E245" s="34"/>
      <c r="F245" s="34"/>
      <c r="G245" s="6"/>
      <c r="H245" s="34"/>
      <c r="I245" s="34"/>
      <c r="J245" s="10"/>
      <c r="K245" s="10"/>
    </row>
    <row r="246" spans="1:11" ht="25.5" x14ac:dyDescent="0.25">
      <c r="A246" s="313" t="s">
        <v>44</v>
      </c>
      <c r="B246" s="707" t="s">
        <v>384</v>
      </c>
      <c r="C246" s="253">
        <v>35640000</v>
      </c>
      <c r="D246" s="134">
        <f>C246/C245*100</f>
        <v>1.2265800305612533</v>
      </c>
      <c r="E246" s="134">
        <f t="shared" ref="E246:E247" si="92">G246/C246*100</f>
        <v>0</v>
      </c>
      <c r="F246" s="134">
        <f t="shared" ref="F246:F247" si="93">(D246*E246)/100</f>
        <v>0</v>
      </c>
      <c r="G246" s="181">
        <v>0</v>
      </c>
      <c r="H246" s="134">
        <f t="shared" ref="H246:H247" si="94">G246/C246*100</f>
        <v>0</v>
      </c>
      <c r="I246" s="134">
        <f t="shared" ref="I246:I247" si="95">(D246*H246)/100</f>
        <v>0</v>
      </c>
      <c r="J246" s="6">
        <f t="shared" ref="J246:J247" si="96">G246-C246</f>
        <v>-35640000</v>
      </c>
      <c r="K246" s="10"/>
    </row>
    <row r="247" spans="1:11" x14ac:dyDescent="0.25">
      <c r="A247" s="49" t="s">
        <v>148</v>
      </c>
      <c r="B247" s="133" t="s">
        <v>534</v>
      </c>
      <c r="C247" s="256">
        <v>2870000000</v>
      </c>
      <c r="D247" s="268">
        <f>C247/C245*100</f>
        <v>98.773419969438748</v>
      </c>
      <c r="E247" s="134">
        <f t="shared" si="92"/>
        <v>0</v>
      </c>
      <c r="F247" s="134">
        <f t="shared" si="93"/>
        <v>0</v>
      </c>
      <c r="G247" s="181">
        <v>0</v>
      </c>
      <c r="H247" s="134">
        <f t="shared" si="94"/>
        <v>0</v>
      </c>
      <c r="I247" s="134">
        <f t="shared" si="95"/>
        <v>0</v>
      </c>
      <c r="J247" s="6">
        <f t="shared" si="96"/>
        <v>-2870000000</v>
      </c>
      <c r="K247" s="3"/>
    </row>
    <row r="248" spans="1:11" x14ac:dyDescent="0.25">
      <c r="A248" s="71"/>
      <c r="B248" s="76" t="s">
        <v>95</v>
      </c>
      <c r="C248" s="808">
        <f>SUM(C246:C247)</f>
        <v>2905640000</v>
      </c>
      <c r="D248" s="274">
        <f>SUM(D246:D247)</f>
        <v>100</v>
      </c>
      <c r="E248" s="134"/>
      <c r="F248" s="134"/>
      <c r="G248" s="181">
        <v>0</v>
      </c>
      <c r="H248" s="134"/>
      <c r="I248" s="134"/>
      <c r="J248" s="734"/>
      <c r="K248" s="40"/>
    </row>
    <row r="249" spans="1:11" x14ac:dyDescent="0.25">
      <c r="A249" s="53"/>
      <c r="B249" s="5"/>
      <c r="C249" s="189"/>
      <c r="D249" s="29"/>
      <c r="E249" s="30"/>
      <c r="F249" s="23"/>
      <c r="G249" s="11"/>
      <c r="H249" s="32"/>
      <c r="I249" s="23"/>
      <c r="J249" s="15"/>
      <c r="K249" s="37"/>
    </row>
    <row r="250" spans="1:11" x14ac:dyDescent="0.25">
      <c r="A250" s="1087" t="s">
        <v>2</v>
      </c>
      <c r="B250" s="1089" t="s">
        <v>169</v>
      </c>
      <c r="C250" s="1087" t="s">
        <v>4</v>
      </c>
      <c r="D250" s="1090" t="s">
        <v>5</v>
      </c>
      <c r="E250" s="1090"/>
      <c r="F250" s="1090"/>
      <c r="G250" s="1091" t="s">
        <v>6</v>
      </c>
      <c r="H250" s="1091"/>
      <c r="I250" s="1091"/>
      <c r="J250" s="1087" t="s">
        <v>7</v>
      </c>
      <c r="K250" s="108" t="s">
        <v>8</v>
      </c>
    </row>
    <row r="251" spans="1:11" x14ac:dyDescent="0.25">
      <c r="A251" s="1087"/>
      <c r="B251" s="1089"/>
      <c r="C251" s="1087"/>
      <c r="D251" s="108" t="s">
        <v>9</v>
      </c>
      <c r="E251" s="300" t="s">
        <v>10</v>
      </c>
      <c r="F251" s="300" t="s">
        <v>11</v>
      </c>
      <c r="G251" s="301" t="s">
        <v>12</v>
      </c>
      <c r="H251" s="300" t="s">
        <v>13</v>
      </c>
      <c r="I251" s="300" t="s">
        <v>11</v>
      </c>
      <c r="J251" s="1088"/>
      <c r="K251" s="109"/>
    </row>
    <row r="252" spans="1:11" x14ac:dyDescent="0.25">
      <c r="A252" s="1087"/>
      <c r="B252" s="1089"/>
      <c r="C252" s="1087"/>
      <c r="D252" s="112" t="s">
        <v>14</v>
      </c>
      <c r="E252" s="113" t="s">
        <v>14</v>
      </c>
      <c r="F252" s="113" t="s">
        <v>14</v>
      </c>
      <c r="G252" s="114" t="s">
        <v>15</v>
      </c>
      <c r="H252" s="113" t="s">
        <v>14</v>
      </c>
      <c r="I252" s="113" t="s">
        <v>14</v>
      </c>
      <c r="J252" s="112" t="s">
        <v>15</v>
      </c>
      <c r="K252" s="112"/>
    </row>
    <row r="253" spans="1:11" x14ac:dyDescent="0.25">
      <c r="A253" s="79" t="s">
        <v>185</v>
      </c>
      <c r="B253" s="199" t="s">
        <v>146</v>
      </c>
      <c r="C253" s="24"/>
      <c r="D253" s="10"/>
      <c r="E253" s="34"/>
      <c r="F253" s="34"/>
      <c r="G253" s="6"/>
      <c r="H253" s="34"/>
      <c r="I253" s="34"/>
      <c r="J253" s="10"/>
      <c r="K253" s="10"/>
    </row>
    <row r="254" spans="1:11" x14ac:dyDescent="0.25">
      <c r="A254" s="125" t="s">
        <v>187</v>
      </c>
      <c r="B254" s="280" t="s">
        <v>150</v>
      </c>
      <c r="C254" s="252">
        <f>SUM(C255:C259)</f>
        <v>1761745176</v>
      </c>
      <c r="D254" s="10"/>
      <c r="E254" s="34"/>
      <c r="F254" s="34"/>
      <c r="G254" s="6"/>
      <c r="H254" s="34"/>
      <c r="I254" s="34"/>
      <c r="J254" s="10"/>
      <c r="K254" s="10"/>
    </row>
    <row r="255" spans="1:11" ht="25.5" x14ac:dyDescent="0.25">
      <c r="A255" s="313" t="s">
        <v>44</v>
      </c>
      <c r="B255" s="707" t="s">
        <v>384</v>
      </c>
      <c r="C255" s="253">
        <v>30210000</v>
      </c>
      <c r="D255" s="134">
        <f>C255/C254*100</f>
        <v>1.7147769388868757</v>
      </c>
      <c r="E255" s="134">
        <f t="shared" ref="E255:E258" si="97">G255/C255*100</f>
        <v>0</v>
      </c>
      <c r="F255" s="134">
        <f t="shared" ref="F255:F258" si="98">(D255*E255)/100</f>
        <v>0</v>
      </c>
      <c r="G255" s="181">
        <v>0</v>
      </c>
      <c r="H255" s="134">
        <f t="shared" ref="H255:H258" si="99">G255/C255*100</f>
        <v>0</v>
      </c>
      <c r="I255" s="134">
        <f t="shared" ref="I255:I258" si="100">(D255*H255)/100</f>
        <v>0</v>
      </c>
      <c r="J255" s="6">
        <f t="shared" ref="J255:J259" si="101">G255-C255</f>
        <v>-30210000</v>
      </c>
      <c r="K255" s="10"/>
    </row>
    <row r="256" spans="1:11" ht="25.5" x14ac:dyDescent="0.25">
      <c r="A256" s="313" t="s">
        <v>59</v>
      </c>
      <c r="B256" s="707" t="s">
        <v>197</v>
      </c>
      <c r="C256" s="253">
        <v>690000</v>
      </c>
      <c r="D256" s="134">
        <f>C256/C254*100</f>
        <v>3.9165709627009077E-2</v>
      </c>
      <c r="E256" s="134">
        <f t="shared" si="97"/>
        <v>0</v>
      </c>
      <c r="F256" s="134">
        <f t="shared" si="98"/>
        <v>0</v>
      </c>
      <c r="G256" s="181">
        <v>0</v>
      </c>
      <c r="H256" s="134">
        <f t="shared" si="99"/>
        <v>0</v>
      </c>
      <c r="I256" s="134">
        <f t="shared" si="100"/>
        <v>0</v>
      </c>
      <c r="J256" s="6">
        <f t="shared" si="101"/>
        <v>-690000</v>
      </c>
      <c r="K256" s="10"/>
    </row>
    <row r="257" spans="1:11" ht="25.5" x14ac:dyDescent="0.25">
      <c r="A257" s="312" t="s">
        <v>157</v>
      </c>
      <c r="B257" s="133" t="s">
        <v>534</v>
      </c>
      <c r="C257" s="256">
        <v>1230000000</v>
      </c>
      <c r="D257" s="134">
        <f>C257/C254*100</f>
        <v>69.817134552494437</v>
      </c>
      <c r="E257" s="134">
        <f t="shared" si="97"/>
        <v>0</v>
      </c>
      <c r="F257" s="134">
        <f t="shared" si="98"/>
        <v>0</v>
      </c>
      <c r="G257" s="181">
        <v>0</v>
      </c>
      <c r="H257" s="134">
        <f t="shared" si="99"/>
        <v>0</v>
      </c>
      <c r="I257" s="134">
        <f t="shared" si="100"/>
        <v>0</v>
      </c>
      <c r="J257" s="6">
        <f t="shared" si="101"/>
        <v>-1230000000</v>
      </c>
      <c r="K257" s="10"/>
    </row>
    <row r="258" spans="1:11" s="84" customFormat="1" ht="25.5" x14ac:dyDescent="0.2">
      <c r="A258" s="312" t="s">
        <v>152</v>
      </c>
      <c r="B258" s="133" t="s">
        <v>159</v>
      </c>
      <c r="C258" s="256">
        <v>492000000</v>
      </c>
      <c r="D258" s="134">
        <f>C258/C254*100</f>
        <v>27.926853820997778</v>
      </c>
      <c r="E258" s="134">
        <f t="shared" si="97"/>
        <v>0</v>
      </c>
      <c r="F258" s="134">
        <f t="shared" si="98"/>
        <v>0</v>
      </c>
      <c r="G258" s="181">
        <v>0</v>
      </c>
      <c r="H258" s="134">
        <f t="shared" si="99"/>
        <v>0</v>
      </c>
      <c r="I258" s="134">
        <f t="shared" si="100"/>
        <v>0</v>
      </c>
      <c r="J258" s="6">
        <f t="shared" si="101"/>
        <v>-492000000</v>
      </c>
      <c r="K258" s="38"/>
    </row>
    <row r="259" spans="1:11" s="84" customFormat="1" x14ac:dyDescent="0.2">
      <c r="A259" s="749" t="s">
        <v>234</v>
      </c>
      <c r="B259" s="133" t="s">
        <v>522</v>
      </c>
      <c r="C259" s="256">
        <v>8845176</v>
      </c>
      <c r="D259" s="804"/>
      <c r="E259" s="134"/>
      <c r="F259" s="134"/>
      <c r="G259" s="181"/>
      <c r="H259" s="134"/>
      <c r="I259" s="134"/>
      <c r="J259" s="6">
        <f t="shared" si="101"/>
        <v>-8845176</v>
      </c>
      <c r="K259" s="805"/>
    </row>
    <row r="260" spans="1:11" x14ac:dyDescent="0.25">
      <c r="A260" s="70"/>
      <c r="B260" s="129" t="s">
        <v>95</v>
      </c>
      <c r="C260" s="807">
        <f>SUM(C255:C259)</f>
        <v>1761745176</v>
      </c>
      <c r="D260" s="271">
        <f>SUM(D255:D258)</f>
        <v>99.4979310220061</v>
      </c>
      <c r="E260" s="134"/>
      <c r="F260" s="134"/>
      <c r="G260" s="181">
        <v>0</v>
      </c>
      <c r="H260" s="134"/>
      <c r="I260" s="134"/>
      <c r="J260" s="56">
        <v>0</v>
      </c>
      <c r="K260" s="130"/>
    </row>
    <row r="261" spans="1:11" x14ac:dyDescent="0.25">
      <c r="A261" s="53"/>
      <c r="B261" s="5"/>
      <c r="C261" s="189"/>
      <c r="D261" s="29"/>
      <c r="E261" s="30"/>
      <c r="F261" s="23"/>
      <c r="G261" s="11"/>
      <c r="H261" s="32"/>
      <c r="I261" s="23"/>
      <c r="J261" s="15"/>
      <c r="K261" s="37"/>
    </row>
    <row r="262" spans="1:11" x14ac:dyDescent="0.25">
      <c r="A262" s="50"/>
      <c r="B262" s="5"/>
      <c r="C262" s="50"/>
      <c r="D262" s="9"/>
      <c r="E262" s="23"/>
      <c r="F262" s="23"/>
      <c r="G262" s="11"/>
      <c r="H262" s="23"/>
      <c r="I262" s="23"/>
      <c r="J262" s="9"/>
      <c r="K262" s="9"/>
    </row>
    <row r="263" spans="1:11" x14ac:dyDescent="0.25">
      <c r="A263" s="50"/>
      <c r="B263" s="5"/>
      <c r="C263" s="50"/>
      <c r="D263" s="9"/>
      <c r="E263" s="23"/>
      <c r="F263" s="23"/>
      <c r="G263" s="11"/>
      <c r="H263" s="23"/>
      <c r="I263" s="23"/>
      <c r="J263" s="9"/>
      <c r="K263" s="9"/>
    </row>
    <row r="264" spans="1:11" x14ac:dyDescent="0.25">
      <c r="A264" s="1103" t="s">
        <v>2</v>
      </c>
      <c r="B264" s="1116" t="s">
        <v>137</v>
      </c>
      <c r="C264" s="1103" t="s">
        <v>4</v>
      </c>
      <c r="D264" s="1105" t="s">
        <v>5</v>
      </c>
      <c r="E264" s="1106"/>
      <c r="F264" s="1106"/>
      <c r="G264" s="1107" t="s">
        <v>6</v>
      </c>
      <c r="H264" s="1106"/>
      <c r="I264" s="1106"/>
      <c r="J264" s="1108" t="s">
        <v>7</v>
      </c>
      <c r="K264" s="1108" t="s">
        <v>8</v>
      </c>
    </row>
    <row r="265" spans="1:11" x14ac:dyDescent="0.25">
      <c r="A265" s="1103"/>
      <c r="B265" s="1117"/>
      <c r="C265" s="1103"/>
      <c r="D265" s="102" t="s">
        <v>9</v>
      </c>
      <c r="E265" s="103" t="s">
        <v>10</v>
      </c>
      <c r="F265" s="103" t="s">
        <v>11</v>
      </c>
      <c r="G265" s="104" t="s">
        <v>12</v>
      </c>
      <c r="H265" s="103" t="s">
        <v>13</v>
      </c>
      <c r="I265" s="103" t="s">
        <v>11</v>
      </c>
      <c r="J265" s="1109"/>
      <c r="K265" s="1109"/>
    </row>
    <row r="266" spans="1:11" x14ac:dyDescent="0.25">
      <c r="A266" s="1103"/>
      <c r="B266" s="1118"/>
      <c r="C266" s="1103"/>
      <c r="D266" s="105" t="s">
        <v>14</v>
      </c>
      <c r="E266" s="106" t="s">
        <v>14</v>
      </c>
      <c r="F266" s="106" t="s">
        <v>14</v>
      </c>
      <c r="G266" s="107" t="s">
        <v>15</v>
      </c>
      <c r="H266" s="106" t="s">
        <v>14</v>
      </c>
      <c r="I266" s="106" t="s">
        <v>14</v>
      </c>
      <c r="J266" s="105" t="s">
        <v>15</v>
      </c>
      <c r="K266" s="1110"/>
    </row>
    <row r="267" spans="1:11" ht="25.5" x14ac:dyDescent="0.25">
      <c r="A267" s="79" t="s">
        <v>180</v>
      </c>
      <c r="B267" s="696" t="s">
        <v>379</v>
      </c>
      <c r="C267" s="64"/>
      <c r="D267" s="10"/>
      <c r="E267" s="34"/>
      <c r="F267" s="34"/>
      <c r="G267" s="6"/>
      <c r="H267" s="34"/>
      <c r="I267" s="34"/>
      <c r="J267" s="10"/>
      <c r="K267" s="10"/>
    </row>
    <row r="268" spans="1:11" ht="25.5" x14ac:dyDescent="0.25">
      <c r="A268" s="140" t="s">
        <v>181</v>
      </c>
      <c r="B268" s="697" t="s">
        <v>380</v>
      </c>
      <c r="C268" s="86">
        <f>SUM(C269:C281)</f>
        <v>185000000</v>
      </c>
      <c r="D268" s="179"/>
      <c r="E268" s="168"/>
      <c r="F268" s="168"/>
      <c r="G268" s="169"/>
      <c r="H268" s="168"/>
      <c r="I268" s="168"/>
      <c r="J268" s="167"/>
      <c r="K268" s="167"/>
    </row>
    <row r="269" spans="1:11" ht="25.5" x14ac:dyDescent="0.25">
      <c r="A269" s="170" t="s">
        <v>44</v>
      </c>
      <c r="B269" s="707" t="s">
        <v>384</v>
      </c>
      <c r="C269" s="58">
        <v>8580000</v>
      </c>
      <c r="D269" s="180">
        <f>C269/C268*100</f>
        <v>4.6378378378378375</v>
      </c>
      <c r="E269" s="134">
        <f t="shared" ref="E269:E280" si="102">G269/C269*100</f>
        <v>0</v>
      </c>
      <c r="F269" s="134">
        <f t="shared" ref="F269:F280" si="103">(D269*E269)/100</f>
        <v>0</v>
      </c>
      <c r="G269" s="181">
        <v>0</v>
      </c>
      <c r="H269" s="134">
        <f t="shared" ref="H269:H280" si="104">G269/C269*100</f>
        <v>0</v>
      </c>
      <c r="I269" s="134">
        <f t="shared" ref="I269:I280" si="105">(D269*H269)/100</f>
        <v>0</v>
      </c>
      <c r="J269" s="6">
        <f t="shared" ref="J269:J281" si="106">G269-C269</f>
        <v>-8580000</v>
      </c>
      <c r="K269" s="167"/>
    </row>
    <row r="270" spans="1:11" x14ac:dyDescent="0.25">
      <c r="A270" s="170" t="s">
        <v>221</v>
      </c>
      <c r="B270" s="707" t="s">
        <v>530</v>
      </c>
      <c r="C270" s="58">
        <v>1350000</v>
      </c>
      <c r="D270" s="180"/>
      <c r="E270" s="134"/>
      <c r="F270" s="134"/>
      <c r="G270" s="181">
        <v>0</v>
      </c>
      <c r="H270" s="134"/>
      <c r="I270" s="134"/>
      <c r="J270" s="6">
        <f t="shared" si="106"/>
        <v>-1350000</v>
      </c>
      <c r="K270" s="167"/>
    </row>
    <row r="271" spans="1:11" ht="25.5" x14ac:dyDescent="0.25">
      <c r="A271" s="170" t="s">
        <v>59</v>
      </c>
      <c r="B271" s="707" t="s">
        <v>197</v>
      </c>
      <c r="C271" s="58">
        <v>14728000</v>
      </c>
      <c r="D271" s="729">
        <f>C271/C268*100</f>
        <v>7.9610810810810815</v>
      </c>
      <c r="E271" s="134">
        <f t="shared" si="102"/>
        <v>0</v>
      </c>
      <c r="F271" s="134">
        <f t="shared" si="103"/>
        <v>0</v>
      </c>
      <c r="G271" s="181">
        <v>0</v>
      </c>
      <c r="H271" s="134">
        <f t="shared" si="104"/>
        <v>0</v>
      </c>
      <c r="I271" s="134">
        <f t="shared" si="105"/>
        <v>0</v>
      </c>
      <c r="J271" s="6">
        <f t="shared" si="106"/>
        <v>-14728000</v>
      </c>
      <c r="K271" s="167"/>
    </row>
    <row r="272" spans="1:11" x14ac:dyDescent="0.25">
      <c r="A272" s="170" t="s">
        <v>62</v>
      </c>
      <c r="B272" s="707" t="s">
        <v>334</v>
      </c>
      <c r="C272" s="58">
        <v>8500000</v>
      </c>
      <c r="D272" s="729">
        <f>C272/C268*100</f>
        <v>4.5945945945945947</v>
      </c>
      <c r="E272" s="134">
        <f t="shared" si="102"/>
        <v>0</v>
      </c>
      <c r="F272" s="134">
        <f t="shared" si="103"/>
        <v>0</v>
      </c>
      <c r="G272" s="181">
        <v>0</v>
      </c>
      <c r="H272" s="134">
        <f t="shared" si="104"/>
        <v>0</v>
      </c>
      <c r="I272" s="134">
        <f t="shared" si="105"/>
        <v>0</v>
      </c>
      <c r="J272" s="6">
        <f t="shared" si="106"/>
        <v>-8500000</v>
      </c>
      <c r="K272" s="167"/>
    </row>
    <row r="273" spans="1:14" x14ac:dyDescent="0.25">
      <c r="A273" s="49" t="s">
        <v>148</v>
      </c>
      <c r="B273" s="133" t="s">
        <v>534</v>
      </c>
      <c r="C273" s="58">
        <v>10500000</v>
      </c>
      <c r="D273" s="729"/>
      <c r="E273" s="134"/>
      <c r="F273" s="134"/>
      <c r="G273" s="181"/>
      <c r="H273" s="134"/>
      <c r="I273" s="134"/>
      <c r="J273" s="6">
        <f t="shared" si="106"/>
        <v>-10500000</v>
      </c>
      <c r="K273" s="167"/>
    </row>
    <row r="274" spans="1:14" x14ac:dyDescent="0.25">
      <c r="A274" s="170" t="s">
        <v>77</v>
      </c>
      <c r="B274" s="49" t="s">
        <v>135</v>
      </c>
      <c r="C274" s="58">
        <v>72860000</v>
      </c>
      <c r="D274" s="729">
        <f>C274/C268*100</f>
        <v>39.383783783783784</v>
      </c>
      <c r="E274" s="134">
        <f t="shared" si="102"/>
        <v>0</v>
      </c>
      <c r="F274" s="134">
        <f t="shared" si="103"/>
        <v>0</v>
      </c>
      <c r="G274" s="181">
        <v>0</v>
      </c>
      <c r="H274" s="134">
        <f t="shared" si="104"/>
        <v>0</v>
      </c>
      <c r="I274" s="134">
        <f t="shared" si="105"/>
        <v>0</v>
      </c>
      <c r="J274" s="6">
        <f t="shared" si="106"/>
        <v>-72860000</v>
      </c>
      <c r="K274" s="167"/>
    </row>
    <row r="275" spans="1:14" x14ac:dyDescent="0.25">
      <c r="A275" s="170" t="s">
        <v>104</v>
      </c>
      <c r="B275" s="170" t="s">
        <v>179</v>
      </c>
      <c r="C275" s="58">
        <v>34200000</v>
      </c>
      <c r="D275" s="729">
        <f>C275/C268*100</f>
        <v>18.486486486486488</v>
      </c>
      <c r="E275" s="134">
        <f t="shared" si="102"/>
        <v>26.608187134502927</v>
      </c>
      <c r="F275" s="134">
        <f t="shared" si="103"/>
        <v>4.9189189189189202</v>
      </c>
      <c r="G275" s="181">
        <f>9100000</f>
        <v>9100000</v>
      </c>
      <c r="H275" s="134">
        <f t="shared" si="104"/>
        <v>26.608187134502927</v>
      </c>
      <c r="I275" s="134">
        <f t="shared" si="105"/>
        <v>4.9189189189189202</v>
      </c>
      <c r="J275" s="6">
        <f t="shared" si="106"/>
        <v>-25100000</v>
      </c>
      <c r="K275" s="167"/>
    </row>
    <row r="276" spans="1:14" x14ac:dyDescent="0.25">
      <c r="A276" s="170" t="s">
        <v>130</v>
      </c>
      <c r="B276" s="170" t="s">
        <v>131</v>
      </c>
      <c r="C276" s="58">
        <v>3000000</v>
      </c>
      <c r="D276" s="729">
        <f>C276/C268*100</f>
        <v>1.6216216216216217</v>
      </c>
      <c r="E276" s="134">
        <f t="shared" si="102"/>
        <v>0</v>
      </c>
      <c r="F276" s="134">
        <f t="shared" si="103"/>
        <v>0</v>
      </c>
      <c r="G276" s="181">
        <v>0</v>
      </c>
      <c r="H276" s="134">
        <f t="shared" si="104"/>
        <v>0</v>
      </c>
      <c r="I276" s="134">
        <f t="shared" si="105"/>
        <v>0</v>
      </c>
      <c r="J276" s="6">
        <f t="shared" si="106"/>
        <v>-3000000</v>
      </c>
      <c r="K276" s="167"/>
    </row>
    <row r="277" spans="1:14" ht="25.5" x14ac:dyDescent="0.25">
      <c r="A277" s="170" t="s">
        <v>106</v>
      </c>
      <c r="B277" s="316" t="s">
        <v>375</v>
      </c>
      <c r="C277" s="58">
        <v>13950000</v>
      </c>
      <c r="D277" s="180">
        <f>C277/C268*100</f>
        <v>7.5405405405405395</v>
      </c>
      <c r="E277" s="134">
        <f t="shared" si="102"/>
        <v>0</v>
      </c>
      <c r="F277" s="134">
        <f t="shared" si="103"/>
        <v>0</v>
      </c>
      <c r="G277" s="181">
        <v>0</v>
      </c>
      <c r="H277" s="134">
        <f t="shared" si="104"/>
        <v>0</v>
      </c>
      <c r="I277" s="134">
        <f t="shared" si="105"/>
        <v>0</v>
      </c>
      <c r="J277" s="6">
        <f t="shared" si="106"/>
        <v>-13950000</v>
      </c>
      <c r="K277" s="167"/>
    </row>
    <row r="278" spans="1:14" x14ac:dyDescent="0.25">
      <c r="A278" s="170" t="s">
        <v>162</v>
      </c>
      <c r="B278" s="170" t="s">
        <v>535</v>
      </c>
      <c r="C278" s="178">
        <v>2800000</v>
      </c>
      <c r="D278" s="729">
        <f>C278/C268*100</f>
        <v>1.5135135135135136</v>
      </c>
      <c r="E278" s="134">
        <f t="shared" si="102"/>
        <v>0</v>
      </c>
      <c r="F278" s="134">
        <f t="shared" si="103"/>
        <v>0</v>
      </c>
      <c r="G278" s="181">
        <v>0</v>
      </c>
      <c r="H278" s="134">
        <f t="shared" si="104"/>
        <v>0</v>
      </c>
      <c r="I278" s="134">
        <f t="shared" si="105"/>
        <v>0</v>
      </c>
      <c r="J278" s="6">
        <f t="shared" si="106"/>
        <v>-2800000</v>
      </c>
      <c r="K278" s="167"/>
    </row>
    <row r="279" spans="1:14" ht="25.5" x14ac:dyDescent="0.25">
      <c r="A279" s="170" t="s">
        <v>116</v>
      </c>
      <c r="B279" s="750" t="s">
        <v>420</v>
      </c>
      <c r="C279" s="178">
        <v>1057000</v>
      </c>
      <c r="D279" s="729">
        <f>C279/C269*100</f>
        <v>12.319347319347319</v>
      </c>
      <c r="E279" s="134"/>
      <c r="F279" s="134"/>
      <c r="G279" s="181">
        <v>0</v>
      </c>
      <c r="H279" s="134"/>
      <c r="I279" s="134"/>
      <c r="J279" s="6">
        <f t="shared" si="106"/>
        <v>-1057000</v>
      </c>
      <c r="K279" s="167"/>
    </row>
    <row r="280" spans="1:14" x14ac:dyDescent="0.25">
      <c r="A280" s="170" t="s">
        <v>65</v>
      </c>
      <c r="B280" s="170" t="s">
        <v>190</v>
      </c>
      <c r="C280" s="178">
        <v>7000000</v>
      </c>
      <c r="D280" s="729">
        <f>C280/C268*100</f>
        <v>3.7837837837837842</v>
      </c>
      <c r="E280" s="134">
        <f t="shared" si="102"/>
        <v>0</v>
      </c>
      <c r="F280" s="134">
        <f t="shared" si="103"/>
        <v>0</v>
      </c>
      <c r="G280" s="181">
        <v>0</v>
      </c>
      <c r="H280" s="134">
        <f t="shared" si="104"/>
        <v>0</v>
      </c>
      <c r="I280" s="134">
        <f t="shared" si="105"/>
        <v>0</v>
      </c>
      <c r="J280" s="6">
        <f t="shared" si="106"/>
        <v>-7000000</v>
      </c>
      <c r="K280" s="167"/>
    </row>
    <row r="281" spans="1:14" x14ac:dyDescent="0.25">
      <c r="A281" s="68" t="s">
        <v>301</v>
      </c>
      <c r="B281" s="170" t="s">
        <v>409</v>
      </c>
      <c r="C281" s="58">
        <v>6475000</v>
      </c>
      <c r="D281" s="269"/>
      <c r="E281" s="134"/>
      <c r="F281" s="134"/>
      <c r="G281" s="181">
        <v>0</v>
      </c>
      <c r="H281" s="134"/>
      <c r="I281" s="134"/>
      <c r="J281" s="6">
        <f t="shared" si="106"/>
        <v>-6475000</v>
      </c>
      <c r="K281" s="167"/>
    </row>
    <row r="282" spans="1:14" x14ac:dyDescent="0.25">
      <c r="A282" s="68"/>
      <c r="B282" s="67" t="s">
        <v>128</v>
      </c>
      <c r="C282" s="60">
        <f>SUM(C269:C281)</f>
        <v>185000000</v>
      </c>
      <c r="D282" s="270">
        <f>SUM(D269:D280)</f>
        <v>101.84259056259057</v>
      </c>
      <c r="E282" s="134"/>
      <c r="F282" s="134"/>
      <c r="G282" s="837">
        <f>SUM(G269:G281)</f>
        <v>9100000</v>
      </c>
      <c r="H282" s="134"/>
      <c r="I282" s="134"/>
      <c r="J282" s="56">
        <v>0</v>
      </c>
      <c r="K282" s="3"/>
    </row>
    <row r="283" spans="1:14" x14ac:dyDescent="0.25">
      <c r="A283" s="190"/>
      <c r="B283" s="2"/>
      <c r="C283" s="59"/>
      <c r="D283" s="41"/>
      <c r="E283" s="31"/>
      <c r="F283" s="31"/>
      <c r="G283" s="36"/>
      <c r="H283" s="31"/>
      <c r="I283" s="31"/>
      <c r="J283" s="33"/>
      <c r="K283" s="37"/>
    </row>
    <row r="284" spans="1:14" ht="31.5" x14ac:dyDescent="0.25">
      <c r="A284" s="55"/>
      <c r="B284" s="46" t="s">
        <v>145</v>
      </c>
      <c r="C284" s="155"/>
      <c r="D284" s="44"/>
      <c r="E284" s="45"/>
      <c r="F284" s="45"/>
      <c r="G284" s="48"/>
      <c r="H284" s="45"/>
      <c r="I284" s="45"/>
      <c r="J284" s="44"/>
      <c r="K284" s="44"/>
      <c r="L284" s="1"/>
      <c r="M284" s="1"/>
      <c r="N284" s="1"/>
    </row>
    <row r="285" spans="1:14" x14ac:dyDescent="0.25">
      <c r="A285" s="1111" t="s">
        <v>2</v>
      </c>
      <c r="B285" s="1104" t="s">
        <v>170</v>
      </c>
      <c r="C285" s="1111" t="s">
        <v>4</v>
      </c>
      <c r="D285" s="1112" t="s">
        <v>5</v>
      </c>
      <c r="E285" s="1113"/>
      <c r="F285" s="1113"/>
      <c r="G285" s="1114" t="s">
        <v>6</v>
      </c>
      <c r="H285" s="1113"/>
      <c r="I285" s="1113"/>
      <c r="J285" s="1111" t="s">
        <v>7</v>
      </c>
      <c r="K285" s="285" t="s">
        <v>8</v>
      </c>
    </row>
    <row r="286" spans="1:14" x14ac:dyDescent="0.25">
      <c r="A286" s="1111"/>
      <c r="B286" s="1104"/>
      <c r="C286" s="1111"/>
      <c r="D286" s="285" t="s">
        <v>9</v>
      </c>
      <c r="E286" s="304" t="s">
        <v>10</v>
      </c>
      <c r="F286" s="304" t="s">
        <v>11</v>
      </c>
      <c r="G286" s="305" t="s">
        <v>12</v>
      </c>
      <c r="H286" s="304" t="s">
        <v>13</v>
      </c>
      <c r="I286" s="304" t="s">
        <v>11</v>
      </c>
      <c r="J286" s="1115"/>
      <c r="K286" s="287"/>
    </row>
    <row r="287" spans="1:14" x14ac:dyDescent="0.25">
      <c r="A287" s="1111"/>
      <c r="B287" s="1104"/>
      <c r="C287" s="1111"/>
      <c r="D287" s="286" t="s">
        <v>14</v>
      </c>
      <c r="E287" s="302" t="s">
        <v>14</v>
      </c>
      <c r="F287" s="302" t="s">
        <v>14</v>
      </c>
      <c r="G287" s="303" t="s">
        <v>15</v>
      </c>
      <c r="H287" s="302" t="s">
        <v>14</v>
      </c>
      <c r="I287" s="302" t="s">
        <v>14</v>
      </c>
      <c r="J287" s="286" t="s">
        <v>15</v>
      </c>
      <c r="K287" s="286"/>
    </row>
    <row r="288" spans="1:14" x14ac:dyDescent="0.25">
      <c r="A288" s="144" t="s">
        <v>185</v>
      </c>
      <c r="B288" s="199" t="s">
        <v>146</v>
      </c>
      <c r="C288" s="145"/>
      <c r="D288" s="146"/>
      <c r="E288" s="147"/>
      <c r="F288" s="147"/>
      <c r="G288" s="148"/>
      <c r="H288" s="147"/>
      <c r="I288" s="147"/>
      <c r="J288" s="146"/>
      <c r="K288" s="146"/>
    </row>
    <row r="289" spans="1:11" x14ac:dyDescent="0.25">
      <c r="A289" s="318" t="s">
        <v>184</v>
      </c>
      <c r="B289" s="280" t="s">
        <v>147</v>
      </c>
      <c r="C289" s="257">
        <f>SUM(C290:C291)</f>
        <v>2480900000</v>
      </c>
      <c r="D289" s="146"/>
      <c r="E289" s="147"/>
      <c r="F289" s="147"/>
      <c r="G289" s="148"/>
      <c r="H289" s="147"/>
      <c r="I289" s="147"/>
      <c r="J289" s="146"/>
      <c r="K289" s="146"/>
    </row>
    <row r="290" spans="1:11" ht="25.5" x14ac:dyDescent="0.25">
      <c r="A290" s="319" t="s">
        <v>44</v>
      </c>
      <c r="B290" s="707" t="s">
        <v>384</v>
      </c>
      <c r="C290" s="149">
        <v>30900000</v>
      </c>
      <c r="D290" s="267">
        <f>C290/C289*100</f>
        <v>1.2455157402555526</v>
      </c>
      <c r="E290" s="134">
        <f t="shared" ref="E290:E291" si="107">G290/C290*100</f>
        <v>0</v>
      </c>
      <c r="F290" s="134">
        <f t="shared" ref="F290:F291" si="108">(D290*E290)/100</f>
        <v>0</v>
      </c>
      <c r="G290" s="181">
        <v>0</v>
      </c>
      <c r="H290" s="134">
        <f t="shared" ref="H290:H291" si="109">G290/C290*100</f>
        <v>0</v>
      </c>
      <c r="I290" s="134">
        <f t="shared" ref="I290:I291" si="110">(D290*H290)/100</f>
        <v>0</v>
      </c>
      <c r="J290" s="6">
        <f t="shared" ref="J290:J291" si="111">G290-C290</f>
        <v>-30900000</v>
      </c>
      <c r="K290" s="146"/>
    </row>
    <row r="291" spans="1:11" x14ac:dyDescent="0.25">
      <c r="A291" s="49" t="s">
        <v>148</v>
      </c>
      <c r="B291" s="133" t="s">
        <v>534</v>
      </c>
      <c r="C291" s="149">
        <v>2450000000</v>
      </c>
      <c r="D291" s="267">
        <f>C291/C289*100</f>
        <v>98.754484259744444</v>
      </c>
      <c r="E291" s="134">
        <f t="shared" si="107"/>
        <v>0</v>
      </c>
      <c r="F291" s="134">
        <f t="shared" si="108"/>
        <v>0</v>
      </c>
      <c r="G291" s="181">
        <v>0</v>
      </c>
      <c r="H291" s="134">
        <f t="shared" si="109"/>
        <v>0</v>
      </c>
      <c r="I291" s="134">
        <f t="shared" si="110"/>
        <v>0</v>
      </c>
      <c r="J291" s="6">
        <f t="shared" si="111"/>
        <v>-2450000000</v>
      </c>
      <c r="K291" s="146"/>
    </row>
    <row r="292" spans="1:11" x14ac:dyDescent="0.25">
      <c r="A292" s="71"/>
      <c r="B292" s="76" t="s">
        <v>95</v>
      </c>
      <c r="C292" s="809">
        <f>SUM(C290:C291)</f>
        <v>2480900000</v>
      </c>
      <c r="D292" s="141">
        <f>SUM(D290:D291)</f>
        <v>100</v>
      </c>
      <c r="E292" s="134"/>
      <c r="F292" s="134"/>
      <c r="G292" s="181">
        <v>0</v>
      </c>
      <c r="H292" s="134"/>
      <c r="I292" s="134"/>
      <c r="J292" s="56">
        <v>0</v>
      </c>
      <c r="K292" s="143"/>
    </row>
    <row r="293" spans="1:11" x14ac:dyDescent="0.25">
      <c r="A293" s="190"/>
      <c r="B293" s="2"/>
      <c r="C293" s="59"/>
      <c r="D293" s="41"/>
      <c r="E293" s="31"/>
      <c r="F293" s="31"/>
      <c r="G293" s="36"/>
      <c r="H293" s="31"/>
      <c r="I293" s="31"/>
      <c r="J293" s="33"/>
      <c r="K293" s="37"/>
    </row>
    <row r="294" spans="1:11" x14ac:dyDescent="0.25">
      <c r="A294" s="1103" t="s">
        <v>2</v>
      </c>
      <c r="B294" s="1104" t="s">
        <v>170</v>
      </c>
      <c r="C294" s="1103" t="s">
        <v>4</v>
      </c>
      <c r="D294" s="1105" t="s">
        <v>5</v>
      </c>
      <c r="E294" s="1106"/>
      <c r="F294" s="1106"/>
      <c r="G294" s="1107" t="s">
        <v>6</v>
      </c>
      <c r="H294" s="1106"/>
      <c r="I294" s="1106"/>
      <c r="J294" s="1103" t="s">
        <v>7</v>
      </c>
      <c r="K294" s="288" t="s">
        <v>8</v>
      </c>
    </row>
    <row r="295" spans="1:11" x14ac:dyDescent="0.25">
      <c r="A295" s="1103"/>
      <c r="B295" s="1104"/>
      <c r="C295" s="1103"/>
      <c r="D295" s="288" t="s">
        <v>9</v>
      </c>
      <c r="E295" s="306" t="s">
        <v>10</v>
      </c>
      <c r="F295" s="306" t="s">
        <v>11</v>
      </c>
      <c r="G295" s="307" t="s">
        <v>12</v>
      </c>
      <c r="H295" s="306" t="s">
        <v>13</v>
      </c>
      <c r="I295" s="306" t="s">
        <v>11</v>
      </c>
      <c r="J295" s="1108"/>
      <c r="K295" s="102"/>
    </row>
    <row r="296" spans="1:11" x14ac:dyDescent="0.25">
      <c r="A296" s="1103"/>
      <c r="B296" s="1104"/>
      <c r="C296" s="1103"/>
      <c r="D296" s="105" t="s">
        <v>14</v>
      </c>
      <c r="E296" s="106" t="s">
        <v>14</v>
      </c>
      <c r="F296" s="106" t="s">
        <v>14</v>
      </c>
      <c r="G296" s="107" t="s">
        <v>15</v>
      </c>
      <c r="H296" s="106" t="s">
        <v>14</v>
      </c>
      <c r="I296" s="106" t="s">
        <v>14</v>
      </c>
      <c r="J296" s="105" t="s">
        <v>15</v>
      </c>
      <c r="K296" s="105"/>
    </row>
    <row r="297" spans="1:11" x14ac:dyDescent="0.25">
      <c r="A297" s="79" t="s">
        <v>185</v>
      </c>
      <c r="B297" s="199" t="s">
        <v>146</v>
      </c>
      <c r="C297" s="24"/>
      <c r="D297" s="10"/>
      <c r="E297" s="34"/>
      <c r="F297" s="34"/>
      <c r="G297" s="6"/>
      <c r="H297" s="34"/>
      <c r="I297" s="34"/>
      <c r="J297" s="10"/>
      <c r="K297" s="10"/>
    </row>
    <row r="298" spans="1:11" x14ac:dyDescent="0.25">
      <c r="A298" s="125" t="s">
        <v>187</v>
      </c>
      <c r="B298" s="280" t="s">
        <v>150</v>
      </c>
      <c r="C298" s="131">
        <f>SUM(C299:C302)</f>
        <v>1508450760</v>
      </c>
      <c r="D298" s="10"/>
      <c r="E298" s="34"/>
      <c r="F298" s="34"/>
      <c r="G298" s="6"/>
      <c r="H298" s="34"/>
      <c r="I298" s="34"/>
      <c r="J298" s="10"/>
      <c r="K298" s="10"/>
    </row>
    <row r="299" spans="1:11" ht="25.5" x14ac:dyDescent="0.25">
      <c r="A299" s="124" t="s">
        <v>44</v>
      </c>
      <c r="B299" s="707" t="s">
        <v>384</v>
      </c>
      <c r="C299" s="253">
        <v>30900000</v>
      </c>
      <c r="D299" s="134">
        <f>C299/C298*100</f>
        <v>2.0484593080121489</v>
      </c>
      <c r="E299" s="134">
        <f t="shared" ref="E299:E301" si="112">G299/C299*100</f>
        <v>0</v>
      </c>
      <c r="F299" s="134">
        <f t="shared" ref="F299:F301" si="113">(D299*E299)/100</f>
        <v>0</v>
      </c>
      <c r="G299" s="181">
        <v>0</v>
      </c>
      <c r="H299" s="134">
        <f t="shared" ref="H299:H301" si="114">G299/C299*100</f>
        <v>0</v>
      </c>
      <c r="I299" s="134">
        <f t="shared" ref="I299:I301" si="115">(D299*H299)/100</f>
        <v>0</v>
      </c>
      <c r="J299" s="6">
        <f t="shared" ref="J299:J302" si="116">G299-C299</f>
        <v>-30900000</v>
      </c>
      <c r="K299" s="10"/>
    </row>
    <row r="300" spans="1:11" x14ac:dyDescent="0.25">
      <c r="A300" s="49" t="s">
        <v>148</v>
      </c>
      <c r="B300" s="133" t="s">
        <v>534</v>
      </c>
      <c r="C300" s="256">
        <v>1050000000</v>
      </c>
      <c r="D300" s="134">
        <f>C300/C298*100</f>
        <v>69.607840563519616</v>
      </c>
      <c r="E300" s="134">
        <f t="shared" si="112"/>
        <v>0</v>
      </c>
      <c r="F300" s="134">
        <f t="shared" si="113"/>
        <v>0</v>
      </c>
      <c r="G300" s="181">
        <v>0</v>
      </c>
      <c r="H300" s="134">
        <f t="shared" si="114"/>
        <v>0</v>
      </c>
      <c r="I300" s="134">
        <f t="shared" si="115"/>
        <v>0</v>
      </c>
      <c r="J300" s="6">
        <f t="shared" si="116"/>
        <v>-1050000000</v>
      </c>
      <c r="K300" s="10"/>
    </row>
    <row r="301" spans="1:11" s="84" customFormat="1" ht="25.5" x14ac:dyDescent="0.2">
      <c r="A301" s="49" t="s">
        <v>152</v>
      </c>
      <c r="B301" s="133" t="s">
        <v>153</v>
      </c>
      <c r="C301" s="256">
        <v>420000000</v>
      </c>
      <c r="D301" s="134">
        <f>C301/C298*100</f>
        <v>27.84313622540785</v>
      </c>
      <c r="E301" s="134">
        <f t="shared" si="112"/>
        <v>0</v>
      </c>
      <c r="F301" s="134">
        <f t="shared" si="113"/>
        <v>0</v>
      </c>
      <c r="G301" s="181">
        <v>0</v>
      </c>
      <c r="H301" s="134">
        <f t="shared" si="114"/>
        <v>0</v>
      </c>
      <c r="I301" s="134">
        <f t="shared" si="115"/>
        <v>0</v>
      </c>
      <c r="J301" s="6">
        <f t="shared" si="116"/>
        <v>-420000000</v>
      </c>
      <c r="K301" s="38"/>
    </row>
    <row r="302" spans="1:11" s="84" customFormat="1" x14ac:dyDescent="0.2">
      <c r="A302" s="749" t="s">
        <v>234</v>
      </c>
      <c r="B302" s="133" t="s">
        <v>522</v>
      </c>
      <c r="C302" s="256">
        <v>7550760</v>
      </c>
      <c r="D302" s="804"/>
      <c r="E302" s="134"/>
      <c r="F302" s="134"/>
      <c r="G302" s="181"/>
      <c r="H302" s="134"/>
      <c r="I302" s="134"/>
      <c r="J302" s="6">
        <f t="shared" si="116"/>
        <v>-7550760</v>
      </c>
      <c r="K302" s="805"/>
    </row>
    <row r="303" spans="1:11" x14ac:dyDescent="0.25">
      <c r="A303" s="70"/>
      <c r="B303" s="129" t="s">
        <v>95</v>
      </c>
      <c r="C303" s="807">
        <f>SUM(C299:C302)</f>
        <v>1508450760</v>
      </c>
      <c r="D303" s="271">
        <f>SUM(D299:D301)</f>
        <v>99.499436096939618</v>
      </c>
      <c r="E303" s="134"/>
      <c r="F303" s="134"/>
      <c r="G303" s="181">
        <v>0</v>
      </c>
      <c r="H303" s="134"/>
      <c r="I303" s="134"/>
      <c r="J303" s="56">
        <v>0</v>
      </c>
      <c r="K303" s="130"/>
    </row>
    <row r="304" spans="1:11" x14ac:dyDescent="0.25">
      <c r="A304" s="190"/>
      <c r="B304" s="2"/>
      <c r="C304" s="59"/>
      <c r="D304" s="41"/>
      <c r="E304" s="31"/>
      <c r="F304" s="31"/>
      <c r="G304" s="36"/>
      <c r="H304" s="31"/>
      <c r="I304" s="31"/>
      <c r="J304" s="33"/>
      <c r="K304" s="37"/>
    </row>
    <row r="305" spans="1:15" x14ac:dyDescent="0.25">
      <c r="A305" s="50"/>
      <c r="B305" s="5"/>
      <c r="C305" s="50"/>
      <c r="D305" s="9"/>
      <c r="E305" s="23"/>
      <c r="F305" s="23"/>
      <c r="G305" s="11"/>
      <c r="H305" s="23"/>
      <c r="I305" s="23"/>
      <c r="J305" s="9"/>
      <c r="K305" s="9"/>
    </row>
    <row r="306" spans="1:15" x14ac:dyDescent="0.25">
      <c r="A306" s="1123" t="s">
        <v>2</v>
      </c>
      <c r="B306" s="1126" t="s">
        <v>138</v>
      </c>
      <c r="C306" s="1129" t="s">
        <v>4</v>
      </c>
      <c r="D306" s="1121" t="s">
        <v>5</v>
      </c>
      <c r="E306" s="1132"/>
      <c r="F306" s="1132"/>
      <c r="G306" s="1122" t="s">
        <v>6</v>
      </c>
      <c r="H306" s="1132"/>
      <c r="I306" s="1132"/>
      <c r="J306" s="1123" t="s">
        <v>7</v>
      </c>
      <c r="K306" s="1123" t="s">
        <v>8</v>
      </c>
    </row>
    <row r="307" spans="1:15" x14ac:dyDescent="0.25">
      <c r="A307" s="1124"/>
      <c r="B307" s="1127"/>
      <c r="C307" s="1130"/>
      <c r="D307" s="289" t="s">
        <v>9</v>
      </c>
      <c r="E307" s="308" t="s">
        <v>10</v>
      </c>
      <c r="F307" s="308" t="s">
        <v>11</v>
      </c>
      <c r="G307" s="117" t="s">
        <v>12</v>
      </c>
      <c r="H307" s="116" t="s">
        <v>13</v>
      </c>
      <c r="I307" s="116" t="s">
        <v>11</v>
      </c>
      <c r="J307" s="1124"/>
      <c r="K307" s="1124"/>
    </row>
    <row r="308" spans="1:15" x14ac:dyDescent="0.25">
      <c r="A308" s="1125"/>
      <c r="B308" s="1128"/>
      <c r="C308" s="1131"/>
      <c r="D308" s="115" t="s">
        <v>14</v>
      </c>
      <c r="E308" s="119" t="s">
        <v>14</v>
      </c>
      <c r="F308" s="119" t="s">
        <v>14</v>
      </c>
      <c r="G308" s="120" t="s">
        <v>15</v>
      </c>
      <c r="H308" s="119" t="s">
        <v>14</v>
      </c>
      <c r="I308" s="119" t="s">
        <v>14</v>
      </c>
      <c r="J308" s="118" t="s">
        <v>15</v>
      </c>
      <c r="K308" s="1125"/>
    </row>
    <row r="309" spans="1:15" ht="25.5" x14ac:dyDescent="0.25">
      <c r="A309" s="79" t="s">
        <v>180</v>
      </c>
      <c r="B309" s="696" t="s">
        <v>379</v>
      </c>
      <c r="C309" s="127"/>
      <c r="D309" s="121"/>
      <c r="E309" s="34"/>
      <c r="F309" s="34"/>
      <c r="G309" s="6"/>
      <c r="H309" s="34"/>
      <c r="I309" s="34"/>
      <c r="J309" s="10"/>
      <c r="K309" s="85"/>
    </row>
    <row r="310" spans="1:15" ht="25.5" x14ac:dyDescent="0.25">
      <c r="A310" s="125" t="s">
        <v>181</v>
      </c>
      <c r="B310" s="697" t="s">
        <v>380</v>
      </c>
      <c r="C310" s="88">
        <f>SUM(C311:C328)</f>
        <v>185000000</v>
      </c>
      <c r="D310" s="121"/>
      <c r="E310" s="34"/>
      <c r="F310" s="34"/>
      <c r="G310" s="6"/>
      <c r="H310" s="34"/>
      <c r="I310" s="34"/>
      <c r="J310" s="10"/>
      <c r="K310" s="156"/>
    </row>
    <row r="311" spans="1:15" ht="25.5" x14ac:dyDescent="0.25">
      <c r="A311" s="49" t="s">
        <v>44</v>
      </c>
      <c r="B311" s="707" t="s">
        <v>384</v>
      </c>
      <c r="C311" s="39">
        <v>8730000</v>
      </c>
      <c r="D311" s="727">
        <f>C311/C310*100</f>
        <v>4.7189189189189191</v>
      </c>
      <c r="E311" s="134">
        <f t="shared" ref="E311:E319" si="117">G311/C311*100</f>
        <v>0</v>
      </c>
      <c r="F311" s="134">
        <f t="shared" ref="F311:F319" si="118">(D311*E311)/100</f>
        <v>0</v>
      </c>
      <c r="G311" s="181">
        <v>0</v>
      </c>
      <c r="H311" s="134">
        <f t="shared" ref="H311:H319" si="119">G311/C311*100</f>
        <v>0</v>
      </c>
      <c r="I311" s="134">
        <f t="shared" ref="I311:I319" si="120">(D311*H311)/100</f>
        <v>0</v>
      </c>
      <c r="J311" s="6">
        <f t="shared" ref="J311:J328" si="121">G311-C311</f>
        <v>-8730000</v>
      </c>
      <c r="K311" s="10"/>
      <c r="O311" s="717"/>
    </row>
    <row r="312" spans="1:15" ht="25.5" x14ac:dyDescent="0.25">
      <c r="A312" s="49" t="s">
        <v>59</v>
      </c>
      <c r="B312" s="707" t="s">
        <v>197</v>
      </c>
      <c r="C312" s="39">
        <v>13887500</v>
      </c>
      <c r="D312" s="727">
        <f>C312/C310*100</f>
        <v>7.5067567567567561</v>
      </c>
      <c r="E312" s="134">
        <f t="shared" si="117"/>
        <v>0</v>
      </c>
      <c r="F312" s="134">
        <f t="shared" si="118"/>
        <v>0</v>
      </c>
      <c r="G312" s="181">
        <v>0</v>
      </c>
      <c r="H312" s="134">
        <f t="shared" si="119"/>
        <v>0</v>
      </c>
      <c r="I312" s="134">
        <f t="shared" si="120"/>
        <v>0</v>
      </c>
      <c r="J312" s="6">
        <f t="shared" si="121"/>
        <v>-13887500</v>
      </c>
      <c r="K312" s="10"/>
    </row>
    <row r="313" spans="1:15" x14ac:dyDescent="0.25">
      <c r="A313" s="49" t="s">
        <v>62</v>
      </c>
      <c r="B313" s="707" t="s">
        <v>414</v>
      </c>
      <c r="C313" s="39">
        <v>7970500</v>
      </c>
      <c r="D313" s="727"/>
      <c r="E313" s="134"/>
      <c r="F313" s="134"/>
      <c r="G313" s="181">
        <v>0</v>
      </c>
      <c r="H313" s="134"/>
      <c r="I313" s="134"/>
      <c r="J313" s="6">
        <f t="shared" si="121"/>
        <v>-7970500</v>
      </c>
      <c r="K313" s="10"/>
    </row>
    <row r="314" spans="1:15" x14ac:dyDescent="0.25">
      <c r="A314" s="49" t="s">
        <v>54</v>
      </c>
      <c r="B314" s="707" t="s">
        <v>536</v>
      </c>
      <c r="C314" s="39">
        <v>800000</v>
      </c>
      <c r="D314" s="727"/>
      <c r="E314" s="134"/>
      <c r="F314" s="134"/>
      <c r="G314" s="181"/>
      <c r="H314" s="134"/>
      <c r="I314" s="134"/>
      <c r="J314" s="6">
        <f t="shared" si="121"/>
        <v>-800000</v>
      </c>
      <c r="K314" s="10"/>
    </row>
    <row r="315" spans="1:15" ht="25.5" x14ac:dyDescent="0.25">
      <c r="A315" s="49" t="s">
        <v>193</v>
      </c>
      <c r="B315" s="707" t="s">
        <v>537</v>
      </c>
      <c r="C315" s="39">
        <v>8750000</v>
      </c>
      <c r="D315" s="727"/>
      <c r="E315" s="134"/>
      <c r="F315" s="134"/>
      <c r="G315" s="181"/>
      <c r="H315" s="134"/>
      <c r="I315" s="134"/>
      <c r="J315" s="6">
        <f t="shared" si="121"/>
        <v>-8750000</v>
      </c>
      <c r="K315" s="10"/>
    </row>
    <row r="316" spans="1:15" x14ac:dyDescent="0.25">
      <c r="A316" s="49" t="s">
        <v>148</v>
      </c>
      <c r="B316" s="133" t="s">
        <v>534</v>
      </c>
      <c r="C316" s="39">
        <v>10000000</v>
      </c>
      <c r="D316" s="727"/>
      <c r="E316" s="134"/>
      <c r="F316" s="134"/>
      <c r="G316" s="181"/>
      <c r="H316" s="134"/>
      <c r="I316" s="134"/>
      <c r="J316" s="6">
        <f t="shared" si="121"/>
        <v>-10000000</v>
      </c>
      <c r="K316" s="10"/>
    </row>
    <row r="317" spans="1:15" x14ac:dyDescent="0.25">
      <c r="A317" s="49" t="s">
        <v>77</v>
      </c>
      <c r="B317" s="49" t="s">
        <v>139</v>
      </c>
      <c r="C317" s="39">
        <v>82680000</v>
      </c>
      <c r="D317" s="727">
        <f>C317/C310*100</f>
        <v>44.691891891891892</v>
      </c>
      <c r="E317" s="134">
        <f t="shared" si="117"/>
        <v>0</v>
      </c>
      <c r="F317" s="134">
        <f t="shared" si="118"/>
        <v>0</v>
      </c>
      <c r="G317" s="181">
        <v>0</v>
      </c>
      <c r="H317" s="134">
        <f t="shared" si="119"/>
        <v>0</v>
      </c>
      <c r="I317" s="134">
        <f t="shared" si="120"/>
        <v>0</v>
      </c>
      <c r="J317" s="6">
        <f t="shared" si="121"/>
        <v>-82680000</v>
      </c>
      <c r="K317" s="10"/>
    </row>
    <row r="318" spans="1:15" x14ac:dyDescent="0.25">
      <c r="A318" s="49" t="s">
        <v>104</v>
      </c>
      <c r="B318" s="170" t="s">
        <v>418</v>
      </c>
      <c r="C318" s="39">
        <v>7300000</v>
      </c>
      <c r="D318" s="727">
        <f>C318/C310*100</f>
        <v>3.9459459459459461</v>
      </c>
      <c r="E318" s="134">
        <f t="shared" si="117"/>
        <v>0</v>
      </c>
      <c r="F318" s="134">
        <f t="shared" si="118"/>
        <v>0</v>
      </c>
      <c r="G318" s="181">
        <v>0</v>
      </c>
      <c r="H318" s="134">
        <f t="shared" si="119"/>
        <v>0</v>
      </c>
      <c r="I318" s="134">
        <f t="shared" si="120"/>
        <v>0</v>
      </c>
      <c r="J318" s="6">
        <f t="shared" si="121"/>
        <v>-7300000</v>
      </c>
      <c r="K318" s="10"/>
    </row>
    <row r="319" spans="1:15" ht="25.5" x14ac:dyDescent="0.25">
      <c r="A319" s="49" t="s">
        <v>192</v>
      </c>
      <c r="B319" s="316" t="s">
        <v>375</v>
      </c>
      <c r="C319" s="39">
        <v>13050000</v>
      </c>
      <c r="D319" s="727">
        <f>C319/C310*100</f>
        <v>7.0540540540540544</v>
      </c>
      <c r="E319" s="134">
        <f t="shared" si="117"/>
        <v>0</v>
      </c>
      <c r="F319" s="134">
        <f t="shared" si="118"/>
        <v>0</v>
      </c>
      <c r="G319" s="181">
        <v>0</v>
      </c>
      <c r="H319" s="134">
        <f t="shared" si="119"/>
        <v>0</v>
      </c>
      <c r="I319" s="134">
        <f t="shared" si="120"/>
        <v>0</v>
      </c>
      <c r="J319" s="6">
        <f t="shared" si="121"/>
        <v>-13050000</v>
      </c>
      <c r="K319" s="10"/>
    </row>
    <row r="320" spans="1:15" x14ac:dyDescent="0.25">
      <c r="A320" s="749" t="s">
        <v>162</v>
      </c>
      <c r="B320" s="316" t="s">
        <v>538</v>
      </c>
      <c r="C320" s="751">
        <v>2000000</v>
      </c>
      <c r="D320" s="727"/>
      <c r="E320" s="134"/>
      <c r="F320" s="134"/>
      <c r="G320" s="181"/>
      <c r="H320" s="134"/>
      <c r="I320" s="134"/>
      <c r="J320" s="6">
        <f t="shared" si="121"/>
        <v>-2000000</v>
      </c>
      <c r="K320" s="130"/>
    </row>
    <row r="321" spans="1:14" x14ac:dyDescent="0.25">
      <c r="A321" s="749" t="s">
        <v>527</v>
      </c>
      <c r="B321" s="316" t="s">
        <v>523</v>
      </c>
      <c r="C321" s="751">
        <v>1150000</v>
      </c>
      <c r="D321" s="727"/>
      <c r="E321" s="134"/>
      <c r="F321" s="134"/>
      <c r="G321" s="181"/>
      <c r="H321" s="134"/>
      <c r="I321" s="134"/>
      <c r="J321" s="6">
        <f t="shared" si="121"/>
        <v>-1150000</v>
      </c>
      <c r="K321" s="130"/>
    </row>
    <row r="322" spans="1:14" x14ac:dyDescent="0.25">
      <c r="A322" s="749" t="s">
        <v>112</v>
      </c>
      <c r="B322" s="316" t="s">
        <v>525</v>
      </c>
      <c r="C322" s="751">
        <v>800000</v>
      </c>
      <c r="D322" s="727"/>
      <c r="E322" s="134"/>
      <c r="F322" s="134"/>
      <c r="G322" s="181"/>
      <c r="H322" s="134"/>
      <c r="I322" s="134"/>
      <c r="J322" s="6">
        <f t="shared" si="121"/>
        <v>-800000</v>
      </c>
      <c r="K322" s="130"/>
    </row>
    <row r="323" spans="1:14" x14ac:dyDescent="0.25">
      <c r="A323" s="749" t="s">
        <v>521</v>
      </c>
      <c r="B323" s="316" t="s">
        <v>539</v>
      </c>
      <c r="C323" s="751">
        <v>1000000</v>
      </c>
      <c r="D323" s="727"/>
      <c r="E323" s="134"/>
      <c r="F323" s="134"/>
      <c r="G323" s="181"/>
      <c r="H323" s="134"/>
      <c r="I323" s="134"/>
      <c r="J323" s="6">
        <f t="shared" si="121"/>
        <v>-1000000</v>
      </c>
      <c r="K323" s="130"/>
    </row>
    <row r="324" spans="1:14" ht="25.5" x14ac:dyDescent="0.25">
      <c r="A324" s="749" t="s">
        <v>116</v>
      </c>
      <c r="B324" s="316" t="s">
        <v>420</v>
      </c>
      <c r="C324" s="751">
        <v>1382000</v>
      </c>
      <c r="D324" s="727">
        <f>C324/C311*100</f>
        <v>15.830469644902633</v>
      </c>
      <c r="E324" s="134"/>
      <c r="F324" s="134"/>
      <c r="G324" s="181">
        <v>0</v>
      </c>
      <c r="H324" s="134"/>
      <c r="I324" s="134"/>
      <c r="J324" s="6">
        <f t="shared" si="121"/>
        <v>-1382000</v>
      </c>
      <c r="K324" s="130"/>
    </row>
    <row r="325" spans="1:14" x14ac:dyDescent="0.25">
      <c r="A325" s="749" t="s">
        <v>65</v>
      </c>
      <c r="B325" s="754" t="s">
        <v>190</v>
      </c>
      <c r="C325" s="751">
        <v>7000000</v>
      </c>
      <c r="D325" s="727" t="e">
        <f>C325/#REF!*100</f>
        <v>#REF!</v>
      </c>
      <c r="E325" s="134"/>
      <c r="F325" s="134"/>
      <c r="G325" s="181">
        <v>0</v>
      </c>
      <c r="H325" s="134"/>
      <c r="I325" s="134"/>
      <c r="J325" s="6">
        <f t="shared" si="121"/>
        <v>-7000000</v>
      </c>
      <c r="K325" s="130"/>
    </row>
    <row r="326" spans="1:14" x14ac:dyDescent="0.25">
      <c r="A326" s="749" t="s">
        <v>541</v>
      </c>
      <c r="B326" s="754" t="s">
        <v>401</v>
      </c>
      <c r="C326" s="751">
        <v>3900000</v>
      </c>
      <c r="D326" s="727" t="e">
        <f>C326/#REF!*100</f>
        <v>#REF!</v>
      </c>
      <c r="E326" s="134"/>
      <c r="F326" s="134"/>
      <c r="G326" s="181">
        <v>0</v>
      </c>
      <c r="H326" s="134"/>
      <c r="I326" s="134"/>
      <c r="J326" s="6">
        <f t="shared" si="121"/>
        <v>-3900000</v>
      </c>
      <c r="K326" s="130"/>
    </row>
    <row r="327" spans="1:14" x14ac:dyDescent="0.25">
      <c r="A327" s="749" t="s">
        <v>275</v>
      </c>
      <c r="B327" s="754" t="s">
        <v>421</v>
      </c>
      <c r="C327" s="751">
        <v>5000000</v>
      </c>
      <c r="D327" s="727" t="e">
        <f>C327/#REF!*100</f>
        <v>#REF!</v>
      </c>
      <c r="E327" s="134"/>
      <c r="F327" s="134"/>
      <c r="G327" s="181">
        <v>0</v>
      </c>
      <c r="H327" s="134"/>
      <c r="I327" s="134"/>
      <c r="J327" s="6">
        <f t="shared" si="121"/>
        <v>-5000000</v>
      </c>
      <c r="K327" s="130"/>
    </row>
    <row r="328" spans="1:14" x14ac:dyDescent="0.25">
      <c r="A328" s="749" t="s">
        <v>542</v>
      </c>
      <c r="B328" s="316" t="s">
        <v>540</v>
      </c>
      <c r="C328" s="751">
        <v>9600000</v>
      </c>
      <c r="D328" s="752"/>
      <c r="E328" s="134"/>
      <c r="F328" s="134"/>
      <c r="G328" s="181"/>
      <c r="H328" s="134"/>
      <c r="I328" s="134"/>
      <c r="J328" s="6">
        <f t="shared" si="121"/>
        <v>-9600000</v>
      </c>
      <c r="K328" s="130"/>
    </row>
    <row r="329" spans="1:14" x14ac:dyDescent="0.25">
      <c r="A329" s="70"/>
      <c r="B329" s="164" t="s">
        <v>140</v>
      </c>
      <c r="C329" s="165">
        <f>SUM(C311:C328)</f>
        <v>185000000</v>
      </c>
      <c r="D329" s="166">
        <f>SUM(D311:D319)</f>
        <v>67.917567567567559</v>
      </c>
      <c r="E329" s="134"/>
      <c r="F329" s="134"/>
      <c r="G329" s="181">
        <v>0</v>
      </c>
      <c r="H329" s="134"/>
      <c r="I329" s="134"/>
      <c r="J329" s="734"/>
      <c r="K329" s="40"/>
    </row>
    <row r="330" spans="1:14" x14ac:dyDescent="0.25">
      <c r="A330" s="53"/>
      <c r="B330" s="5"/>
      <c r="C330" s="191"/>
      <c r="D330" s="41"/>
      <c r="E330" s="30"/>
      <c r="F330" s="31"/>
      <c r="G330" s="36"/>
      <c r="H330" s="23"/>
      <c r="I330" s="23"/>
      <c r="J330" s="33"/>
      <c r="K330" s="37"/>
    </row>
    <row r="331" spans="1:14" ht="31.5" x14ac:dyDescent="0.25">
      <c r="A331" s="55"/>
      <c r="B331" s="46" t="s">
        <v>145</v>
      </c>
      <c r="C331" s="155"/>
      <c r="D331" s="44"/>
      <c r="E331" s="45"/>
      <c r="F331" s="45"/>
      <c r="G331" s="48"/>
      <c r="H331" s="45"/>
      <c r="I331" s="45"/>
      <c r="J331" s="44"/>
      <c r="K331" s="44"/>
      <c r="L331" s="1"/>
      <c r="M331" s="1"/>
      <c r="N331" s="1"/>
    </row>
    <row r="332" spans="1:14" x14ac:dyDescent="0.25">
      <c r="A332" s="1119" t="s">
        <v>2</v>
      </c>
      <c r="B332" s="1120" t="s">
        <v>177</v>
      </c>
      <c r="C332" s="1119" t="s">
        <v>4</v>
      </c>
      <c r="D332" s="1121" t="s">
        <v>5</v>
      </c>
      <c r="E332" s="1121"/>
      <c r="F332" s="1121"/>
      <c r="G332" s="1122" t="s">
        <v>6</v>
      </c>
      <c r="H332" s="1122"/>
      <c r="I332" s="1122"/>
      <c r="J332" s="1119" t="s">
        <v>7</v>
      </c>
      <c r="K332" s="289" t="s">
        <v>8</v>
      </c>
    </row>
    <row r="333" spans="1:14" x14ac:dyDescent="0.25">
      <c r="A333" s="1119"/>
      <c r="B333" s="1120"/>
      <c r="C333" s="1119"/>
      <c r="D333" s="289" t="s">
        <v>9</v>
      </c>
      <c r="E333" s="308" t="s">
        <v>10</v>
      </c>
      <c r="F333" s="308" t="s">
        <v>11</v>
      </c>
      <c r="G333" s="309" t="s">
        <v>12</v>
      </c>
      <c r="H333" s="308" t="s">
        <v>13</v>
      </c>
      <c r="I333" s="308" t="s">
        <v>11</v>
      </c>
      <c r="J333" s="1123"/>
      <c r="K333" s="115"/>
    </row>
    <row r="334" spans="1:14" x14ac:dyDescent="0.25">
      <c r="A334" s="1119"/>
      <c r="B334" s="1120"/>
      <c r="C334" s="1119"/>
      <c r="D334" s="118" t="s">
        <v>14</v>
      </c>
      <c r="E334" s="119" t="s">
        <v>14</v>
      </c>
      <c r="F334" s="119" t="s">
        <v>14</v>
      </c>
      <c r="G334" s="120" t="s">
        <v>15</v>
      </c>
      <c r="H334" s="119" t="s">
        <v>14</v>
      </c>
      <c r="I334" s="119" t="s">
        <v>14</v>
      </c>
      <c r="J334" s="118" t="s">
        <v>15</v>
      </c>
      <c r="K334" s="118"/>
    </row>
    <row r="335" spans="1:14" x14ac:dyDescent="0.25">
      <c r="A335" s="79" t="s">
        <v>185</v>
      </c>
      <c r="B335" s="199" t="s">
        <v>146</v>
      </c>
      <c r="C335" s="260"/>
      <c r="D335" s="10"/>
      <c r="E335" s="34"/>
      <c r="F335" s="34"/>
      <c r="G335" s="6"/>
      <c r="H335" s="34"/>
      <c r="I335" s="34"/>
      <c r="J335" s="10"/>
      <c r="K335" s="10"/>
    </row>
    <row r="336" spans="1:14" x14ac:dyDescent="0.25">
      <c r="A336" s="125" t="s">
        <v>184</v>
      </c>
      <c r="B336" s="280" t="s">
        <v>147</v>
      </c>
      <c r="C336" s="131">
        <f>SUM(C337:C338)</f>
        <v>3395640000</v>
      </c>
      <c r="D336" s="10"/>
      <c r="E336" s="34"/>
      <c r="F336" s="34"/>
      <c r="G336" s="6"/>
      <c r="H336" s="34"/>
      <c r="I336" s="34"/>
      <c r="J336" s="10"/>
      <c r="K336" s="10"/>
    </row>
    <row r="337" spans="1:11" ht="25.5" x14ac:dyDescent="0.25">
      <c r="A337" s="313" t="s">
        <v>44</v>
      </c>
      <c r="B337" s="707" t="s">
        <v>384</v>
      </c>
      <c r="C337" s="253">
        <v>35640000</v>
      </c>
      <c r="D337" s="134">
        <f>C337/C336*100</f>
        <v>1.0495812276919816</v>
      </c>
      <c r="E337" s="134">
        <f t="shared" ref="E337:E338" si="122">G337/C337*100</f>
        <v>0</v>
      </c>
      <c r="F337" s="134">
        <f t="shared" ref="F337:F338" si="123">(D337*E337)/100</f>
        <v>0</v>
      </c>
      <c r="G337" s="181">
        <v>0</v>
      </c>
      <c r="H337" s="134">
        <f t="shared" ref="H337:H338" si="124">G337/C337*100</f>
        <v>0</v>
      </c>
      <c r="I337" s="134">
        <f t="shared" ref="I337:I338" si="125">(D337*H337)/100</f>
        <v>0</v>
      </c>
      <c r="J337" s="6">
        <f t="shared" ref="J337:J338" si="126">G337-C337</f>
        <v>-35640000</v>
      </c>
      <c r="K337" s="10"/>
    </row>
    <row r="338" spans="1:11" x14ac:dyDescent="0.25">
      <c r="A338" s="49" t="s">
        <v>148</v>
      </c>
      <c r="B338" s="133" t="s">
        <v>534</v>
      </c>
      <c r="C338" s="256">
        <v>3360000000</v>
      </c>
      <c r="D338" s="134">
        <f>C338/C336*100</f>
        <v>98.950418772308012</v>
      </c>
      <c r="E338" s="134">
        <f t="shared" si="122"/>
        <v>0</v>
      </c>
      <c r="F338" s="134">
        <f t="shared" si="123"/>
        <v>0</v>
      </c>
      <c r="G338" s="181">
        <v>0</v>
      </c>
      <c r="H338" s="134">
        <f t="shared" si="124"/>
        <v>0</v>
      </c>
      <c r="I338" s="134">
        <f t="shared" si="125"/>
        <v>0</v>
      </c>
      <c r="J338" s="6">
        <f t="shared" si="126"/>
        <v>-3360000000</v>
      </c>
      <c r="K338" s="10"/>
    </row>
    <row r="339" spans="1:11" x14ac:dyDescent="0.25">
      <c r="A339" s="70"/>
      <c r="B339" s="129" t="s">
        <v>95</v>
      </c>
      <c r="C339" s="807">
        <f>SUM(C337:C338)</f>
        <v>3395640000</v>
      </c>
      <c r="D339" s="271">
        <f>SUM(D337:D338)</f>
        <v>100</v>
      </c>
      <c r="E339" s="134"/>
      <c r="F339" s="134"/>
      <c r="G339" s="181">
        <v>0</v>
      </c>
      <c r="H339" s="134"/>
      <c r="I339" s="134"/>
      <c r="J339" s="734"/>
      <c r="K339" s="130"/>
    </row>
    <row r="340" spans="1:11" x14ac:dyDescent="0.25">
      <c r="A340" s="230"/>
      <c r="B340" s="231"/>
      <c r="C340" s="232"/>
      <c r="D340" s="23"/>
      <c r="E340" s="23"/>
      <c r="F340" s="23"/>
      <c r="G340" s="11"/>
      <c r="H340" s="23"/>
      <c r="I340" s="23"/>
      <c r="J340" s="9"/>
      <c r="K340" s="9"/>
    </row>
    <row r="341" spans="1:11" x14ac:dyDescent="0.25">
      <c r="A341" s="1119" t="s">
        <v>2</v>
      </c>
      <c r="B341" s="1120" t="s">
        <v>177</v>
      </c>
      <c r="C341" s="1119" t="s">
        <v>4</v>
      </c>
      <c r="D341" s="1121" t="s">
        <v>5</v>
      </c>
      <c r="E341" s="1121"/>
      <c r="F341" s="1121"/>
      <c r="G341" s="1122" t="s">
        <v>6</v>
      </c>
      <c r="H341" s="1122"/>
      <c r="I341" s="1122"/>
      <c r="J341" s="1119" t="s">
        <v>7</v>
      </c>
      <c r="K341" s="289" t="s">
        <v>8</v>
      </c>
    </row>
    <row r="342" spans="1:11" x14ac:dyDescent="0.25">
      <c r="A342" s="1119"/>
      <c r="B342" s="1120"/>
      <c r="C342" s="1119"/>
      <c r="D342" s="289" t="s">
        <v>9</v>
      </c>
      <c r="E342" s="308" t="s">
        <v>10</v>
      </c>
      <c r="F342" s="308" t="s">
        <v>11</v>
      </c>
      <c r="G342" s="309" t="s">
        <v>12</v>
      </c>
      <c r="H342" s="308" t="s">
        <v>13</v>
      </c>
      <c r="I342" s="308" t="s">
        <v>11</v>
      </c>
      <c r="J342" s="1123"/>
      <c r="K342" s="115"/>
    </row>
    <row r="343" spans="1:11" x14ac:dyDescent="0.25">
      <c r="A343" s="1119"/>
      <c r="B343" s="1120"/>
      <c r="C343" s="1119"/>
      <c r="D343" s="118" t="s">
        <v>14</v>
      </c>
      <c r="E343" s="119" t="s">
        <v>14</v>
      </c>
      <c r="F343" s="119" t="s">
        <v>14</v>
      </c>
      <c r="G343" s="120" t="s">
        <v>15</v>
      </c>
      <c r="H343" s="119" t="s">
        <v>14</v>
      </c>
      <c r="I343" s="119" t="s">
        <v>14</v>
      </c>
      <c r="J343" s="118" t="s">
        <v>15</v>
      </c>
      <c r="K343" s="118"/>
    </row>
    <row r="344" spans="1:11" x14ac:dyDescent="0.25">
      <c r="A344" s="139" t="s">
        <v>185</v>
      </c>
      <c r="B344" s="199" t="s">
        <v>146</v>
      </c>
      <c r="C344" s="24"/>
      <c r="D344" s="10"/>
      <c r="E344" s="34"/>
      <c r="F344" s="34"/>
      <c r="G344" s="6"/>
      <c r="H344" s="34"/>
      <c r="I344" s="34"/>
      <c r="J344" s="10"/>
      <c r="K344" s="10"/>
    </row>
    <row r="345" spans="1:11" x14ac:dyDescent="0.25">
      <c r="A345" s="140" t="s">
        <v>187</v>
      </c>
      <c r="B345" s="280" t="s">
        <v>150</v>
      </c>
      <c r="C345" s="252">
        <f>SUM(C346:C350)</f>
        <v>2057255328</v>
      </c>
      <c r="D345" s="10"/>
      <c r="E345" s="34"/>
      <c r="F345" s="34"/>
      <c r="G345" s="6"/>
      <c r="H345" s="34"/>
      <c r="I345" s="34"/>
      <c r="J345" s="10"/>
      <c r="K345" s="10"/>
    </row>
    <row r="346" spans="1:11" ht="25.5" x14ac:dyDescent="0.25">
      <c r="A346" s="159" t="s">
        <v>44</v>
      </c>
      <c r="B346" s="707" t="s">
        <v>384</v>
      </c>
      <c r="C346" s="253">
        <v>30210000</v>
      </c>
      <c r="D346" s="134">
        <f>C346/C345*100</f>
        <v>1.4684613809880966</v>
      </c>
      <c r="E346" s="134">
        <f t="shared" ref="E346:E349" si="127">G346/C346*100</f>
        <v>0</v>
      </c>
      <c r="F346" s="134">
        <f t="shared" ref="F346:F349" si="128">(D346*E346)/100</f>
        <v>0</v>
      </c>
      <c r="G346" s="181">
        <v>0</v>
      </c>
      <c r="H346" s="134">
        <f t="shared" ref="H346:H349" si="129">G346/C346*100</f>
        <v>0</v>
      </c>
      <c r="I346" s="134">
        <f t="shared" ref="I346:I349" si="130">(D346*H346)/100</f>
        <v>0</v>
      </c>
      <c r="J346" s="6">
        <f t="shared" ref="J346:J350" si="131">G346-C346</f>
        <v>-30210000</v>
      </c>
      <c r="K346" s="10"/>
    </row>
    <row r="347" spans="1:11" ht="25.5" x14ac:dyDescent="0.25">
      <c r="A347" s="313" t="s">
        <v>59</v>
      </c>
      <c r="B347" s="707" t="s">
        <v>197</v>
      </c>
      <c r="C347" s="253">
        <v>690000</v>
      </c>
      <c r="D347" s="134">
        <f>C347/C345*100</f>
        <v>3.3539832932200815E-2</v>
      </c>
      <c r="E347" s="134">
        <f t="shared" si="127"/>
        <v>0</v>
      </c>
      <c r="F347" s="134">
        <f t="shared" si="128"/>
        <v>0</v>
      </c>
      <c r="G347" s="181">
        <v>0</v>
      </c>
      <c r="H347" s="134">
        <f t="shared" si="129"/>
        <v>0</v>
      </c>
      <c r="I347" s="134">
        <f t="shared" si="130"/>
        <v>0</v>
      </c>
      <c r="J347" s="6">
        <f t="shared" si="131"/>
        <v>-690000</v>
      </c>
      <c r="K347" s="10"/>
    </row>
    <row r="348" spans="1:11" x14ac:dyDescent="0.25">
      <c r="A348" s="313" t="s">
        <v>62</v>
      </c>
      <c r="B348" s="133" t="s">
        <v>534</v>
      </c>
      <c r="C348" s="253">
        <v>1440000000</v>
      </c>
      <c r="D348" s="134">
        <f>C348/C345*100</f>
        <v>69.99617307589736</v>
      </c>
      <c r="E348" s="134">
        <f t="shared" si="127"/>
        <v>0</v>
      </c>
      <c r="F348" s="134">
        <f t="shared" si="128"/>
        <v>0</v>
      </c>
      <c r="G348" s="181">
        <v>0</v>
      </c>
      <c r="H348" s="134">
        <f t="shared" si="129"/>
        <v>0</v>
      </c>
      <c r="I348" s="134">
        <f t="shared" si="130"/>
        <v>0</v>
      </c>
      <c r="J348" s="6">
        <f t="shared" si="131"/>
        <v>-1440000000</v>
      </c>
      <c r="K348" s="10"/>
    </row>
    <row r="349" spans="1:11" s="725" customFormat="1" ht="25.5" x14ac:dyDescent="0.2">
      <c r="A349" s="723" t="s">
        <v>152</v>
      </c>
      <c r="B349" s="133" t="s">
        <v>153</v>
      </c>
      <c r="C349" s="724">
        <v>576000000</v>
      </c>
      <c r="D349" s="728">
        <f>C349/C345*100</f>
        <v>27.998469230358946</v>
      </c>
      <c r="E349" s="728">
        <f t="shared" si="127"/>
        <v>0</v>
      </c>
      <c r="F349" s="728">
        <f t="shared" si="128"/>
        <v>0</v>
      </c>
      <c r="G349" s="181">
        <v>0</v>
      </c>
      <c r="H349" s="728">
        <f t="shared" si="129"/>
        <v>0</v>
      </c>
      <c r="I349" s="728">
        <f t="shared" si="130"/>
        <v>0</v>
      </c>
      <c r="J349" s="6">
        <f t="shared" si="131"/>
        <v>-576000000</v>
      </c>
      <c r="K349" s="313"/>
    </row>
    <row r="350" spans="1:11" s="725" customFormat="1" x14ac:dyDescent="0.2">
      <c r="A350" s="749" t="s">
        <v>234</v>
      </c>
      <c r="B350" s="133" t="s">
        <v>522</v>
      </c>
      <c r="C350" s="724">
        <v>10355328</v>
      </c>
      <c r="D350" s="820"/>
      <c r="E350" s="728"/>
      <c r="F350" s="728"/>
      <c r="G350" s="181"/>
      <c r="H350" s="728"/>
      <c r="I350" s="728"/>
      <c r="J350" s="6">
        <f t="shared" si="131"/>
        <v>-10355328</v>
      </c>
      <c r="K350" s="821"/>
    </row>
    <row r="351" spans="1:11" x14ac:dyDescent="0.25">
      <c r="A351" s="70"/>
      <c r="B351" s="129" t="s">
        <v>95</v>
      </c>
      <c r="C351" s="807">
        <f>SUM(C346:C350)</f>
        <v>2057255328</v>
      </c>
      <c r="D351" s="271">
        <f>SUM(D346:D349)</f>
        <v>99.496643520176605</v>
      </c>
      <c r="E351" s="134"/>
      <c r="F351" s="134"/>
      <c r="G351" s="181">
        <v>0</v>
      </c>
      <c r="H351" s="134"/>
      <c r="I351" s="134"/>
      <c r="J351" s="734"/>
      <c r="K351" s="130"/>
    </row>
    <row r="352" spans="1:11" x14ac:dyDescent="0.25">
      <c r="A352" s="50"/>
      <c r="B352" s="5"/>
      <c r="C352" s="50"/>
      <c r="D352" s="9"/>
      <c r="E352" s="23"/>
      <c r="F352" s="23"/>
      <c r="G352" s="11"/>
      <c r="H352" s="23"/>
      <c r="I352" s="23"/>
      <c r="J352" s="9"/>
      <c r="K352" s="9"/>
    </row>
    <row r="353" spans="1:11" x14ac:dyDescent="0.25">
      <c r="A353" s="50"/>
      <c r="B353" s="5"/>
      <c r="C353" s="50"/>
      <c r="D353" s="9"/>
      <c r="E353" s="23"/>
      <c r="F353" s="23"/>
      <c r="G353" s="11"/>
      <c r="H353" s="23"/>
      <c r="I353" s="23"/>
      <c r="J353" s="9"/>
      <c r="K353" s="9"/>
    </row>
    <row r="354" spans="1:11" x14ac:dyDescent="0.25">
      <c r="A354" s="1139" t="s">
        <v>2</v>
      </c>
      <c r="B354" s="1142" t="s">
        <v>175</v>
      </c>
      <c r="C354" s="290"/>
      <c r="D354" s="1145" t="s">
        <v>5</v>
      </c>
      <c r="E354" s="1146"/>
      <c r="F354" s="1147"/>
      <c r="G354" s="1148" t="s">
        <v>6</v>
      </c>
      <c r="H354" s="1149"/>
      <c r="I354" s="1150"/>
      <c r="J354" s="1138" t="s">
        <v>7</v>
      </c>
      <c r="K354" s="198" t="s">
        <v>8</v>
      </c>
    </row>
    <row r="355" spans="1:11" x14ac:dyDescent="0.25">
      <c r="A355" s="1140"/>
      <c r="B355" s="1143"/>
      <c r="C355" s="818" t="s">
        <v>4</v>
      </c>
      <c r="D355" s="198" t="s">
        <v>9</v>
      </c>
      <c r="E355" s="310" t="s">
        <v>10</v>
      </c>
      <c r="F355" s="310" t="s">
        <v>11</v>
      </c>
      <c r="G355" s="194" t="s">
        <v>12</v>
      </c>
      <c r="H355" s="193" t="s">
        <v>13</v>
      </c>
      <c r="I355" s="193" t="s">
        <v>11</v>
      </c>
      <c r="J355" s="1151"/>
      <c r="K355" s="192"/>
    </row>
    <row r="356" spans="1:11" x14ac:dyDescent="0.25">
      <c r="A356" s="1141"/>
      <c r="B356" s="1144"/>
      <c r="C356" s="229"/>
      <c r="D356" s="197" t="s">
        <v>14</v>
      </c>
      <c r="E356" s="195" t="s">
        <v>14</v>
      </c>
      <c r="F356" s="195" t="s">
        <v>14</v>
      </c>
      <c r="G356" s="196" t="s">
        <v>15</v>
      </c>
      <c r="H356" s="195" t="s">
        <v>14</v>
      </c>
      <c r="I356" s="195" t="s">
        <v>14</v>
      </c>
      <c r="J356" s="197" t="s">
        <v>15</v>
      </c>
      <c r="K356" s="197"/>
    </row>
    <row r="357" spans="1:11" ht="25.5" x14ac:dyDescent="0.25">
      <c r="A357" s="321" t="s">
        <v>180</v>
      </c>
      <c r="B357" s="696" t="s">
        <v>379</v>
      </c>
      <c r="C357" s="291"/>
      <c r="D357" s="121"/>
      <c r="E357" s="122"/>
      <c r="F357" s="122"/>
      <c r="G357" s="123"/>
      <c r="H357" s="122"/>
      <c r="I357" s="122"/>
      <c r="J357" s="121"/>
      <c r="K357" s="121"/>
    </row>
    <row r="358" spans="1:11" ht="25.5" x14ac:dyDescent="0.25">
      <c r="A358" s="160" t="s">
        <v>181</v>
      </c>
      <c r="B358" s="697" t="s">
        <v>380</v>
      </c>
      <c r="C358" s="261">
        <f>SUM(C359:C374)</f>
        <v>185000000</v>
      </c>
      <c r="D358" s="161"/>
      <c r="E358" s="161"/>
      <c r="F358" s="161"/>
      <c r="G358" s="82"/>
      <c r="H358" s="161"/>
      <c r="I358" s="161"/>
      <c r="J358" s="162"/>
      <c r="K358" s="162"/>
    </row>
    <row r="359" spans="1:11" ht="25.5" x14ac:dyDescent="0.25">
      <c r="A359" s="314" t="s">
        <v>44</v>
      </c>
      <c r="B359" s="707" t="s">
        <v>384</v>
      </c>
      <c r="C359" s="262">
        <v>8580000</v>
      </c>
      <c r="D359" s="134">
        <f>C359/C358*100</f>
        <v>4.6378378378378375</v>
      </c>
      <c r="E359" s="134">
        <f t="shared" ref="E359:E367" si="132">G359/C359*100</f>
        <v>0</v>
      </c>
      <c r="F359" s="134">
        <f t="shared" ref="F359:F367" si="133">(D359*E359)/100</f>
        <v>0</v>
      </c>
      <c r="G359" s="181">
        <v>0</v>
      </c>
      <c r="H359" s="134">
        <f t="shared" ref="H359:H367" si="134">G359/C359*100</f>
        <v>0</v>
      </c>
      <c r="I359" s="134">
        <f t="shared" ref="I359:I367" si="135">(D359*H359)/100</f>
        <v>0</v>
      </c>
      <c r="J359" s="6">
        <f t="shared" ref="J359:J374" si="136">G359-C359</f>
        <v>-8580000</v>
      </c>
      <c r="K359" s="10"/>
    </row>
    <row r="360" spans="1:11" ht="25.5" x14ac:dyDescent="0.25">
      <c r="A360" s="314" t="s">
        <v>59</v>
      </c>
      <c r="B360" s="707" t="s">
        <v>197</v>
      </c>
      <c r="C360" s="262">
        <v>12218350</v>
      </c>
      <c r="D360" s="134">
        <f>C360/C358*100</f>
        <v>6.6045135135135133</v>
      </c>
      <c r="E360" s="134">
        <f t="shared" si="132"/>
        <v>0</v>
      </c>
      <c r="F360" s="134">
        <f t="shared" si="133"/>
        <v>0</v>
      </c>
      <c r="G360" s="181">
        <v>0</v>
      </c>
      <c r="H360" s="134">
        <f t="shared" si="134"/>
        <v>0</v>
      </c>
      <c r="I360" s="134">
        <f t="shared" si="135"/>
        <v>0</v>
      </c>
      <c r="J360" s="6">
        <f t="shared" si="136"/>
        <v>-12218350</v>
      </c>
      <c r="K360" s="10"/>
    </row>
    <row r="361" spans="1:11" x14ac:dyDescent="0.25">
      <c r="A361" s="314" t="s">
        <v>62</v>
      </c>
      <c r="B361" s="707" t="s">
        <v>334</v>
      </c>
      <c r="C361" s="262">
        <v>9787450</v>
      </c>
      <c r="D361" s="134">
        <f>C361/C358*100</f>
        <v>5.2905135135135142</v>
      </c>
      <c r="E361" s="134">
        <f t="shared" si="132"/>
        <v>0</v>
      </c>
      <c r="F361" s="134">
        <f t="shared" si="133"/>
        <v>0</v>
      </c>
      <c r="G361" s="181">
        <v>0</v>
      </c>
      <c r="H361" s="134">
        <f t="shared" si="134"/>
        <v>0</v>
      </c>
      <c r="I361" s="134">
        <f t="shared" si="135"/>
        <v>0</v>
      </c>
      <c r="J361" s="6">
        <f t="shared" si="136"/>
        <v>-9787450</v>
      </c>
      <c r="K361" s="10"/>
    </row>
    <row r="362" spans="1:11" x14ac:dyDescent="0.25">
      <c r="A362" s="314" t="s">
        <v>148</v>
      </c>
      <c r="B362" s="133" t="s">
        <v>534</v>
      </c>
      <c r="C362" s="262">
        <v>8000000</v>
      </c>
      <c r="D362" s="134"/>
      <c r="E362" s="134"/>
      <c r="F362" s="134"/>
      <c r="G362" s="181"/>
      <c r="H362" s="134"/>
      <c r="I362" s="134"/>
      <c r="J362" s="6">
        <f t="shared" si="136"/>
        <v>-8000000</v>
      </c>
      <c r="K362" s="10"/>
    </row>
    <row r="363" spans="1:11" x14ac:dyDescent="0.25">
      <c r="A363" s="314" t="s">
        <v>194</v>
      </c>
      <c r="B363" s="49" t="s">
        <v>139</v>
      </c>
      <c r="C363" s="263">
        <v>42400000</v>
      </c>
      <c r="D363" s="134">
        <f>C363/C358*100</f>
        <v>22.918918918918919</v>
      </c>
      <c r="E363" s="134">
        <f t="shared" si="132"/>
        <v>0</v>
      </c>
      <c r="F363" s="134">
        <f t="shared" si="133"/>
        <v>0</v>
      </c>
      <c r="G363" s="181">
        <v>0</v>
      </c>
      <c r="H363" s="134">
        <f t="shared" si="134"/>
        <v>0</v>
      </c>
      <c r="I363" s="134">
        <f t="shared" si="135"/>
        <v>0</v>
      </c>
      <c r="J363" s="6">
        <f t="shared" si="136"/>
        <v>-42400000</v>
      </c>
      <c r="K363" s="10"/>
    </row>
    <row r="364" spans="1:11" x14ac:dyDescent="0.25">
      <c r="A364" s="314" t="s">
        <v>183</v>
      </c>
      <c r="B364" s="49" t="s">
        <v>417</v>
      </c>
      <c r="C364" s="263">
        <v>4500000</v>
      </c>
      <c r="D364" s="134"/>
      <c r="E364" s="134">
        <f t="shared" si="132"/>
        <v>0</v>
      </c>
      <c r="F364" s="134"/>
      <c r="G364" s="181">
        <v>0</v>
      </c>
      <c r="H364" s="134">
        <f t="shared" si="134"/>
        <v>0</v>
      </c>
      <c r="I364" s="134"/>
      <c r="J364" s="6">
        <f t="shared" si="136"/>
        <v>-4500000</v>
      </c>
      <c r="K364" s="10"/>
    </row>
    <row r="365" spans="1:11" x14ac:dyDescent="0.25">
      <c r="A365" s="322" t="s">
        <v>195</v>
      </c>
      <c r="B365" s="170" t="s">
        <v>179</v>
      </c>
      <c r="C365" s="178">
        <v>24500000</v>
      </c>
      <c r="D365" s="134">
        <f>C365/C358*100</f>
        <v>13.243243243243244</v>
      </c>
      <c r="E365" s="134">
        <f t="shared" si="132"/>
        <v>0</v>
      </c>
      <c r="F365" s="134">
        <f t="shared" si="133"/>
        <v>0</v>
      </c>
      <c r="G365" s="181">
        <v>0</v>
      </c>
      <c r="H365" s="134">
        <f t="shared" si="134"/>
        <v>0</v>
      </c>
      <c r="I365" s="134">
        <f t="shared" si="135"/>
        <v>0</v>
      </c>
      <c r="J365" s="6">
        <f t="shared" si="136"/>
        <v>-24500000</v>
      </c>
      <c r="K365" s="10"/>
    </row>
    <row r="366" spans="1:11" x14ac:dyDescent="0.25">
      <c r="A366" s="322" t="s">
        <v>62</v>
      </c>
      <c r="B366" s="170" t="s">
        <v>418</v>
      </c>
      <c r="C366" s="178">
        <v>7500000</v>
      </c>
      <c r="D366" s="134"/>
      <c r="E366" s="134"/>
      <c r="F366" s="134"/>
      <c r="G366" s="181">
        <v>0</v>
      </c>
      <c r="H366" s="134"/>
      <c r="I366" s="134"/>
      <c r="J366" s="6">
        <f t="shared" si="136"/>
        <v>-7500000</v>
      </c>
      <c r="K366" s="10"/>
    </row>
    <row r="367" spans="1:11" ht="25.5" x14ac:dyDescent="0.25">
      <c r="A367" s="314" t="s">
        <v>106</v>
      </c>
      <c r="B367" s="316" t="s">
        <v>375</v>
      </c>
      <c r="C367" s="263">
        <v>16650000</v>
      </c>
      <c r="D367" s="134">
        <f>C367/C358*100</f>
        <v>9</v>
      </c>
      <c r="E367" s="134">
        <f t="shared" si="132"/>
        <v>0</v>
      </c>
      <c r="F367" s="134">
        <f t="shared" si="133"/>
        <v>0</v>
      </c>
      <c r="G367" s="181">
        <v>0</v>
      </c>
      <c r="H367" s="134">
        <f t="shared" si="134"/>
        <v>0</v>
      </c>
      <c r="I367" s="134">
        <f t="shared" si="135"/>
        <v>0</v>
      </c>
      <c r="J367" s="6">
        <f t="shared" si="136"/>
        <v>-16650000</v>
      </c>
      <c r="K367" s="10"/>
    </row>
    <row r="368" spans="1:11" x14ac:dyDescent="0.25">
      <c r="A368" s="745" t="s">
        <v>162</v>
      </c>
      <c r="B368" s="746" t="s">
        <v>538</v>
      </c>
      <c r="C368" s="263">
        <v>3000000</v>
      </c>
      <c r="D368" s="134"/>
      <c r="E368" s="134"/>
      <c r="F368" s="134"/>
      <c r="G368" s="181"/>
      <c r="H368" s="134"/>
      <c r="I368" s="134"/>
      <c r="J368" s="6">
        <f t="shared" si="136"/>
        <v>-3000000</v>
      </c>
      <c r="K368" s="10"/>
    </row>
    <row r="369" spans="1:14" x14ac:dyDescent="0.25">
      <c r="A369" s="745" t="s">
        <v>521</v>
      </c>
      <c r="B369" s="746" t="s">
        <v>539</v>
      </c>
      <c r="C369" s="263">
        <v>3000000</v>
      </c>
      <c r="D369" s="134"/>
      <c r="E369" s="134"/>
      <c r="F369" s="134"/>
      <c r="G369" s="181"/>
      <c r="H369" s="134"/>
      <c r="I369" s="134"/>
      <c r="J369" s="6">
        <f t="shared" si="136"/>
        <v>-3000000</v>
      </c>
      <c r="K369" s="10"/>
    </row>
    <row r="370" spans="1:14" ht="25.5" x14ac:dyDescent="0.25">
      <c r="A370" s="745" t="s">
        <v>116</v>
      </c>
      <c r="B370" s="316" t="s">
        <v>420</v>
      </c>
      <c r="C370" s="263">
        <v>5464200</v>
      </c>
      <c r="D370" s="134"/>
      <c r="E370" s="134"/>
      <c r="F370" s="134"/>
      <c r="G370" s="181"/>
      <c r="H370" s="134"/>
      <c r="I370" s="134"/>
      <c r="J370" s="6">
        <f t="shared" si="136"/>
        <v>-5464200</v>
      </c>
      <c r="K370" s="10"/>
    </row>
    <row r="371" spans="1:14" x14ac:dyDescent="0.25">
      <c r="A371" s="745" t="s">
        <v>65</v>
      </c>
      <c r="B371" s="754" t="s">
        <v>190</v>
      </c>
      <c r="C371" s="263">
        <v>7000000</v>
      </c>
      <c r="D371" s="134"/>
      <c r="E371" s="134"/>
      <c r="F371" s="134"/>
      <c r="G371" s="181"/>
      <c r="H371" s="134"/>
      <c r="I371" s="134"/>
      <c r="J371" s="6">
        <f t="shared" si="136"/>
        <v>-7000000</v>
      </c>
      <c r="K371" s="10"/>
    </row>
    <row r="372" spans="1:14" x14ac:dyDescent="0.25">
      <c r="A372" s="745" t="s">
        <v>400</v>
      </c>
      <c r="B372" s="754" t="s">
        <v>401</v>
      </c>
      <c r="C372" s="263">
        <v>7000000</v>
      </c>
      <c r="D372" s="134"/>
      <c r="E372" s="134"/>
      <c r="F372" s="134"/>
      <c r="G372" s="181"/>
      <c r="H372" s="134"/>
      <c r="I372" s="134"/>
      <c r="J372" s="6">
        <f t="shared" si="136"/>
        <v>-7000000</v>
      </c>
      <c r="K372" s="10"/>
    </row>
    <row r="373" spans="1:14" x14ac:dyDescent="0.25">
      <c r="A373" s="745" t="s">
        <v>301</v>
      </c>
      <c r="B373" s="746" t="s">
        <v>409</v>
      </c>
      <c r="C373" s="263">
        <v>20400000</v>
      </c>
      <c r="D373" s="134">
        <f>C373/C359*100</f>
        <v>237.76223776223776</v>
      </c>
      <c r="E373" s="134"/>
      <c r="F373" s="134"/>
      <c r="G373" s="181">
        <v>0</v>
      </c>
      <c r="H373" s="134"/>
      <c r="I373" s="134"/>
      <c r="J373" s="6">
        <f t="shared" si="136"/>
        <v>-20400000</v>
      </c>
      <c r="K373" s="10"/>
    </row>
    <row r="374" spans="1:14" x14ac:dyDescent="0.25">
      <c r="A374" s="745" t="s">
        <v>275</v>
      </c>
      <c r="B374" s="316" t="s">
        <v>543</v>
      </c>
      <c r="C374" s="263">
        <v>5000000</v>
      </c>
      <c r="D374" s="134"/>
      <c r="E374" s="134"/>
      <c r="F374" s="134"/>
      <c r="G374" s="181"/>
      <c r="H374" s="134"/>
      <c r="I374" s="134"/>
      <c r="J374" s="6">
        <f t="shared" si="136"/>
        <v>-5000000</v>
      </c>
      <c r="K374" s="10"/>
    </row>
    <row r="375" spans="1:14" x14ac:dyDescent="0.25">
      <c r="A375" s="1152" t="s">
        <v>95</v>
      </c>
      <c r="B375" s="1154"/>
      <c r="C375" s="822">
        <f>SUM(C359:C374)</f>
        <v>185000000</v>
      </c>
      <c r="D375" s="12">
        <f>SUM(D359:D367)</f>
        <v>61.695027027027024</v>
      </c>
      <c r="E375" s="134"/>
      <c r="F375" s="134"/>
      <c r="G375" s="181">
        <v>0</v>
      </c>
      <c r="H375" s="134"/>
      <c r="I375" s="134"/>
      <c r="J375" s="56">
        <v>0</v>
      </c>
      <c r="K375" s="3">
        <v>0</v>
      </c>
    </row>
    <row r="376" spans="1:14" x14ac:dyDescent="0.25">
      <c r="A376" s="5"/>
      <c r="B376" s="5"/>
      <c r="C376" s="5"/>
      <c r="D376" s="29"/>
      <c r="E376" s="30"/>
      <c r="F376" s="31"/>
      <c r="G376" s="36"/>
      <c r="H376" s="32"/>
      <c r="I376" s="31"/>
      <c r="J376" s="36"/>
      <c r="K376" s="37"/>
    </row>
    <row r="377" spans="1:14" ht="31.5" x14ac:dyDescent="0.25">
      <c r="A377" s="55"/>
      <c r="B377" s="46" t="s">
        <v>145</v>
      </c>
      <c r="C377" s="155"/>
      <c r="D377" s="44"/>
      <c r="E377" s="45"/>
      <c r="F377" s="45"/>
      <c r="G377" s="48"/>
      <c r="H377" s="45"/>
      <c r="I377" s="45"/>
      <c r="J377" s="44"/>
      <c r="K377" s="44"/>
      <c r="L377" s="1"/>
      <c r="M377" s="1"/>
      <c r="N377" s="1"/>
    </row>
    <row r="378" spans="1:14" x14ac:dyDescent="0.25">
      <c r="A378" s="1133" t="s">
        <v>2</v>
      </c>
      <c r="B378" s="1134" t="s">
        <v>175</v>
      </c>
      <c r="C378" s="1133" t="s">
        <v>4</v>
      </c>
      <c r="D378" s="1135" t="s">
        <v>5</v>
      </c>
      <c r="E378" s="1136"/>
      <c r="F378" s="1136"/>
      <c r="G378" s="1137" t="s">
        <v>6</v>
      </c>
      <c r="H378" s="1136"/>
      <c r="I378" s="1136"/>
      <c r="J378" s="1133" t="s">
        <v>7</v>
      </c>
      <c r="K378" s="198" t="s">
        <v>8</v>
      </c>
    </row>
    <row r="379" spans="1:14" x14ac:dyDescent="0.25">
      <c r="A379" s="1133"/>
      <c r="B379" s="1134"/>
      <c r="C379" s="1133"/>
      <c r="D379" s="198" t="s">
        <v>9</v>
      </c>
      <c r="E379" s="310" t="s">
        <v>10</v>
      </c>
      <c r="F379" s="310" t="s">
        <v>11</v>
      </c>
      <c r="G379" s="311" t="s">
        <v>12</v>
      </c>
      <c r="H379" s="310" t="s">
        <v>13</v>
      </c>
      <c r="I379" s="310" t="s">
        <v>11</v>
      </c>
      <c r="J379" s="1138"/>
      <c r="K379" s="192"/>
    </row>
    <row r="380" spans="1:14" x14ac:dyDescent="0.25">
      <c r="A380" s="1133"/>
      <c r="B380" s="1134"/>
      <c r="C380" s="1133"/>
      <c r="D380" s="197" t="s">
        <v>14</v>
      </c>
      <c r="E380" s="195" t="s">
        <v>14</v>
      </c>
      <c r="F380" s="195" t="s">
        <v>14</v>
      </c>
      <c r="G380" s="196" t="s">
        <v>15</v>
      </c>
      <c r="H380" s="195" t="s">
        <v>14</v>
      </c>
      <c r="I380" s="195" t="s">
        <v>14</v>
      </c>
      <c r="J380" s="197" t="s">
        <v>15</v>
      </c>
      <c r="K380" s="197"/>
    </row>
    <row r="381" spans="1:14" x14ac:dyDescent="0.25">
      <c r="A381" s="79" t="s">
        <v>185</v>
      </c>
      <c r="B381" s="199" t="s">
        <v>146</v>
      </c>
      <c r="C381" s="24"/>
      <c r="D381" s="10"/>
      <c r="E381" s="34"/>
      <c r="F381" s="34"/>
      <c r="G381" s="6"/>
      <c r="H381" s="34"/>
      <c r="I381" s="34"/>
      <c r="J381" s="10"/>
      <c r="K381" s="10"/>
    </row>
    <row r="382" spans="1:14" x14ac:dyDescent="0.25">
      <c r="A382" s="125" t="s">
        <v>184</v>
      </c>
      <c r="B382" s="280" t="s">
        <v>147</v>
      </c>
      <c r="C382" s="252">
        <f>SUM(C383:C384)</f>
        <v>1430900000</v>
      </c>
      <c r="D382" s="10"/>
      <c r="E382" s="34"/>
      <c r="F382" s="34"/>
      <c r="G382" s="6"/>
      <c r="H382" s="34"/>
      <c r="I382" s="34"/>
      <c r="J382" s="10"/>
      <c r="K382" s="10"/>
    </row>
    <row r="383" spans="1:14" ht="25.5" x14ac:dyDescent="0.25">
      <c r="A383" s="154" t="s">
        <v>44</v>
      </c>
      <c r="B383" s="707" t="s">
        <v>384</v>
      </c>
      <c r="C383" s="253">
        <v>30900000</v>
      </c>
      <c r="D383" s="134">
        <f>C383/C382*100</f>
        <v>2.1594800475225382</v>
      </c>
      <c r="E383" s="134">
        <f t="shared" ref="E383:E384" si="137">G383/C383*100</f>
        <v>0</v>
      </c>
      <c r="F383" s="134">
        <f t="shared" ref="F383:F384" si="138">(D383*E383)/100</f>
        <v>0</v>
      </c>
      <c r="G383" s="181">
        <v>0</v>
      </c>
      <c r="H383" s="134">
        <f t="shared" ref="H383:H384" si="139">G383/C383*100</f>
        <v>0</v>
      </c>
      <c r="I383" s="134">
        <f t="shared" ref="I383:I384" si="140">(D383*H383)/100</f>
        <v>0</v>
      </c>
      <c r="J383" s="6">
        <f t="shared" ref="J383:J384" si="141">G383-C383</f>
        <v>-30900000</v>
      </c>
      <c r="K383" s="10"/>
    </row>
    <row r="384" spans="1:14" x14ac:dyDescent="0.25">
      <c r="A384" s="124" t="s">
        <v>148</v>
      </c>
      <c r="B384" s="133" t="s">
        <v>534</v>
      </c>
      <c r="C384" s="256">
        <v>1400000000</v>
      </c>
      <c r="D384" s="134">
        <f>C384/C382*100</f>
        <v>97.840519952477464</v>
      </c>
      <c r="E384" s="134">
        <f t="shared" si="137"/>
        <v>0</v>
      </c>
      <c r="F384" s="134">
        <f t="shared" si="138"/>
        <v>0</v>
      </c>
      <c r="G384" s="181">
        <v>0</v>
      </c>
      <c r="H384" s="134">
        <f t="shared" si="139"/>
        <v>0</v>
      </c>
      <c r="I384" s="134">
        <f t="shared" si="140"/>
        <v>0</v>
      </c>
      <c r="J384" s="6">
        <f t="shared" si="141"/>
        <v>-1400000000</v>
      </c>
      <c r="K384" s="10"/>
    </row>
    <row r="385" spans="1:11" x14ac:dyDescent="0.25">
      <c r="A385" s="70"/>
      <c r="B385" s="129" t="s">
        <v>95</v>
      </c>
      <c r="C385" s="807">
        <f>SUM(C383:C384)</f>
        <v>1430900000</v>
      </c>
      <c r="D385" s="271">
        <f>SUM(D383:D384)</f>
        <v>100</v>
      </c>
      <c r="E385" s="134"/>
      <c r="F385" s="134"/>
      <c r="G385" s="181">
        <v>0</v>
      </c>
      <c r="H385" s="134"/>
      <c r="I385" s="134"/>
      <c r="J385" s="56">
        <v>0</v>
      </c>
      <c r="K385" s="130"/>
    </row>
    <row r="386" spans="1:11" x14ac:dyDescent="0.25">
      <c r="A386" s="5"/>
      <c r="B386" s="5"/>
      <c r="C386" s="5"/>
      <c r="D386" s="29"/>
      <c r="E386" s="30"/>
      <c r="F386" s="31"/>
      <c r="G386" s="36"/>
      <c r="H386" s="32"/>
      <c r="I386" s="31"/>
      <c r="J386" s="36"/>
      <c r="K386" s="37"/>
    </row>
    <row r="387" spans="1:11" x14ac:dyDescent="0.25">
      <c r="A387" s="1133" t="s">
        <v>2</v>
      </c>
      <c r="B387" s="1134" t="s">
        <v>175</v>
      </c>
      <c r="C387" s="1133" t="s">
        <v>4</v>
      </c>
      <c r="D387" s="1135" t="s">
        <v>5</v>
      </c>
      <c r="E387" s="1136"/>
      <c r="F387" s="1136"/>
      <c r="G387" s="1137" t="s">
        <v>6</v>
      </c>
      <c r="H387" s="1136"/>
      <c r="I387" s="1136"/>
      <c r="J387" s="1133" t="s">
        <v>7</v>
      </c>
      <c r="K387" s="198" t="s">
        <v>8</v>
      </c>
    </row>
    <row r="388" spans="1:11" x14ac:dyDescent="0.25">
      <c r="A388" s="1133"/>
      <c r="B388" s="1134"/>
      <c r="C388" s="1133"/>
      <c r="D388" s="198" t="s">
        <v>9</v>
      </c>
      <c r="E388" s="310" t="s">
        <v>10</v>
      </c>
      <c r="F388" s="310" t="s">
        <v>11</v>
      </c>
      <c r="G388" s="311" t="s">
        <v>12</v>
      </c>
      <c r="H388" s="310" t="s">
        <v>13</v>
      </c>
      <c r="I388" s="310" t="s">
        <v>11</v>
      </c>
      <c r="J388" s="1138"/>
      <c r="K388" s="192"/>
    </row>
    <row r="389" spans="1:11" x14ac:dyDescent="0.25">
      <c r="A389" s="1133"/>
      <c r="B389" s="1134"/>
      <c r="C389" s="1133"/>
      <c r="D389" s="197" t="s">
        <v>14</v>
      </c>
      <c r="E389" s="195" t="s">
        <v>14</v>
      </c>
      <c r="F389" s="195" t="s">
        <v>14</v>
      </c>
      <c r="G389" s="196" t="s">
        <v>15</v>
      </c>
      <c r="H389" s="195" t="s">
        <v>14</v>
      </c>
      <c r="I389" s="195" t="s">
        <v>14</v>
      </c>
      <c r="J389" s="197" t="s">
        <v>15</v>
      </c>
      <c r="K389" s="197"/>
    </row>
    <row r="390" spans="1:11" x14ac:dyDescent="0.25">
      <c r="A390" s="79" t="s">
        <v>185</v>
      </c>
      <c r="B390" s="199" t="s">
        <v>146</v>
      </c>
      <c r="C390" s="24"/>
      <c r="D390" s="10"/>
      <c r="E390" s="34"/>
      <c r="F390" s="34"/>
      <c r="G390" s="6"/>
      <c r="H390" s="34"/>
      <c r="I390" s="34"/>
      <c r="J390" s="10"/>
      <c r="K390" s="10"/>
    </row>
    <row r="391" spans="1:11" x14ac:dyDescent="0.25">
      <c r="A391" s="125" t="s">
        <v>187</v>
      </c>
      <c r="B391" s="280" t="s">
        <v>156</v>
      </c>
      <c r="C391" s="252">
        <f>SUM(C392:C395)</f>
        <v>870474720</v>
      </c>
      <c r="D391" s="10"/>
      <c r="E391" s="14"/>
      <c r="F391" s="34"/>
      <c r="G391" s="6"/>
      <c r="H391" s="34"/>
      <c r="I391" s="34"/>
      <c r="J391" s="35"/>
      <c r="K391" s="10"/>
    </row>
    <row r="392" spans="1:11" ht="25.5" x14ac:dyDescent="0.25">
      <c r="A392" s="49" t="s">
        <v>59</v>
      </c>
      <c r="B392" s="707" t="s">
        <v>384</v>
      </c>
      <c r="C392" s="256">
        <v>26160000</v>
      </c>
      <c r="D392" s="34">
        <f>C392/C391*100</f>
        <v>3.0052567178516112</v>
      </c>
      <c r="E392" s="134">
        <f t="shared" ref="E392:E394" si="142">G392/C392*100</f>
        <v>0</v>
      </c>
      <c r="F392" s="134">
        <f t="shared" ref="F392:F394" si="143">(D392*E392)/100</f>
        <v>0</v>
      </c>
      <c r="G392" s="181">
        <v>0</v>
      </c>
      <c r="H392" s="134">
        <f t="shared" ref="H392:H394" si="144">G392/C392*100</f>
        <v>0</v>
      </c>
      <c r="I392" s="134">
        <f t="shared" ref="I392:I394" si="145">(D392*H392)/100</f>
        <v>0</v>
      </c>
      <c r="J392" s="6">
        <f t="shared" ref="J392:J395" si="146">G392-C392</f>
        <v>-26160000</v>
      </c>
      <c r="K392" s="10"/>
    </row>
    <row r="393" spans="1:11" x14ac:dyDescent="0.25">
      <c r="A393" s="49" t="s">
        <v>148</v>
      </c>
      <c r="B393" s="133" t="s">
        <v>534</v>
      </c>
      <c r="C393" s="264">
        <v>600000000</v>
      </c>
      <c r="D393" s="134">
        <f>C393/C391*100</f>
        <v>68.927906372743365</v>
      </c>
      <c r="E393" s="134">
        <f t="shared" si="142"/>
        <v>0</v>
      </c>
      <c r="F393" s="134">
        <f t="shared" si="143"/>
        <v>0</v>
      </c>
      <c r="G393" s="181">
        <v>0</v>
      </c>
      <c r="H393" s="134">
        <f t="shared" si="144"/>
        <v>0</v>
      </c>
      <c r="I393" s="134">
        <f t="shared" si="145"/>
        <v>0</v>
      </c>
      <c r="J393" s="6">
        <f t="shared" si="146"/>
        <v>-600000000</v>
      </c>
      <c r="K393" s="3"/>
    </row>
    <row r="394" spans="1:11" s="84" customFormat="1" ht="25.5" x14ac:dyDescent="0.2">
      <c r="A394" s="723" t="s">
        <v>152</v>
      </c>
      <c r="B394" s="133" t="s">
        <v>153</v>
      </c>
      <c r="C394" s="264">
        <v>240000000</v>
      </c>
      <c r="D394" s="134">
        <f>C394/C391*100</f>
        <v>27.571162549097352</v>
      </c>
      <c r="E394" s="134">
        <f t="shared" si="142"/>
        <v>0</v>
      </c>
      <c r="F394" s="134">
        <f t="shared" si="143"/>
        <v>0</v>
      </c>
      <c r="G394" s="181">
        <v>0</v>
      </c>
      <c r="H394" s="134">
        <f t="shared" si="144"/>
        <v>0</v>
      </c>
      <c r="I394" s="134">
        <f t="shared" si="145"/>
        <v>0</v>
      </c>
      <c r="J394" s="6">
        <f t="shared" si="146"/>
        <v>-240000000</v>
      </c>
      <c r="K394" s="85"/>
    </row>
    <row r="395" spans="1:11" s="84" customFormat="1" x14ac:dyDescent="0.2">
      <c r="A395" s="749" t="s">
        <v>234</v>
      </c>
      <c r="B395" s="133" t="s">
        <v>522</v>
      </c>
      <c r="C395" s="264">
        <v>4314720</v>
      </c>
      <c r="D395" s="804"/>
      <c r="E395" s="134"/>
      <c r="F395" s="134"/>
      <c r="G395" s="181"/>
      <c r="H395" s="134"/>
      <c r="I395" s="134"/>
      <c r="J395" s="6">
        <f t="shared" si="146"/>
        <v>-4314720</v>
      </c>
      <c r="K395" s="823"/>
    </row>
    <row r="396" spans="1:11" x14ac:dyDescent="0.25">
      <c r="A396" s="73"/>
      <c r="B396" s="136" t="s">
        <v>154</v>
      </c>
      <c r="C396" s="824">
        <f>SUM(C392:C395)</f>
        <v>870474720</v>
      </c>
      <c r="D396" s="272">
        <f>SUM(D392:D394)</f>
        <v>99.504325639692325</v>
      </c>
      <c r="E396" s="134"/>
      <c r="F396" s="134"/>
      <c r="G396" s="181">
        <v>0</v>
      </c>
      <c r="H396" s="134"/>
      <c r="I396" s="134"/>
      <c r="J396" s="56">
        <v>0</v>
      </c>
      <c r="K396" s="40"/>
    </row>
    <row r="397" spans="1:11" x14ac:dyDescent="0.25">
      <c r="A397" s="50"/>
      <c r="B397" s="5"/>
      <c r="C397" s="50" t="s">
        <v>141</v>
      </c>
      <c r="D397" s="9"/>
      <c r="E397" s="23"/>
      <c r="F397" s="23"/>
      <c r="G397" s="11"/>
      <c r="H397" s="23"/>
      <c r="I397" s="23"/>
      <c r="J397" s="9"/>
      <c r="K397" s="9"/>
    </row>
    <row r="398" spans="1:11" x14ac:dyDescent="0.25">
      <c r="A398" s="50"/>
      <c r="B398" s="5"/>
      <c r="C398" s="50"/>
      <c r="D398" s="9"/>
      <c r="E398" s="23"/>
      <c r="F398" s="23"/>
      <c r="G398" s="11"/>
      <c r="H398" s="23"/>
      <c r="I398" s="23"/>
      <c r="J398" s="9"/>
      <c r="K398" s="9"/>
    </row>
    <row r="399" spans="1:11" x14ac:dyDescent="0.25">
      <c r="A399" s="1123" t="s">
        <v>2</v>
      </c>
      <c r="B399" s="1126" t="s">
        <v>171</v>
      </c>
      <c r="C399" s="1123" t="s">
        <v>4</v>
      </c>
      <c r="D399" s="1155" t="s">
        <v>5</v>
      </c>
      <c r="E399" s="1156"/>
      <c r="F399" s="1157"/>
      <c r="G399" s="1158" t="s">
        <v>6</v>
      </c>
      <c r="H399" s="1159"/>
      <c r="I399" s="1160"/>
      <c r="J399" s="1123" t="s">
        <v>7</v>
      </c>
      <c r="K399" s="289" t="s">
        <v>8</v>
      </c>
    </row>
    <row r="400" spans="1:11" x14ac:dyDescent="0.25">
      <c r="A400" s="1124"/>
      <c r="B400" s="1127"/>
      <c r="C400" s="1124"/>
      <c r="D400" s="289" t="s">
        <v>9</v>
      </c>
      <c r="E400" s="308" t="s">
        <v>10</v>
      </c>
      <c r="F400" s="308" t="s">
        <v>11</v>
      </c>
      <c r="G400" s="309" t="s">
        <v>12</v>
      </c>
      <c r="H400" s="308" t="s">
        <v>13</v>
      </c>
      <c r="I400" s="308" t="s">
        <v>11</v>
      </c>
      <c r="J400" s="1124"/>
      <c r="K400" s="115"/>
    </row>
    <row r="401" spans="1:14" x14ac:dyDescent="0.25">
      <c r="A401" s="1125"/>
      <c r="B401" s="1128"/>
      <c r="C401" s="1125"/>
      <c r="D401" s="118" t="s">
        <v>14</v>
      </c>
      <c r="E401" s="119" t="s">
        <v>14</v>
      </c>
      <c r="F401" s="119" t="s">
        <v>14</v>
      </c>
      <c r="G401" s="120" t="s">
        <v>15</v>
      </c>
      <c r="H401" s="119" t="s">
        <v>14</v>
      </c>
      <c r="I401" s="119" t="s">
        <v>14</v>
      </c>
      <c r="J401" s="118" t="s">
        <v>15</v>
      </c>
      <c r="K401" s="118"/>
    </row>
    <row r="402" spans="1:14" ht="25.5" x14ac:dyDescent="0.25">
      <c r="A402" s="79" t="s">
        <v>180</v>
      </c>
      <c r="B402" s="696" t="s">
        <v>379</v>
      </c>
      <c r="C402" s="128"/>
      <c r="D402" s="10"/>
      <c r="E402" s="34"/>
      <c r="F402" s="34"/>
      <c r="G402" s="6"/>
      <c r="H402" s="34"/>
      <c r="I402" s="34"/>
      <c r="J402" s="10"/>
      <c r="K402" s="10"/>
    </row>
    <row r="403" spans="1:14" ht="25.5" x14ac:dyDescent="0.25">
      <c r="A403" s="158" t="s">
        <v>181</v>
      </c>
      <c r="B403" s="697" t="s">
        <v>380</v>
      </c>
      <c r="C403" s="265">
        <f>SUM(C404:C415)</f>
        <v>185000000</v>
      </c>
      <c r="D403" s="10"/>
      <c r="E403" s="34"/>
      <c r="F403" s="34"/>
      <c r="G403" s="6"/>
      <c r="H403" s="34"/>
      <c r="I403" s="34"/>
      <c r="J403" s="10"/>
      <c r="K403" s="10"/>
    </row>
    <row r="404" spans="1:14" ht="25.5" x14ac:dyDescent="0.25">
      <c r="A404" s="74" t="s">
        <v>44</v>
      </c>
      <c r="B404" s="707" t="s">
        <v>384</v>
      </c>
      <c r="C404" s="266">
        <v>8580000</v>
      </c>
      <c r="D404" s="134">
        <f>C404/C403*100</f>
        <v>4.6378378378378375</v>
      </c>
      <c r="E404" s="134">
        <f t="shared" ref="E404:E412" si="147">G404/C404*100</f>
        <v>0</v>
      </c>
      <c r="F404" s="134">
        <f t="shared" ref="F404:F412" si="148">(D404*E404)/100</f>
        <v>0</v>
      </c>
      <c r="G404" s="181">
        <v>0</v>
      </c>
      <c r="H404" s="134">
        <f t="shared" ref="H404:H412" si="149">G404/C404*100</f>
        <v>0</v>
      </c>
      <c r="I404" s="134">
        <f t="shared" ref="I404:I412" si="150">(D404*H404)/100</f>
        <v>0</v>
      </c>
      <c r="J404" s="6">
        <f t="shared" ref="J404:J415" si="151">G404-C404</f>
        <v>-8580000</v>
      </c>
      <c r="K404" s="10"/>
      <c r="L404" s="1"/>
      <c r="M404" s="1"/>
      <c r="N404" s="25"/>
    </row>
    <row r="405" spans="1:14" ht="25.5" x14ac:dyDescent="0.25">
      <c r="A405" s="74" t="s">
        <v>59</v>
      </c>
      <c r="B405" s="707" t="s">
        <v>197</v>
      </c>
      <c r="C405" s="266">
        <v>12180000</v>
      </c>
      <c r="D405" s="134">
        <f>C405/C403*100</f>
        <v>6.583783783783784</v>
      </c>
      <c r="E405" s="134">
        <f t="shared" si="147"/>
        <v>0</v>
      </c>
      <c r="F405" s="134">
        <f t="shared" si="148"/>
        <v>0</v>
      </c>
      <c r="G405" s="181">
        <v>0</v>
      </c>
      <c r="H405" s="134">
        <f t="shared" si="149"/>
        <v>0</v>
      </c>
      <c r="I405" s="134">
        <f t="shared" si="150"/>
        <v>0</v>
      </c>
      <c r="J405" s="6">
        <f t="shared" si="151"/>
        <v>-12180000</v>
      </c>
      <c r="K405" s="10"/>
      <c r="L405" s="1"/>
      <c r="M405" s="1"/>
      <c r="N405" s="1"/>
    </row>
    <row r="406" spans="1:14" x14ac:dyDescent="0.25">
      <c r="A406" s="74" t="s">
        <v>62</v>
      </c>
      <c r="B406" s="707" t="s">
        <v>334</v>
      </c>
      <c r="C406" s="266">
        <v>9590000</v>
      </c>
      <c r="D406" s="134">
        <f>C406/C403*100</f>
        <v>5.1837837837837837</v>
      </c>
      <c r="E406" s="134">
        <f t="shared" si="147"/>
        <v>0</v>
      </c>
      <c r="F406" s="134">
        <f t="shared" si="148"/>
        <v>0</v>
      </c>
      <c r="G406" s="181">
        <v>0</v>
      </c>
      <c r="H406" s="134">
        <f t="shared" si="149"/>
        <v>0</v>
      </c>
      <c r="I406" s="134">
        <f t="shared" si="150"/>
        <v>0</v>
      </c>
      <c r="J406" s="6">
        <f t="shared" si="151"/>
        <v>-9590000</v>
      </c>
      <c r="K406" s="10"/>
      <c r="L406" s="1"/>
      <c r="M406" s="1"/>
      <c r="N406" s="1"/>
    </row>
    <row r="407" spans="1:14" ht="25.5" x14ac:dyDescent="0.25">
      <c r="A407" s="49" t="s">
        <v>193</v>
      </c>
      <c r="B407" s="707" t="s">
        <v>537</v>
      </c>
      <c r="C407" s="266">
        <v>5250000</v>
      </c>
      <c r="D407" s="134"/>
      <c r="E407" s="134"/>
      <c r="F407" s="134"/>
      <c r="G407" s="181"/>
      <c r="H407" s="134"/>
      <c r="I407" s="134"/>
      <c r="J407" s="6">
        <f t="shared" si="151"/>
        <v>-5250000</v>
      </c>
      <c r="K407" s="10"/>
      <c r="L407" s="1"/>
      <c r="M407" s="1"/>
      <c r="N407" s="1"/>
    </row>
    <row r="408" spans="1:14" x14ac:dyDescent="0.25">
      <c r="A408" s="49" t="s">
        <v>148</v>
      </c>
      <c r="B408" s="133" t="s">
        <v>534</v>
      </c>
      <c r="C408" s="266">
        <v>8000000</v>
      </c>
      <c r="D408" s="134"/>
      <c r="E408" s="134"/>
      <c r="F408" s="134"/>
      <c r="G408" s="181"/>
      <c r="H408" s="134"/>
      <c r="I408" s="134"/>
      <c r="J408" s="6">
        <f t="shared" si="151"/>
        <v>-8000000</v>
      </c>
      <c r="K408" s="10"/>
      <c r="L408" s="1"/>
      <c r="M408" s="1"/>
      <c r="N408" s="1"/>
    </row>
    <row r="409" spans="1:14" x14ac:dyDescent="0.25">
      <c r="A409" s="74" t="s">
        <v>77</v>
      </c>
      <c r="B409" s="49" t="s">
        <v>143</v>
      </c>
      <c r="C409" s="266">
        <v>69700000</v>
      </c>
      <c r="D409" s="134">
        <f>C409/C403*100</f>
        <v>37.675675675675677</v>
      </c>
      <c r="E409" s="134">
        <f t="shared" si="147"/>
        <v>0</v>
      </c>
      <c r="F409" s="134">
        <f t="shared" si="148"/>
        <v>0</v>
      </c>
      <c r="G409" s="181">
        <v>0</v>
      </c>
      <c r="H409" s="134">
        <f t="shared" si="149"/>
        <v>0</v>
      </c>
      <c r="I409" s="134">
        <f t="shared" si="150"/>
        <v>0</v>
      </c>
      <c r="J409" s="6">
        <f t="shared" si="151"/>
        <v>-69700000</v>
      </c>
      <c r="K409" s="10"/>
      <c r="L409" s="1"/>
      <c r="M409" s="1"/>
      <c r="N409" s="1"/>
    </row>
    <row r="410" spans="1:14" x14ac:dyDescent="0.25">
      <c r="A410" s="314" t="s">
        <v>183</v>
      </c>
      <c r="B410" s="49" t="s">
        <v>417</v>
      </c>
      <c r="C410" s="266">
        <v>14400000</v>
      </c>
      <c r="D410" s="134"/>
      <c r="E410" s="134"/>
      <c r="F410" s="134"/>
      <c r="G410" s="181"/>
      <c r="H410" s="134"/>
      <c r="I410" s="134"/>
      <c r="J410" s="6">
        <f t="shared" si="151"/>
        <v>-14400000</v>
      </c>
      <c r="K410" s="10"/>
      <c r="L410" s="1"/>
      <c r="M410" s="1"/>
      <c r="N410" s="1"/>
    </row>
    <row r="411" spans="1:14" x14ac:dyDescent="0.25">
      <c r="A411" s="74" t="s">
        <v>186</v>
      </c>
      <c r="B411" s="170" t="s">
        <v>182</v>
      </c>
      <c r="C411" s="266">
        <v>31000000</v>
      </c>
      <c r="D411" s="134">
        <f>C411/C403*100</f>
        <v>16.756756756756758</v>
      </c>
      <c r="E411" s="134">
        <f t="shared" si="147"/>
        <v>0</v>
      </c>
      <c r="F411" s="134">
        <f t="shared" si="148"/>
        <v>0</v>
      </c>
      <c r="G411" s="181">
        <v>0</v>
      </c>
      <c r="H411" s="134">
        <f t="shared" si="149"/>
        <v>0</v>
      </c>
      <c r="I411" s="134">
        <f t="shared" si="150"/>
        <v>0</v>
      </c>
      <c r="J411" s="6">
        <f t="shared" si="151"/>
        <v>-31000000</v>
      </c>
      <c r="K411" s="10"/>
      <c r="L411" s="1"/>
      <c r="M411" s="1"/>
      <c r="N411" s="1"/>
    </row>
    <row r="412" spans="1:14" ht="25.5" x14ac:dyDescent="0.25">
      <c r="A412" s="74" t="s">
        <v>106</v>
      </c>
      <c r="B412" s="316" t="s">
        <v>375</v>
      </c>
      <c r="C412" s="266">
        <v>15300000</v>
      </c>
      <c r="D412" s="134">
        <f>C412/C403*100</f>
        <v>8.2702702702702702</v>
      </c>
      <c r="E412" s="134">
        <f t="shared" si="147"/>
        <v>0</v>
      </c>
      <c r="F412" s="134">
        <f t="shared" si="148"/>
        <v>0</v>
      </c>
      <c r="G412" s="181">
        <v>0</v>
      </c>
      <c r="H412" s="134">
        <f t="shared" si="149"/>
        <v>0</v>
      </c>
      <c r="I412" s="134">
        <f t="shared" si="150"/>
        <v>0</v>
      </c>
      <c r="J412" s="6">
        <f t="shared" si="151"/>
        <v>-15300000</v>
      </c>
      <c r="K412" s="10"/>
      <c r="L412" s="1"/>
      <c r="M412" s="1"/>
      <c r="N412" s="1"/>
    </row>
    <row r="413" spans="1:14" x14ac:dyDescent="0.25">
      <c r="A413" s="755" t="s">
        <v>116</v>
      </c>
      <c r="B413" s="316" t="s">
        <v>538</v>
      </c>
      <c r="C413" s="266">
        <v>2000000</v>
      </c>
      <c r="D413" s="134">
        <f>C413/C404*100</f>
        <v>23.310023310023308</v>
      </c>
      <c r="E413" s="134"/>
      <c r="F413" s="134"/>
      <c r="G413" s="181">
        <v>0</v>
      </c>
      <c r="H413" s="134"/>
      <c r="I413" s="134"/>
      <c r="J413" s="6">
        <f t="shared" si="151"/>
        <v>-2000000</v>
      </c>
      <c r="K413" s="10"/>
      <c r="L413" s="1"/>
      <c r="M413" s="1"/>
      <c r="N413" s="1"/>
    </row>
    <row r="414" spans="1:14" x14ac:dyDescent="0.25">
      <c r="A414" s="755" t="s">
        <v>521</v>
      </c>
      <c r="B414" s="316" t="s">
        <v>539</v>
      </c>
      <c r="C414" s="266">
        <v>2000000</v>
      </c>
      <c r="D414" s="134"/>
      <c r="E414" s="134"/>
      <c r="F414" s="134"/>
      <c r="G414" s="181"/>
      <c r="H414" s="134"/>
      <c r="I414" s="134"/>
      <c r="J414" s="6">
        <f t="shared" si="151"/>
        <v>-2000000</v>
      </c>
      <c r="K414" s="10"/>
      <c r="L414" s="1"/>
      <c r="M414" s="1"/>
      <c r="N414" s="1"/>
    </row>
    <row r="415" spans="1:14" x14ac:dyDescent="0.25">
      <c r="A415" s="755" t="s">
        <v>65</v>
      </c>
      <c r="B415" s="316" t="s">
        <v>190</v>
      </c>
      <c r="C415" s="266">
        <v>7000000</v>
      </c>
      <c r="D415" s="134"/>
      <c r="E415" s="134"/>
      <c r="F415" s="134"/>
      <c r="G415" s="181"/>
      <c r="H415" s="134"/>
      <c r="I415" s="134"/>
      <c r="J415" s="6">
        <f t="shared" si="151"/>
        <v>-7000000</v>
      </c>
      <c r="K415" s="10"/>
      <c r="L415" s="1"/>
      <c r="M415" s="1"/>
      <c r="N415" s="1"/>
    </row>
    <row r="416" spans="1:14" x14ac:dyDescent="0.25">
      <c r="A416" s="1152" t="s">
        <v>128</v>
      </c>
      <c r="B416" s="1154"/>
      <c r="C416" s="57">
        <f>SUM(C404:C415)</f>
        <v>185000000</v>
      </c>
      <c r="D416" s="273">
        <f>SUM(D404:D412)</f>
        <v>79.108108108108112</v>
      </c>
      <c r="E416" s="134"/>
      <c r="F416" s="134"/>
      <c r="G416" s="13">
        <f>SUM(G404:G413)</f>
        <v>0</v>
      </c>
      <c r="H416" s="134"/>
      <c r="I416" s="134"/>
      <c r="J416" s="56">
        <v>0</v>
      </c>
      <c r="K416" s="12"/>
      <c r="L416" s="9"/>
      <c r="M416" s="9"/>
      <c r="N416" s="9"/>
    </row>
    <row r="417" spans="1:14" x14ac:dyDescent="0.25">
      <c r="A417" s="5"/>
      <c r="B417" s="5"/>
      <c r="C417" s="65"/>
      <c r="D417" s="66"/>
      <c r="E417" s="30"/>
      <c r="F417" s="31"/>
      <c r="G417" s="36"/>
      <c r="H417" s="30"/>
      <c r="I417" s="31"/>
      <c r="J417" s="33"/>
      <c r="K417" s="29"/>
      <c r="L417" s="9"/>
      <c r="M417" s="9"/>
      <c r="N417" s="9"/>
    </row>
    <row r="418" spans="1:14" ht="31.5" x14ac:dyDescent="0.25">
      <c r="A418" s="55"/>
      <c r="B418" s="46" t="s">
        <v>145</v>
      </c>
      <c r="C418" s="155"/>
      <c r="D418" s="44"/>
      <c r="E418" s="45"/>
      <c r="F418" s="45"/>
      <c r="G418" s="48"/>
      <c r="H418" s="45"/>
      <c r="I418" s="45"/>
      <c r="J418" s="44"/>
      <c r="K418" s="44"/>
      <c r="L418" s="1"/>
      <c r="M418" s="1"/>
      <c r="N418" s="1"/>
    </row>
    <row r="419" spans="1:14" x14ac:dyDescent="0.25">
      <c r="A419" s="1119" t="s">
        <v>2</v>
      </c>
      <c r="B419" s="1120" t="s">
        <v>171</v>
      </c>
      <c r="C419" s="1119" t="s">
        <v>4</v>
      </c>
      <c r="D419" s="1121" t="s">
        <v>5</v>
      </c>
      <c r="E419" s="1132"/>
      <c r="F419" s="1132"/>
      <c r="G419" s="1122" t="s">
        <v>6</v>
      </c>
      <c r="H419" s="1132"/>
      <c r="I419" s="1132"/>
      <c r="J419" s="1119" t="s">
        <v>7</v>
      </c>
      <c r="K419" s="289" t="s">
        <v>8</v>
      </c>
      <c r="L419" s="1"/>
      <c r="M419" s="1"/>
    </row>
    <row r="420" spans="1:14" x14ac:dyDescent="0.25">
      <c r="A420" s="1119"/>
      <c r="B420" s="1120"/>
      <c r="C420" s="1119"/>
      <c r="D420" s="289" t="s">
        <v>9</v>
      </c>
      <c r="E420" s="308" t="s">
        <v>10</v>
      </c>
      <c r="F420" s="308" t="s">
        <v>11</v>
      </c>
      <c r="G420" s="309" t="s">
        <v>12</v>
      </c>
      <c r="H420" s="308" t="s">
        <v>13</v>
      </c>
      <c r="I420" s="308" t="s">
        <v>11</v>
      </c>
      <c r="J420" s="1123"/>
      <c r="K420" s="115"/>
      <c r="L420" s="1"/>
      <c r="M420" s="1"/>
    </row>
    <row r="421" spans="1:14" x14ac:dyDescent="0.25">
      <c r="A421" s="1119"/>
      <c r="B421" s="1120"/>
      <c r="C421" s="1119"/>
      <c r="D421" s="118" t="s">
        <v>14</v>
      </c>
      <c r="E421" s="119" t="s">
        <v>14</v>
      </c>
      <c r="F421" s="119" t="s">
        <v>14</v>
      </c>
      <c r="G421" s="120" t="s">
        <v>15</v>
      </c>
      <c r="H421" s="119" t="s">
        <v>14</v>
      </c>
      <c r="I421" s="119" t="s">
        <v>14</v>
      </c>
      <c r="J421" s="118" t="s">
        <v>15</v>
      </c>
      <c r="K421" s="118"/>
      <c r="L421" s="1"/>
      <c r="M421" s="1"/>
    </row>
    <row r="422" spans="1:14" x14ac:dyDescent="0.25">
      <c r="A422" s="79" t="s">
        <v>185</v>
      </c>
      <c r="B422" s="199" t="s">
        <v>146</v>
      </c>
      <c r="C422" s="24"/>
      <c r="D422" s="10"/>
      <c r="E422" s="34"/>
      <c r="F422" s="34"/>
      <c r="G422" s="6"/>
      <c r="H422" s="34"/>
      <c r="I422" s="34"/>
      <c r="J422" s="10"/>
      <c r="K422" s="10"/>
      <c r="L422" s="1"/>
      <c r="M422" s="25"/>
    </row>
    <row r="423" spans="1:14" x14ac:dyDescent="0.25">
      <c r="A423" s="125" t="s">
        <v>184</v>
      </c>
      <c r="B423" s="280" t="s">
        <v>147</v>
      </c>
      <c r="C423" s="252">
        <f>SUM(C424:C425)</f>
        <v>5850440000</v>
      </c>
      <c r="D423" s="10"/>
      <c r="E423" s="34"/>
      <c r="F423" s="34"/>
      <c r="G423" s="6"/>
      <c r="H423" s="34"/>
      <c r="I423" s="34"/>
      <c r="J423" s="10"/>
      <c r="K423" s="10"/>
      <c r="L423" s="1"/>
      <c r="M423" s="1"/>
    </row>
    <row r="424" spans="1:14" x14ac:dyDescent="0.25">
      <c r="A424" s="154" t="s">
        <v>413</v>
      </c>
      <c r="B424" s="707" t="s">
        <v>414</v>
      </c>
      <c r="C424" s="253">
        <v>40440000</v>
      </c>
      <c r="D424" s="134" t="e">
        <f>C424/#REF!*100</f>
        <v>#REF!</v>
      </c>
      <c r="E424" s="134"/>
      <c r="F424" s="134"/>
      <c r="G424" s="181">
        <v>0</v>
      </c>
      <c r="H424" s="134"/>
      <c r="I424" s="134"/>
      <c r="J424" s="6">
        <f t="shared" ref="J424:J425" si="152">G424-C424</f>
        <v>-40440000</v>
      </c>
      <c r="K424" s="10"/>
      <c r="L424" s="1"/>
      <c r="M424" s="1"/>
    </row>
    <row r="425" spans="1:14" x14ac:dyDescent="0.25">
      <c r="A425" s="124" t="s">
        <v>148</v>
      </c>
      <c r="B425" s="133" t="s">
        <v>534</v>
      </c>
      <c r="C425" s="256">
        <v>5810000000</v>
      </c>
      <c r="D425" s="134">
        <f>C425/C423*100</f>
        <v>99.308769938671276</v>
      </c>
      <c r="E425" s="134">
        <f t="shared" ref="E425" si="153">G425/C425*100</f>
        <v>0</v>
      </c>
      <c r="F425" s="134">
        <f t="shared" ref="F425" si="154">(D425*E425)/100</f>
        <v>0</v>
      </c>
      <c r="G425" s="181">
        <v>0</v>
      </c>
      <c r="H425" s="134">
        <f t="shared" ref="H425" si="155">G425/C425*100</f>
        <v>0</v>
      </c>
      <c r="I425" s="134">
        <f t="shared" ref="I425" si="156">(D425*H425)/100</f>
        <v>0</v>
      </c>
      <c r="J425" s="6">
        <f t="shared" si="152"/>
        <v>-5810000000</v>
      </c>
      <c r="K425" s="10"/>
      <c r="L425" s="1"/>
      <c r="M425" s="1"/>
    </row>
    <row r="426" spans="1:14" x14ac:dyDescent="0.25">
      <c r="A426" s="72"/>
      <c r="B426" s="136" t="s">
        <v>154</v>
      </c>
      <c r="C426" s="808">
        <f>SUM(C424:C425)</f>
        <v>5850440000</v>
      </c>
      <c r="D426" s="271" t="e">
        <f>SUM(D424:D425)</f>
        <v>#REF!</v>
      </c>
      <c r="E426" s="134"/>
      <c r="F426" s="134"/>
      <c r="G426" s="181">
        <v>0</v>
      </c>
      <c r="H426" s="134"/>
      <c r="I426" s="134"/>
      <c r="J426" s="56">
        <v>0</v>
      </c>
      <c r="K426" s="130"/>
      <c r="L426" s="1"/>
      <c r="M426" s="1"/>
    </row>
    <row r="427" spans="1:14" x14ac:dyDescent="0.25">
      <c r="A427" s="5"/>
      <c r="B427" s="5"/>
      <c r="C427" s="65"/>
      <c r="D427" s="66"/>
      <c r="E427" s="30"/>
      <c r="F427" s="31"/>
      <c r="G427" s="36"/>
      <c r="H427" s="30"/>
      <c r="I427" s="31"/>
      <c r="J427" s="33"/>
      <c r="K427" s="29"/>
      <c r="L427" s="9"/>
      <c r="M427" s="9"/>
      <c r="N427" s="9"/>
    </row>
    <row r="428" spans="1:14" x14ac:dyDescent="0.25">
      <c r="A428" s="1119" t="s">
        <v>2</v>
      </c>
      <c r="B428" s="1120" t="s">
        <v>171</v>
      </c>
      <c r="C428" s="1119" t="s">
        <v>4</v>
      </c>
      <c r="D428" s="1121" t="s">
        <v>5</v>
      </c>
      <c r="E428" s="1132"/>
      <c r="F428" s="1132"/>
      <c r="G428" s="1122" t="s">
        <v>6</v>
      </c>
      <c r="H428" s="1132"/>
      <c r="I428" s="1132"/>
      <c r="J428" s="1119" t="s">
        <v>7</v>
      </c>
      <c r="K428" s="289" t="s">
        <v>8</v>
      </c>
      <c r="L428" s="1"/>
      <c r="M428" s="1"/>
    </row>
    <row r="429" spans="1:14" x14ac:dyDescent="0.25">
      <c r="A429" s="1119"/>
      <c r="B429" s="1120"/>
      <c r="C429" s="1119"/>
      <c r="D429" s="289" t="s">
        <v>9</v>
      </c>
      <c r="E429" s="308" t="s">
        <v>10</v>
      </c>
      <c r="F429" s="308" t="s">
        <v>11</v>
      </c>
      <c r="G429" s="309" t="s">
        <v>12</v>
      </c>
      <c r="H429" s="308" t="s">
        <v>13</v>
      </c>
      <c r="I429" s="308" t="s">
        <v>11</v>
      </c>
      <c r="J429" s="1123"/>
      <c r="K429" s="115"/>
      <c r="L429" s="1"/>
      <c r="M429" s="1"/>
    </row>
    <row r="430" spans="1:14" x14ac:dyDescent="0.25">
      <c r="A430" s="1119"/>
      <c r="B430" s="1120"/>
      <c r="C430" s="1119"/>
      <c r="D430" s="118" t="s">
        <v>14</v>
      </c>
      <c r="E430" s="119" t="s">
        <v>14</v>
      </c>
      <c r="F430" s="119" t="s">
        <v>14</v>
      </c>
      <c r="G430" s="120" t="s">
        <v>15</v>
      </c>
      <c r="H430" s="119" t="s">
        <v>14</v>
      </c>
      <c r="I430" s="119" t="s">
        <v>14</v>
      </c>
      <c r="J430" s="118" t="s">
        <v>15</v>
      </c>
      <c r="K430" s="118"/>
      <c r="L430" s="1"/>
      <c r="M430" s="1"/>
    </row>
    <row r="431" spans="1:14" x14ac:dyDescent="0.25">
      <c r="A431" s="79" t="s">
        <v>185</v>
      </c>
      <c r="B431" s="199" t="s">
        <v>146</v>
      </c>
      <c r="C431" s="24"/>
      <c r="D431" s="10"/>
      <c r="E431" s="34"/>
      <c r="F431" s="34"/>
      <c r="G431" s="6"/>
      <c r="H431" s="34"/>
      <c r="I431" s="34"/>
      <c r="J431" s="10"/>
      <c r="K431" s="10"/>
      <c r="L431" s="1"/>
      <c r="M431" s="1"/>
    </row>
    <row r="432" spans="1:14" x14ac:dyDescent="0.25">
      <c r="A432" s="125" t="s">
        <v>187</v>
      </c>
      <c r="B432" s="280" t="s">
        <v>164</v>
      </c>
      <c r="C432" s="252">
        <f>SUM(C433:C437)</f>
        <v>3539546088</v>
      </c>
      <c r="D432" s="10"/>
      <c r="E432" s="34"/>
      <c r="F432" s="34"/>
      <c r="G432" s="6"/>
      <c r="H432" s="34"/>
      <c r="I432" s="34"/>
      <c r="J432" s="10"/>
      <c r="K432" s="10"/>
      <c r="L432" s="1"/>
      <c r="M432" s="1"/>
    </row>
    <row r="433" spans="1:14" ht="25.5" x14ac:dyDescent="0.25">
      <c r="A433" s="154" t="s">
        <v>44</v>
      </c>
      <c r="B433" s="707" t="s">
        <v>384</v>
      </c>
      <c r="C433" s="253">
        <v>35255000</v>
      </c>
      <c r="D433" s="134">
        <f>C433/C432*100</f>
        <v>0.99603166969696488</v>
      </c>
      <c r="E433" s="134">
        <f t="shared" ref="E433:E436" si="157">G433/C433*100</f>
        <v>0</v>
      </c>
      <c r="F433" s="134">
        <f t="shared" ref="F433:F436" si="158">(D433*E433)/100</f>
        <v>0</v>
      </c>
      <c r="G433" s="181">
        <v>0</v>
      </c>
      <c r="H433" s="134">
        <f t="shared" ref="H433:H436" si="159">G433/C433*100</f>
        <v>0</v>
      </c>
      <c r="I433" s="134">
        <f t="shared" ref="I433:I436" si="160">(D433*H433)/100</f>
        <v>0</v>
      </c>
      <c r="J433" s="6">
        <f t="shared" ref="J433:J437" si="161">G433-C433</f>
        <v>-35255000</v>
      </c>
      <c r="K433" s="10"/>
      <c r="L433" s="1"/>
      <c r="M433" s="1"/>
    </row>
    <row r="434" spans="1:14" x14ac:dyDescent="0.25">
      <c r="A434" s="154" t="s">
        <v>413</v>
      </c>
      <c r="B434" s="707" t="s">
        <v>414</v>
      </c>
      <c r="C434" s="253">
        <v>385000</v>
      </c>
      <c r="D434" s="134"/>
      <c r="E434" s="134"/>
      <c r="F434" s="134"/>
      <c r="G434" s="181">
        <v>0</v>
      </c>
      <c r="H434" s="134"/>
      <c r="I434" s="134"/>
      <c r="J434" s="6">
        <f t="shared" si="161"/>
        <v>-385000</v>
      </c>
      <c r="K434" s="10"/>
      <c r="L434" s="1"/>
      <c r="M434" s="1"/>
    </row>
    <row r="435" spans="1:14" x14ac:dyDescent="0.25">
      <c r="A435" s="124" t="s">
        <v>148</v>
      </c>
      <c r="B435" s="133" t="s">
        <v>534</v>
      </c>
      <c r="C435" s="256">
        <v>2490000000</v>
      </c>
      <c r="D435" s="134">
        <f>C435/C432*100</f>
        <v>70.348003334149553</v>
      </c>
      <c r="E435" s="134">
        <f t="shared" si="157"/>
        <v>0</v>
      </c>
      <c r="F435" s="134">
        <f t="shared" si="158"/>
        <v>0</v>
      </c>
      <c r="G435" s="181">
        <v>0</v>
      </c>
      <c r="H435" s="134">
        <f t="shared" si="159"/>
        <v>0</v>
      </c>
      <c r="I435" s="134">
        <f t="shared" si="160"/>
        <v>0</v>
      </c>
      <c r="J435" s="6">
        <f t="shared" si="161"/>
        <v>-2490000000</v>
      </c>
      <c r="K435" s="10"/>
    </row>
    <row r="436" spans="1:14" s="84" customFormat="1" ht="25.5" x14ac:dyDescent="0.2">
      <c r="A436" s="124" t="s">
        <v>152</v>
      </c>
      <c r="B436" s="133" t="s">
        <v>166</v>
      </c>
      <c r="C436" s="256">
        <v>996000000</v>
      </c>
      <c r="D436" s="134">
        <f>C436/C432*100</f>
        <v>28.13920133365982</v>
      </c>
      <c r="E436" s="134">
        <f t="shared" si="157"/>
        <v>0</v>
      </c>
      <c r="F436" s="134">
        <f t="shared" si="158"/>
        <v>0</v>
      </c>
      <c r="G436" s="181">
        <v>0</v>
      </c>
      <c r="H436" s="134">
        <f t="shared" si="159"/>
        <v>0</v>
      </c>
      <c r="I436" s="134">
        <f t="shared" si="160"/>
        <v>0</v>
      </c>
      <c r="J436" s="6">
        <f t="shared" si="161"/>
        <v>-996000000</v>
      </c>
      <c r="K436" s="38"/>
    </row>
    <row r="437" spans="1:14" s="84" customFormat="1" x14ac:dyDescent="0.2">
      <c r="A437" s="825" t="s">
        <v>234</v>
      </c>
      <c r="B437" s="133" t="s">
        <v>522</v>
      </c>
      <c r="C437" s="256">
        <v>17906088</v>
      </c>
      <c r="D437" s="804"/>
      <c r="E437" s="134"/>
      <c r="F437" s="134"/>
      <c r="G437" s="181"/>
      <c r="H437" s="134"/>
      <c r="I437" s="134"/>
      <c r="J437" s="6">
        <f t="shared" si="161"/>
        <v>-17906088</v>
      </c>
      <c r="K437" s="805"/>
    </row>
    <row r="438" spans="1:14" x14ac:dyDescent="0.25">
      <c r="A438" s="70"/>
      <c r="B438" s="129" t="s">
        <v>95</v>
      </c>
      <c r="C438" s="807">
        <f>SUM(C433:C437)</f>
        <v>3539546088</v>
      </c>
      <c r="D438" s="271">
        <f>SUM(D433:D436)</f>
        <v>99.483236337506327</v>
      </c>
      <c r="E438" s="134"/>
      <c r="F438" s="134"/>
      <c r="G438" s="181">
        <v>0</v>
      </c>
      <c r="H438" s="134"/>
      <c r="I438" s="134"/>
      <c r="J438" s="780"/>
      <c r="K438" s="130"/>
    </row>
    <row r="439" spans="1:14" x14ac:dyDescent="0.25">
      <c r="J439" s="779"/>
    </row>
    <row r="441" spans="1:14" x14ac:dyDescent="0.25">
      <c r="A441" s="50"/>
      <c r="B441" s="5"/>
      <c r="C441" s="50"/>
      <c r="D441" s="29"/>
      <c r="E441" s="30"/>
      <c r="F441" s="31"/>
      <c r="G441" s="36"/>
      <c r="H441" s="32"/>
      <c r="I441" s="31"/>
      <c r="J441" s="36"/>
      <c r="K441" s="37"/>
    </row>
    <row r="442" spans="1:14" x14ac:dyDescent="0.25">
      <c r="A442" s="1"/>
      <c r="B442" s="16" t="s">
        <v>363</v>
      </c>
      <c r="C442" s="61"/>
      <c r="D442" s="1"/>
      <c r="E442" s="1"/>
      <c r="F442" s="1"/>
      <c r="G442" s="1"/>
      <c r="H442" s="1"/>
      <c r="I442" s="18" t="s">
        <v>546</v>
      </c>
      <c r="J442" s="17"/>
      <c r="K442" s="1"/>
    </row>
    <row r="443" spans="1:14" x14ac:dyDescent="0.25">
      <c r="A443" s="1"/>
      <c r="B443" s="19"/>
      <c r="C443" s="62"/>
      <c r="D443" s="1"/>
      <c r="E443" s="1"/>
      <c r="F443" s="1"/>
      <c r="G443" s="1"/>
      <c r="H443" s="1"/>
      <c r="I443" s="63"/>
      <c r="J443" s="16"/>
      <c r="K443" s="1"/>
    </row>
    <row r="444" spans="1:14" x14ac:dyDescent="0.25">
      <c r="A444" s="1"/>
      <c r="B444" s="19"/>
      <c r="C444" s="62"/>
      <c r="D444" s="1"/>
      <c r="E444" s="1"/>
      <c r="F444" s="1"/>
      <c r="G444" s="1"/>
      <c r="H444" s="1"/>
      <c r="I444" s="63"/>
      <c r="J444" s="16"/>
      <c r="K444" s="1"/>
    </row>
    <row r="445" spans="1:14" x14ac:dyDescent="0.25">
      <c r="A445" s="1"/>
      <c r="B445" s="19"/>
      <c r="C445" s="62"/>
      <c r="D445" s="1"/>
      <c r="E445" s="1"/>
      <c r="F445" s="1"/>
      <c r="G445" s="1"/>
      <c r="H445" s="1"/>
      <c r="I445" s="18"/>
      <c r="J445" s="19"/>
      <c r="K445" s="1"/>
    </row>
    <row r="446" spans="1:14" x14ac:dyDescent="0.25">
      <c r="A446" s="1"/>
      <c r="B446" s="75" t="s">
        <v>440</v>
      </c>
      <c r="C446" s="21"/>
      <c r="D446" s="1"/>
      <c r="E446" s="1"/>
      <c r="F446" s="1"/>
      <c r="G446" s="1"/>
      <c r="H446" s="1"/>
      <c r="I446" s="20"/>
      <c r="J446" s="21"/>
      <c r="K446" s="1"/>
    </row>
    <row r="447" spans="1:14" x14ac:dyDescent="0.25">
      <c r="A447" s="1"/>
      <c r="B447" s="739" t="s">
        <v>441</v>
      </c>
      <c r="C447" s="19"/>
      <c r="D447" s="1"/>
      <c r="E447" s="1"/>
      <c r="F447" s="1"/>
      <c r="G447" s="1"/>
      <c r="H447" s="1"/>
      <c r="I447" s="22"/>
      <c r="J447" s="19"/>
      <c r="K447" s="1"/>
    </row>
    <row r="448" spans="1:14" x14ac:dyDescent="0.25">
      <c r="A448" s="5"/>
      <c r="B448" s="5"/>
      <c r="C448" s="65"/>
      <c r="D448" s="66"/>
      <c r="E448" s="30"/>
      <c r="F448" s="31"/>
      <c r="G448" s="36"/>
      <c r="H448" s="30"/>
      <c r="I448" s="31"/>
      <c r="J448" s="33"/>
      <c r="K448" s="29"/>
      <c r="L448" s="9"/>
      <c r="M448" s="9"/>
      <c r="N448" s="9"/>
    </row>
  </sheetData>
  <mergeCells count="149">
    <mergeCell ref="J419:J420"/>
    <mergeCell ref="A428:A430"/>
    <mergeCell ref="B428:B430"/>
    <mergeCell ref="C428:C430"/>
    <mergeCell ref="D428:F428"/>
    <mergeCell ref="G428:I428"/>
    <mergeCell ref="J428:J429"/>
    <mergeCell ref="A416:B416"/>
    <mergeCell ref="A419:A421"/>
    <mergeCell ref="B419:B421"/>
    <mergeCell ref="C419:C421"/>
    <mergeCell ref="D419:F419"/>
    <mergeCell ref="G419:I419"/>
    <mergeCell ref="A399:A401"/>
    <mergeCell ref="B399:B401"/>
    <mergeCell ref="C399:C401"/>
    <mergeCell ref="D399:F399"/>
    <mergeCell ref="G399:I399"/>
    <mergeCell ref="J399:J400"/>
    <mergeCell ref="A387:A389"/>
    <mergeCell ref="B387:B389"/>
    <mergeCell ref="C387:C389"/>
    <mergeCell ref="D387:F387"/>
    <mergeCell ref="G387:I387"/>
    <mergeCell ref="J387:J388"/>
    <mergeCell ref="A378:A380"/>
    <mergeCell ref="B378:B380"/>
    <mergeCell ref="C378:C380"/>
    <mergeCell ref="D378:F378"/>
    <mergeCell ref="G378:I378"/>
    <mergeCell ref="J378:J379"/>
    <mergeCell ref="A354:A356"/>
    <mergeCell ref="B354:B356"/>
    <mergeCell ref="D354:F354"/>
    <mergeCell ref="G354:I354"/>
    <mergeCell ref="J354:J355"/>
    <mergeCell ref="A375:B375"/>
    <mergeCell ref="A341:A343"/>
    <mergeCell ref="B341:B343"/>
    <mergeCell ref="C341:C343"/>
    <mergeCell ref="D341:F341"/>
    <mergeCell ref="G341:I341"/>
    <mergeCell ref="J341:J342"/>
    <mergeCell ref="K306:K308"/>
    <mergeCell ref="A332:A334"/>
    <mergeCell ref="B332:B334"/>
    <mergeCell ref="C332:C334"/>
    <mergeCell ref="D332:F332"/>
    <mergeCell ref="G332:I332"/>
    <mergeCell ref="J332:J333"/>
    <mergeCell ref="A306:A308"/>
    <mergeCell ref="B306:B308"/>
    <mergeCell ref="C306:C308"/>
    <mergeCell ref="D306:F306"/>
    <mergeCell ref="G306:I306"/>
    <mergeCell ref="J306:J307"/>
    <mergeCell ref="A294:A296"/>
    <mergeCell ref="B294:B296"/>
    <mergeCell ref="C294:C296"/>
    <mergeCell ref="D294:F294"/>
    <mergeCell ref="G294:I294"/>
    <mergeCell ref="J294:J295"/>
    <mergeCell ref="K264:K266"/>
    <mergeCell ref="A285:A287"/>
    <mergeCell ref="B285:B287"/>
    <mergeCell ref="C285:C287"/>
    <mergeCell ref="D285:F285"/>
    <mergeCell ref="G285:I285"/>
    <mergeCell ref="J285:J286"/>
    <mergeCell ref="A264:A266"/>
    <mergeCell ref="B264:B266"/>
    <mergeCell ref="C264:C266"/>
    <mergeCell ref="D264:F264"/>
    <mergeCell ref="G264:I264"/>
    <mergeCell ref="J264:J265"/>
    <mergeCell ref="J241:J242"/>
    <mergeCell ref="A250:A252"/>
    <mergeCell ref="B250:B252"/>
    <mergeCell ref="C250:C252"/>
    <mergeCell ref="D250:F250"/>
    <mergeCell ref="G250:I250"/>
    <mergeCell ref="J250:J251"/>
    <mergeCell ref="A221:A223"/>
    <mergeCell ref="B221:B223"/>
    <mergeCell ref="D221:F221"/>
    <mergeCell ref="G221:I221"/>
    <mergeCell ref="J221:J222"/>
    <mergeCell ref="A241:A243"/>
    <mergeCell ref="B241:B243"/>
    <mergeCell ref="C241:C243"/>
    <mergeCell ref="D241:F241"/>
    <mergeCell ref="G241:I241"/>
    <mergeCell ref="A208:A210"/>
    <mergeCell ref="B208:B210"/>
    <mergeCell ref="C208:C210"/>
    <mergeCell ref="D208:F208"/>
    <mergeCell ref="G208:I208"/>
    <mergeCell ref="J208:J209"/>
    <mergeCell ref="A198:A200"/>
    <mergeCell ref="B198:B200"/>
    <mergeCell ref="C198:C200"/>
    <mergeCell ref="D198:F198"/>
    <mergeCell ref="G198:I198"/>
    <mergeCell ref="J198:J199"/>
    <mergeCell ref="A174:A176"/>
    <mergeCell ref="B174:B176"/>
    <mergeCell ref="C174:C176"/>
    <mergeCell ref="D174:F174"/>
    <mergeCell ref="G174:I174"/>
    <mergeCell ref="J174:J175"/>
    <mergeCell ref="A162:A164"/>
    <mergeCell ref="B162:B164"/>
    <mergeCell ref="C162:C164"/>
    <mergeCell ref="D162:F162"/>
    <mergeCell ref="G162:I162"/>
    <mergeCell ref="J162:J163"/>
    <mergeCell ref="K131:K133"/>
    <mergeCell ref="A149:B149"/>
    <mergeCell ref="A152:A154"/>
    <mergeCell ref="B152:B154"/>
    <mergeCell ref="C152:C154"/>
    <mergeCell ref="D152:F152"/>
    <mergeCell ref="G152:I152"/>
    <mergeCell ref="J152:J153"/>
    <mergeCell ref="A128:C128"/>
    <mergeCell ref="A131:A133"/>
    <mergeCell ref="B131:B133"/>
    <mergeCell ref="D131:F131"/>
    <mergeCell ref="G131:I131"/>
    <mergeCell ref="J131:J132"/>
    <mergeCell ref="A95:C95"/>
    <mergeCell ref="A97:K97"/>
    <mergeCell ref="A98:K98"/>
    <mergeCell ref="A99:K99"/>
    <mergeCell ref="A100:A102"/>
    <mergeCell ref="B100:B102"/>
    <mergeCell ref="C100:C102"/>
    <mergeCell ref="D100:F100"/>
    <mergeCell ref="G100:I100"/>
    <mergeCell ref="J100:J101"/>
    <mergeCell ref="A1:K1"/>
    <mergeCell ref="A2:K2"/>
    <mergeCell ref="A3:K3"/>
    <mergeCell ref="A5:A7"/>
    <mergeCell ref="B5:B7"/>
    <mergeCell ref="C5:C7"/>
    <mergeCell ref="D5:F5"/>
    <mergeCell ref="G5:I5"/>
    <mergeCell ref="J5:J6"/>
  </mergeCells>
  <printOptions horizontalCentered="1"/>
  <pageMargins left="0" right="0" top="0.7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49"/>
  <sheetViews>
    <sheetView topLeftCell="B10" zoomScaleNormal="100" workbookViewId="0">
      <selection activeCell="G62" sqref="G62"/>
    </sheetView>
  </sheetViews>
  <sheetFormatPr defaultRowHeight="15" x14ac:dyDescent="0.25"/>
  <cols>
    <col min="1" max="1" width="14.140625" customWidth="1"/>
    <col min="2" max="2" width="51.7109375" customWidth="1"/>
    <col min="3" max="3" width="13.85546875" customWidth="1"/>
    <col min="4" max="4" width="6.42578125" customWidth="1"/>
    <col min="5" max="5" width="5.7109375" customWidth="1"/>
    <col min="6" max="6" width="9.5703125" customWidth="1"/>
    <col min="7" max="7" width="13.425781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547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827" t="s">
        <v>1</v>
      </c>
      <c r="B4" s="827"/>
      <c r="C4" s="827"/>
      <c r="D4" s="827"/>
      <c r="E4" s="828"/>
      <c r="F4" s="828"/>
      <c r="G4" s="47"/>
      <c r="H4" s="828"/>
      <c r="I4" s="828"/>
      <c r="J4" s="827"/>
      <c r="K4" s="827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C11+C16+C21+C29+C40+C45+C53+C55+C58+C63+C65+C69+C73+C77+C80+C86+C90+C92</f>
        <v>14557351544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/>
      <c r="H12" s="161"/>
      <c r="I12" s="161"/>
      <c r="J12" s="6">
        <f>G12-C12</f>
        <v>-1150000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0</v>
      </c>
      <c r="F13" s="134">
        <f>(D13*E13)/100</f>
        <v>0</v>
      </c>
      <c r="G13" s="6">
        <v>0</v>
      </c>
      <c r="H13" s="134">
        <f>G13/C13*100</f>
        <v>0</v>
      </c>
      <c r="I13" s="134">
        <f>(D13*H13)/100</f>
        <v>0</v>
      </c>
      <c r="J13" s="6">
        <f t="shared" ref="J13:J15" si="0">G13-C13</f>
        <v>-4430000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v>0</v>
      </c>
      <c r="H14" s="134"/>
      <c r="I14" s="134"/>
      <c r="J14" s="6">
        <f t="shared" si="0"/>
        <v>-4320000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v>0</v>
      </c>
      <c r="H15" s="134"/>
      <c r="I15" s="134"/>
      <c r="J15" s="6">
        <f t="shared" si="0"/>
        <v>-20100000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v>0</v>
      </c>
      <c r="H18" s="134"/>
      <c r="I18" s="134"/>
      <c r="J18" s="6">
        <f t="shared" si="1"/>
        <v>-4720000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v>0</v>
      </c>
      <c r="H19" s="134"/>
      <c r="I19" s="134"/>
      <c r="J19" s="6">
        <f t="shared" si="1"/>
        <v>-5730000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v>0</v>
      </c>
      <c r="H20" s="134"/>
      <c r="I20" s="134"/>
      <c r="J20" s="6">
        <f t="shared" si="1"/>
        <v>-9380000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v>0</v>
      </c>
      <c r="H22" s="742"/>
      <c r="I22" s="742"/>
      <c r="J22" s="6">
        <f t="shared" ref="J22:J27" si="2">G22-C22</f>
        <v>-2310000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0</v>
      </c>
      <c r="F24" s="134">
        <f t="shared" ref="F24:F26" si="3">(D24*E24)/100</f>
        <v>0</v>
      </c>
      <c r="G24" s="6">
        <v>0</v>
      </c>
      <c r="H24" s="134">
        <f t="shared" ref="H24:H26" si="4">G24/C24*100</f>
        <v>0</v>
      </c>
      <c r="I24" s="134">
        <f t="shared" ref="I24:I26" si="5">(D24*H24)/100</f>
        <v>0</v>
      </c>
      <c r="J24" s="6">
        <f t="shared" si="2"/>
        <v>-5459000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0</v>
      </c>
      <c r="F25" s="134">
        <f t="shared" si="3"/>
        <v>0</v>
      </c>
      <c r="G25" s="6">
        <v>0</v>
      </c>
      <c r="H25" s="134">
        <f t="shared" si="4"/>
        <v>0</v>
      </c>
      <c r="I25" s="134">
        <f t="shared" si="5"/>
        <v>0</v>
      </c>
      <c r="J25" s="6">
        <f t="shared" si="2"/>
        <v>-9661000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0</v>
      </c>
      <c r="F26" s="134">
        <f t="shared" si="3"/>
        <v>0</v>
      </c>
      <c r="G26" s="6">
        <v>0</v>
      </c>
      <c r="H26" s="134">
        <f t="shared" si="4"/>
        <v>0</v>
      </c>
      <c r="I26" s="134">
        <f t="shared" si="5"/>
        <v>0</v>
      </c>
      <c r="J26" s="6">
        <f t="shared" si="2"/>
        <v>-14400000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v>0</v>
      </c>
      <c r="H27" s="134"/>
      <c r="I27" s="134"/>
      <c r="J27" s="6">
        <f t="shared" si="2"/>
        <v>-18000000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4245540345</v>
      </c>
      <c r="D30" s="200">
        <f>C30/C29*100</f>
        <v>36.245950350934478</v>
      </c>
      <c r="E30" s="134">
        <f>G30/C30*100</f>
        <v>22.887835729659049</v>
      </c>
      <c r="F30" s="134">
        <f t="shared" ref="F30:F38" si="6">(D30*E30)/100</f>
        <v>8.2959135749756605</v>
      </c>
      <c r="G30" s="6">
        <f>971712300</f>
        <v>971712300</v>
      </c>
      <c r="H30" s="134">
        <f>G30/C30*100</f>
        <v>22.887835729659049</v>
      </c>
      <c r="I30" s="134">
        <f t="shared" ref="I30:I38" si="7">(D30*H30)/100</f>
        <v>8.2959135749756605</v>
      </c>
      <c r="J30" s="6">
        <f t="shared" ref="J30:J39" si="8">G30-C30</f>
        <v>-3273828045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9" si="9">G31/C31*100</f>
        <v>13.240988137127671</v>
      </c>
      <c r="F31" s="134">
        <f t="shared" si="6"/>
        <v>0.79676613130318497</v>
      </c>
      <c r="G31" s="6">
        <f>93326364</f>
        <v>93326364</v>
      </c>
      <c r="H31" s="134">
        <f t="shared" ref="H31:H39" si="10">G31/C31*100</f>
        <v>13.240988137127671</v>
      </c>
      <c r="I31" s="134">
        <f t="shared" si="7"/>
        <v>0.79676613130318497</v>
      </c>
      <c r="J31" s="6">
        <f t="shared" si="8"/>
        <v>-611502936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17.549937851942712</v>
      </c>
      <c r="F32" s="134">
        <f t="shared" si="6"/>
        <v>0.5872889484084699</v>
      </c>
      <c r="G32" s="6">
        <f>68790000</f>
        <v>68790000</v>
      </c>
      <c r="H32" s="134">
        <f t="shared" si="10"/>
        <v>17.549937851942712</v>
      </c>
      <c r="I32" s="134">
        <f t="shared" si="7"/>
        <v>0.5872889484084699</v>
      </c>
      <c r="J32" s="6">
        <f t="shared" si="8"/>
        <v>-323177200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8.5520361990950224</v>
      </c>
      <c r="F33" s="134">
        <f t="shared" si="6"/>
        <v>3.2271438072161887E-2</v>
      </c>
      <c r="G33" s="6">
        <f>3780000</f>
        <v>3780000</v>
      </c>
      <c r="H33" s="134">
        <f t="shared" si="10"/>
        <v>8.5520361990950224</v>
      </c>
      <c r="I33" s="134">
        <f t="shared" si="7"/>
        <v>3.2271438072161887E-2</v>
      </c>
      <c r="J33" s="6">
        <f t="shared" si="8"/>
        <v>-40420000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21.228233814459792</v>
      </c>
      <c r="F34" s="134">
        <f t="shared" si="6"/>
        <v>0.20634938047728915</v>
      </c>
      <c r="G34" s="6">
        <f>24170000</f>
        <v>24170000</v>
      </c>
      <c r="H34" s="134">
        <f>G34/C34*100</f>
        <v>21.228233814459792</v>
      </c>
      <c r="I34" s="134">
        <f t="shared" si="7"/>
        <v>0.20634938047728915</v>
      </c>
      <c r="J34" s="6">
        <f t="shared" si="8"/>
        <v>-89687800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21.428571428571427</v>
      </c>
      <c r="F35" s="134">
        <f t="shared" si="6"/>
        <v>0.50080661682556371</v>
      </c>
      <c r="G35" s="6">
        <f>58660200</f>
        <v>58660200</v>
      </c>
      <c r="H35" s="134">
        <f t="shared" si="10"/>
        <v>21.428571428571427</v>
      </c>
      <c r="I35" s="134">
        <f t="shared" si="7"/>
        <v>0.50080661682556371</v>
      </c>
      <c r="J35" s="6">
        <f t="shared" si="8"/>
        <v>-215087400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1.5958933333333334</v>
      </c>
      <c r="F36" s="134">
        <f t="shared" si="6"/>
        <v>2.0437211458905831E-3</v>
      </c>
      <c r="G36" s="6">
        <f>239384</f>
        <v>239384</v>
      </c>
      <c r="H36" s="134">
        <f t="shared" si="10"/>
        <v>1.5958933333333334</v>
      </c>
      <c r="I36" s="134">
        <f t="shared" si="7"/>
        <v>2.0437211458905831E-3</v>
      </c>
      <c r="J36" s="6">
        <f t="shared" si="8"/>
        <v>-14760616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2.1182008368200838</v>
      </c>
      <c r="F37" s="134">
        <f t="shared" si="6"/>
        <v>1.0372962237480608E-4</v>
      </c>
      <c r="G37" s="6">
        <f>12150</f>
        <v>12150</v>
      </c>
      <c r="H37" s="134">
        <f>G37/C37*100</f>
        <v>2.1182008368200838</v>
      </c>
      <c r="I37" s="134">
        <f t="shared" si="7"/>
        <v>1.0372962237480608E-4</v>
      </c>
      <c r="J37" s="6">
        <f t="shared" si="8"/>
        <v>-561450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5647177786</v>
      </c>
      <c r="D38" s="200">
        <f>C38/C29*100</f>
        <v>48.212314339520454</v>
      </c>
      <c r="E38" s="134">
        <f t="shared" si="9"/>
        <v>15.094048395521861</v>
      </c>
      <c r="F38" s="134">
        <f t="shared" si="6"/>
        <v>7.2771900590083431</v>
      </c>
      <c r="G38" s="6">
        <f>424125355+428262393</f>
        <v>852387748</v>
      </c>
      <c r="H38" s="134">
        <f t="shared" si="10"/>
        <v>15.094048395521861</v>
      </c>
      <c r="I38" s="134">
        <f t="shared" si="7"/>
        <v>7.2771900590083431</v>
      </c>
      <c r="J38" s="6">
        <f t="shared" si="8"/>
        <v>-4794790038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276250331</v>
      </c>
      <c r="D39" s="200"/>
      <c r="E39" s="134">
        <f t="shared" si="9"/>
        <v>16.666666726998418</v>
      </c>
      <c r="F39" s="134"/>
      <c r="G39" s="6">
        <f>23020861+23020861</f>
        <v>46041722</v>
      </c>
      <c r="H39" s="134">
        <f t="shared" si="10"/>
        <v>16.666666726998418</v>
      </c>
      <c r="I39" s="134"/>
      <c r="J39" s="6">
        <f t="shared" si="8"/>
        <v>-230208609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1853928000</v>
      </c>
      <c r="D40" s="241"/>
      <c r="E40" s="242"/>
      <c r="F40" s="242"/>
      <c r="G40" s="791">
        <v>0</v>
      </c>
      <c r="H40" s="242"/>
      <c r="I40" s="242"/>
      <c r="J40" s="791">
        <v>0</v>
      </c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1723250000</v>
      </c>
      <c r="D41" s="200">
        <f>C41/C40*100</f>
        <v>92.95129044925153</v>
      </c>
      <c r="E41" s="134">
        <f>G41/C41*100</f>
        <v>22.235601334687363</v>
      </c>
      <c r="F41" s="134">
        <f t="shared" ref="F41:F44" si="11">(D41*E41)/100</f>
        <v>20.668278379742901</v>
      </c>
      <c r="G41" s="6">
        <f>127725000+127725000+127725000</f>
        <v>383175000</v>
      </c>
      <c r="H41" s="134">
        <f t="shared" ref="H41:H44" si="12">G41/C41*100</f>
        <v>22.235601334687363</v>
      </c>
      <c r="I41" s="134">
        <f t="shared" ref="I41:I44" si="13">(D41*H41)/100</f>
        <v>20.668278379742901</v>
      </c>
      <c r="J41" s="6">
        <f t="shared" ref="J41:J44" si="14">G41-C41</f>
        <v>-1340075000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122730550</v>
      </c>
      <c r="D42" s="200">
        <f>C42/C40*100</f>
        <v>6.6200278543719069</v>
      </c>
      <c r="E42" s="134">
        <f t="shared" ref="E42:E44" si="15">G42/C42*100</f>
        <v>23.044998168752603</v>
      </c>
      <c r="F42" s="134">
        <f t="shared" si="11"/>
        <v>1.5255852978109181</v>
      </c>
      <c r="G42" s="6">
        <f>28283253</f>
        <v>28283253</v>
      </c>
      <c r="H42" s="134">
        <f t="shared" si="12"/>
        <v>23.044998168752603</v>
      </c>
      <c r="I42" s="134">
        <f t="shared" si="13"/>
        <v>1.5255852978109181</v>
      </c>
      <c r="J42" s="6">
        <f t="shared" si="14"/>
        <v>-94447297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3532200</v>
      </c>
      <c r="D43" s="200">
        <f>C43/C40*100</f>
        <v>0.19052519838958148</v>
      </c>
      <c r="E43" s="134">
        <f t="shared" si="15"/>
        <v>82.791319857312729</v>
      </c>
      <c r="F43" s="134">
        <f t="shared" si="11"/>
        <v>0.15773832640749805</v>
      </c>
      <c r="G43" s="6">
        <f>2924355</f>
        <v>2924355</v>
      </c>
      <c r="H43" s="134">
        <f t="shared" si="12"/>
        <v>82.791319857312729</v>
      </c>
      <c r="I43" s="134">
        <f t="shared" si="13"/>
        <v>0.15773832640749805</v>
      </c>
      <c r="J43" s="6">
        <f t="shared" si="14"/>
        <v>-607845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4415250</v>
      </c>
      <c r="D44" s="200">
        <f>C44/C40*100</f>
        <v>0.23815649798697683</v>
      </c>
      <c r="E44" s="134">
        <f t="shared" si="15"/>
        <v>82.791574656021737</v>
      </c>
      <c r="F44" s="134">
        <f t="shared" si="11"/>
        <v>0.19717351482905482</v>
      </c>
      <c r="G44" s="6">
        <f>3655455</f>
        <v>3655455</v>
      </c>
      <c r="H44" s="134">
        <f t="shared" si="12"/>
        <v>82.791574656021737</v>
      </c>
      <c r="I44" s="134">
        <f t="shared" si="13"/>
        <v>0.19717351482905482</v>
      </c>
      <c r="J44" s="6">
        <f t="shared" si="14"/>
        <v>-759795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v>0</v>
      </c>
      <c r="H46" s="742"/>
      <c r="I46" s="742"/>
      <c r="J46" s="6">
        <f t="shared" ref="J46:J51" si="16">G46-C46</f>
        <v>-2310000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</v>
      </c>
      <c r="D47" s="741"/>
      <c r="E47" s="742"/>
      <c r="F47" s="742"/>
      <c r="G47" s="6">
        <v>0</v>
      </c>
      <c r="H47" s="742"/>
      <c r="I47" s="742"/>
      <c r="J47" s="6">
        <f t="shared" si="16"/>
        <v>-170000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8775400</v>
      </c>
      <c r="D48" s="200">
        <f>C48/C45*100</f>
        <v>17.550799999999999</v>
      </c>
      <c r="E48" s="134">
        <f t="shared" ref="E48:E50" si="17">G48/C48*100</f>
        <v>55.287223374433069</v>
      </c>
      <c r="F48" s="134">
        <f t="shared" ref="F48:F50" si="18">(D48*E48)/100</f>
        <v>9.7033499999999986</v>
      </c>
      <c r="G48" s="6">
        <f>4851675</f>
        <v>4851675</v>
      </c>
      <c r="H48" s="134">
        <f t="shared" ref="H48:H50" si="19">G48/C48*100</f>
        <v>55.287223374433069</v>
      </c>
      <c r="I48" s="134">
        <f t="shared" ref="I48:I50" si="20">(D48*H48)/100</f>
        <v>9.7033499999999986</v>
      </c>
      <c r="J48" s="6">
        <f t="shared" si="16"/>
        <v>-3923725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0</v>
      </c>
      <c r="F49" s="134">
        <f t="shared" si="18"/>
        <v>0</v>
      </c>
      <c r="G49" s="6">
        <v>0</v>
      </c>
      <c r="H49" s="134">
        <f t="shared" si="19"/>
        <v>0</v>
      </c>
      <c r="I49" s="134">
        <f t="shared" si="20"/>
        <v>0</v>
      </c>
      <c r="J49" s="6">
        <f t="shared" si="16"/>
        <v>-4124600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14520000</v>
      </c>
      <c r="D50" s="200">
        <f>C50/C45*100</f>
        <v>29.04</v>
      </c>
      <c r="E50" s="134">
        <f t="shared" si="17"/>
        <v>0</v>
      </c>
      <c r="F50" s="134">
        <f t="shared" si="18"/>
        <v>0</v>
      </c>
      <c r="G50" s="6">
        <v>0</v>
      </c>
      <c r="H50" s="134">
        <f t="shared" si="19"/>
        <v>0</v>
      </c>
      <c r="I50" s="134">
        <f t="shared" si="20"/>
        <v>0</v>
      </c>
      <c r="J50" s="6">
        <f t="shared" si="16"/>
        <v>-14520000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v>0</v>
      </c>
      <c r="H51" s="134"/>
      <c r="I51" s="134"/>
      <c r="J51" s="6">
        <f t="shared" si="16"/>
        <v>-20100000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0</v>
      </c>
      <c r="F54" s="134">
        <f t="shared" ref="F54:F57" si="21">(D54*E54)/100</f>
        <v>0</v>
      </c>
      <c r="G54" s="6">
        <v>0</v>
      </c>
      <c r="H54" s="134">
        <f>G54/C54*100</f>
        <v>0</v>
      </c>
      <c r="I54" s="134">
        <f>(D54*H54)/100</f>
        <v>0</v>
      </c>
      <c r="J54" s="6">
        <f>G54-C54</f>
        <v>-13476500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SUM(C56:C57)</f>
        <v>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2.5342874180083479</v>
      </c>
      <c r="E56" s="134">
        <f t="shared" ref="E56:E57" si="22">G56/C56*100</f>
        <v>0</v>
      </c>
      <c r="F56" s="134">
        <f t="shared" si="21"/>
        <v>0</v>
      </c>
      <c r="G56" s="6">
        <v>0</v>
      </c>
      <c r="H56" s="134">
        <f t="shared" ref="H56:H58" si="23">G56/C56*100</f>
        <v>0</v>
      </c>
      <c r="I56" s="134">
        <f t="shared" ref="I56:I57" si="24">(D56*H56)/100</f>
        <v>0</v>
      </c>
      <c r="J56" s="6">
        <f t="shared" ref="J56:J57" si="25">G56-C56</f>
        <v>-170000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6538000</v>
      </c>
      <c r="D57" s="200">
        <f>C57/C55*100</f>
        <v>97.465712581991653</v>
      </c>
      <c r="E57" s="134">
        <f t="shared" si="22"/>
        <v>21.107372285102478</v>
      </c>
      <c r="F57" s="134">
        <f t="shared" si="21"/>
        <v>20.572450805008945</v>
      </c>
      <c r="G57" s="6">
        <f>900000+480000</f>
        <v>1380000</v>
      </c>
      <c r="H57" s="134">
        <f t="shared" si="23"/>
        <v>21.107372285102478</v>
      </c>
      <c r="I57" s="134">
        <f t="shared" si="24"/>
        <v>20.572450805008945</v>
      </c>
      <c r="J57" s="6">
        <f t="shared" si="25"/>
        <v>-5158000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238" t="s">
        <v>503</v>
      </c>
      <c r="B58" s="238" t="s">
        <v>61</v>
      </c>
      <c r="C58" s="239">
        <f>SUM(C59:C62)</f>
        <v>62599600</v>
      </c>
      <c r="D58" s="241"/>
      <c r="E58" s="242"/>
      <c r="F58" s="242"/>
      <c r="G58" s="791">
        <v>0</v>
      </c>
      <c r="H58" s="242">
        <f t="shared" si="23"/>
        <v>0</v>
      </c>
      <c r="I58" s="242"/>
      <c r="J58" s="791">
        <v>0</v>
      </c>
      <c r="K58" s="237"/>
      <c r="L58" s="4"/>
      <c r="M58" s="4"/>
      <c r="N58" s="4"/>
      <c r="O58" s="4"/>
      <c r="P58" s="4"/>
      <c r="Q58" s="4"/>
      <c r="R58" s="9"/>
    </row>
    <row r="59" spans="1:18" ht="22.5" customHeight="1" x14ac:dyDescent="0.25">
      <c r="A59" s="49" t="s">
        <v>450</v>
      </c>
      <c r="B59" s="707" t="s">
        <v>384</v>
      </c>
      <c r="C59" s="56">
        <v>3090000</v>
      </c>
      <c r="D59" s="200">
        <f>C59/C58*100</f>
        <v>4.9361337772126337</v>
      </c>
      <c r="E59" s="134">
        <f>G59/C59*100</f>
        <v>0</v>
      </c>
      <c r="F59" s="134">
        <f t="shared" ref="F59:F71" si="26">(D59*E59)/100</f>
        <v>0</v>
      </c>
      <c r="G59" s="6">
        <v>0</v>
      </c>
      <c r="H59" s="134">
        <f>G59/C59*100</f>
        <v>0</v>
      </c>
      <c r="I59" s="134">
        <f>(D59*H59)/100</f>
        <v>0</v>
      </c>
      <c r="J59" s="6">
        <f t="shared" ref="J59:J62" si="27">G59-C59</f>
        <v>-3090000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448</v>
      </c>
      <c r="B60" s="707" t="s">
        <v>445</v>
      </c>
      <c r="C60" s="56">
        <v>170000</v>
      </c>
      <c r="D60" s="200"/>
      <c r="E60" s="134"/>
      <c r="F60" s="134"/>
      <c r="G60" s="6">
        <v>0</v>
      </c>
      <c r="H60" s="134"/>
      <c r="I60" s="134"/>
      <c r="J60" s="6">
        <f t="shared" si="27"/>
        <v>-170000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415</v>
      </c>
      <c r="B61" s="707" t="s">
        <v>197</v>
      </c>
      <c r="C61" s="56">
        <v>7993000</v>
      </c>
      <c r="D61" s="200"/>
      <c r="E61" s="134"/>
      <c r="F61" s="134"/>
      <c r="G61" s="6">
        <f>3094500</f>
        <v>3094500</v>
      </c>
      <c r="H61" s="134"/>
      <c r="I61" s="134"/>
      <c r="J61" s="6">
        <f t="shared" si="27"/>
        <v>-4898500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413</v>
      </c>
      <c r="B62" s="707" t="s">
        <v>334</v>
      </c>
      <c r="C62" s="56">
        <v>51346600</v>
      </c>
      <c r="D62" s="200"/>
      <c r="E62" s="134"/>
      <c r="F62" s="134"/>
      <c r="G62" s="6">
        <f>3000000+5967500</f>
        <v>8967500</v>
      </c>
      <c r="H62" s="134"/>
      <c r="I62" s="134"/>
      <c r="J62" s="6">
        <f t="shared" si="27"/>
        <v>-42379100</v>
      </c>
      <c r="K62" s="163"/>
      <c r="L62" s="4"/>
      <c r="M62" s="4"/>
      <c r="N62" s="4"/>
      <c r="O62" s="4"/>
      <c r="P62" s="4"/>
      <c r="Q62" s="4"/>
      <c r="R62" s="9"/>
    </row>
    <row r="63" spans="1:18" s="796" customFormat="1" x14ac:dyDescent="0.25">
      <c r="A63" s="799" t="s">
        <v>468</v>
      </c>
      <c r="B63" s="736" t="s">
        <v>467</v>
      </c>
      <c r="C63" s="800">
        <v>3000000</v>
      </c>
      <c r="D63" s="789"/>
      <c r="E63" s="790"/>
      <c r="F63" s="790"/>
      <c r="G63" s="791">
        <v>0</v>
      </c>
      <c r="H63" s="790"/>
      <c r="I63" s="790"/>
      <c r="J63" s="791">
        <v>0</v>
      </c>
      <c r="K63" s="793"/>
      <c r="L63" s="794"/>
      <c r="M63" s="794"/>
      <c r="N63" s="794"/>
      <c r="O63" s="794"/>
      <c r="P63" s="794"/>
      <c r="Q63" s="794"/>
      <c r="R63" s="795"/>
    </row>
    <row r="64" spans="1:18" x14ac:dyDescent="0.25">
      <c r="A64" s="49" t="s">
        <v>413</v>
      </c>
      <c r="B64" s="707" t="s">
        <v>334</v>
      </c>
      <c r="C64" s="56">
        <v>3000000</v>
      </c>
      <c r="D64" s="200"/>
      <c r="E64" s="134"/>
      <c r="F64" s="134"/>
      <c r="G64" s="6">
        <v>0</v>
      </c>
      <c r="H64" s="134"/>
      <c r="I64" s="134"/>
      <c r="J64" s="6">
        <f>G64-C64</f>
        <v>-3000000</v>
      </c>
      <c r="K64" s="163"/>
      <c r="L64" s="4"/>
      <c r="M64" s="4"/>
      <c r="N64" s="4"/>
      <c r="O64" s="4"/>
      <c r="P64" s="4"/>
      <c r="Q64" s="4"/>
      <c r="R64" s="9"/>
    </row>
    <row r="65" spans="1:18" s="796" customFormat="1" x14ac:dyDescent="0.25">
      <c r="A65" s="799" t="s">
        <v>469</v>
      </c>
      <c r="B65" s="736" t="s">
        <v>470</v>
      </c>
      <c r="C65" s="800">
        <f>SUM(C66:C68)</f>
        <v>12000000</v>
      </c>
      <c r="D65" s="789"/>
      <c r="E65" s="790"/>
      <c r="F65" s="790"/>
      <c r="G65" s="791">
        <v>0</v>
      </c>
      <c r="H65" s="790"/>
      <c r="I65" s="790"/>
      <c r="J65" s="791">
        <v>0</v>
      </c>
      <c r="K65" s="793"/>
      <c r="L65" s="794"/>
      <c r="M65" s="794"/>
      <c r="N65" s="794"/>
      <c r="O65" s="794"/>
      <c r="P65" s="794"/>
      <c r="Q65" s="794"/>
      <c r="R65" s="795"/>
    </row>
    <row r="66" spans="1:18" x14ac:dyDescent="0.25">
      <c r="A66" s="49" t="s">
        <v>448</v>
      </c>
      <c r="B66" s="707" t="s">
        <v>445</v>
      </c>
      <c r="C66" s="56">
        <v>170000</v>
      </c>
      <c r="D66" s="200"/>
      <c r="E66" s="134"/>
      <c r="F66" s="134"/>
      <c r="G66" s="6">
        <v>0</v>
      </c>
      <c r="H66" s="134"/>
      <c r="I66" s="134"/>
      <c r="J66" s="6">
        <f t="shared" ref="J66:J68" si="28">G66-C66</f>
        <v>-170000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413</v>
      </c>
      <c r="B67" s="707" t="s">
        <v>334</v>
      </c>
      <c r="C67" s="56">
        <v>820000</v>
      </c>
      <c r="D67" s="200"/>
      <c r="E67" s="134"/>
      <c r="F67" s="134"/>
      <c r="G67" s="6">
        <v>0</v>
      </c>
      <c r="H67" s="134"/>
      <c r="I67" s="134"/>
      <c r="J67" s="6">
        <f t="shared" si="28"/>
        <v>-820000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391</v>
      </c>
      <c r="B68" s="218" t="s">
        <v>198</v>
      </c>
      <c r="C68" s="56">
        <v>11010000</v>
      </c>
      <c r="D68" s="200"/>
      <c r="E68" s="134"/>
      <c r="F68" s="134"/>
      <c r="G68" s="6">
        <v>0</v>
      </c>
      <c r="H68" s="134"/>
      <c r="I68" s="134"/>
      <c r="J68" s="6">
        <f t="shared" si="28"/>
        <v>-11010000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238" t="s">
        <v>504</v>
      </c>
      <c r="B69" s="238" t="s">
        <v>64</v>
      </c>
      <c r="C69" s="239">
        <f>SUM(C70:C71)</f>
        <v>148714000</v>
      </c>
      <c r="D69" s="241"/>
      <c r="E69" s="242"/>
      <c r="F69" s="242"/>
      <c r="G69" s="791">
        <v>0</v>
      </c>
      <c r="H69" s="242"/>
      <c r="I69" s="242"/>
      <c r="J69" s="791">
        <v>0</v>
      </c>
      <c r="K69" s="237"/>
      <c r="L69" s="4"/>
      <c r="M69" s="4"/>
      <c r="N69" s="4"/>
      <c r="O69" s="4"/>
      <c r="P69" s="4"/>
      <c r="Q69" s="4"/>
      <c r="R69" s="9"/>
    </row>
    <row r="70" spans="1:18" ht="21" customHeight="1" x14ac:dyDescent="0.25">
      <c r="A70" s="49" t="s">
        <v>450</v>
      </c>
      <c r="B70" s="707" t="s">
        <v>384</v>
      </c>
      <c r="C70" s="56">
        <v>3480000</v>
      </c>
      <c r="D70" s="200">
        <f>C70/C69*100</f>
        <v>2.3400621326842126</v>
      </c>
      <c r="E70" s="134">
        <f t="shared" ref="E70:E71" si="29">G70/C70*100</f>
        <v>0</v>
      </c>
      <c r="F70" s="134">
        <f t="shared" si="26"/>
        <v>0</v>
      </c>
      <c r="G70" s="6">
        <v>0</v>
      </c>
      <c r="H70" s="134">
        <f t="shared" ref="H70:H71" si="30">G70/C70*100</f>
        <v>0</v>
      </c>
      <c r="I70" s="134">
        <f t="shared" ref="I70:I71" si="31">(D70*H70)/100</f>
        <v>0</v>
      </c>
      <c r="J70" s="6">
        <f t="shared" ref="J70:J71" si="32">G70-C70</f>
        <v>-3480000</v>
      </c>
      <c r="K70" s="163"/>
      <c r="L70" s="4"/>
      <c r="M70" s="4"/>
      <c r="N70" s="4"/>
      <c r="O70" s="4"/>
      <c r="P70" s="4"/>
      <c r="Q70" s="4"/>
      <c r="R70" s="9"/>
    </row>
    <row r="71" spans="1:18" ht="15.75" thickBot="1" x14ac:dyDescent="0.3">
      <c r="A71" s="217" t="s">
        <v>449</v>
      </c>
      <c r="B71" s="78" t="s">
        <v>23</v>
      </c>
      <c r="C71" s="219">
        <v>145234000</v>
      </c>
      <c r="D71" s="200">
        <f>C71/C69*100</f>
        <v>97.659937867315776</v>
      </c>
      <c r="E71" s="134">
        <f t="shared" si="29"/>
        <v>4.703857223515155</v>
      </c>
      <c r="F71" s="134">
        <f t="shared" si="26"/>
        <v>4.5937840418521452</v>
      </c>
      <c r="G71" s="6">
        <f>6831600</f>
        <v>6831600</v>
      </c>
      <c r="H71" s="134">
        <f t="shared" si="30"/>
        <v>4.703857223515155</v>
      </c>
      <c r="I71" s="134">
        <f t="shared" si="31"/>
        <v>4.5937840418521452</v>
      </c>
      <c r="J71" s="6">
        <f t="shared" si="32"/>
        <v>-138402400</v>
      </c>
      <c r="K71" s="163"/>
      <c r="L71" s="4"/>
      <c r="M71" s="4"/>
      <c r="N71" s="4"/>
      <c r="O71" s="694"/>
      <c r="P71" s="4"/>
      <c r="Q71" s="4"/>
      <c r="R71" s="9"/>
    </row>
    <row r="72" spans="1:18" ht="15.75" thickBot="1" x14ac:dyDescent="0.3">
      <c r="A72" s="689" t="s">
        <v>248</v>
      </c>
      <c r="B72" s="708" t="s">
        <v>68</v>
      </c>
      <c r="C72" s="690"/>
      <c r="D72" s="216"/>
      <c r="E72" s="134"/>
      <c r="F72" s="134"/>
      <c r="G72" s="6">
        <v>0</v>
      </c>
      <c r="H72" s="134"/>
      <c r="I72" s="134"/>
      <c r="J72" s="6">
        <v>0</v>
      </c>
      <c r="K72" s="163"/>
      <c r="L72" s="4"/>
      <c r="M72" s="4"/>
      <c r="N72" s="4"/>
      <c r="O72" s="4"/>
      <c r="P72" s="4"/>
      <c r="Q72" s="4"/>
      <c r="R72" s="9"/>
    </row>
    <row r="73" spans="1:18" x14ac:dyDescent="0.25">
      <c r="A73" s="233" t="s">
        <v>249</v>
      </c>
      <c r="B73" s="696" t="s">
        <v>387</v>
      </c>
      <c r="C73" s="234">
        <f>SUM(C74:C76)</f>
        <v>237367500</v>
      </c>
      <c r="D73" s="241"/>
      <c r="E73" s="242"/>
      <c r="F73" s="242"/>
      <c r="G73" s="791">
        <v>0</v>
      </c>
      <c r="H73" s="242"/>
      <c r="I73" s="242"/>
      <c r="J73" s="791">
        <v>0</v>
      </c>
      <c r="K73" s="237"/>
      <c r="L73" s="4"/>
      <c r="M73" s="4"/>
      <c r="N73" s="4"/>
      <c r="O73" s="713"/>
      <c r="P73" s="4"/>
      <c r="Q73" s="4"/>
      <c r="R73" s="9"/>
    </row>
    <row r="74" spans="1:18" x14ac:dyDescent="0.25">
      <c r="A74" s="49" t="s">
        <v>471</v>
      </c>
      <c r="B74" s="78" t="s">
        <v>388</v>
      </c>
      <c r="C74" s="56">
        <v>54000000</v>
      </c>
      <c r="D74" s="200">
        <f>C74/C73*100</f>
        <v>22.749533950519762</v>
      </c>
      <c r="E74" s="134">
        <f t="shared" ref="E74:E76" si="33">G74/C74*100</f>
        <v>19.832618518518519</v>
      </c>
      <c r="F74" s="134">
        <f t="shared" ref="F74:F76" si="34">(D74*E74)/100</f>
        <v>4.5118282831474401</v>
      </c>
      <c r="G74" s="6">
        <f>3574692+3580212+3554710</f>
        <v>10709614</v>
      </c>
      <c r="H74" s="134">
        <f t="shared" ref="H74:H78" si="35">G74/C74*100</f>
        <v>19.832618518518519</v>
      </c>
      <c r="I74" s="134">
        <f t="shared" ref="I74:I76" si="36">(D74*H74)/100</f>
        <v>4.5118282831474401</v>
      </c>
      <c r="J74" s="6">
        <f t="shared" ref="J74:J76" si="37">G74-C74</f>
        <v>-43290386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472</v>
      </c>
      <c r="B75" s="78" t="s">
        <v>73</v>
      </c>
      <c r="C75" s="56">
        <v>39000000</v>
      </c>
      <c r="D75" s="200">
        <f>C75/C73*100</f>
        <v>16.430218964264274</v>
      </c>
      <c r="E75" s="134">
        <f t="shared" si="33"/>
        <v>15.915415384615383</v>
      </c>
      <c r="F75" s="134">
        <f t="shared" si="34"/>
        <v>2.6149375967645101</v>
      </c>
      <c r="G75" s="6">
        <f>1550610+1939415+2716987</f>
        <v>6207012</v>
      </c>
      <c r="H75" s="134">
        <f t="shared" si="35"/>
        <v>15.915415384615383</v>
      </c>
      <c r="I75" s="134">
        <f t="shared" si="36"/>
        <v>2.6149375967645101</v>
      </c>
      <c r="J75" s="6">
        <f t="shared" si="37"/>
        <v>-32792988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473</v>
      </c>
      <c r="B76" s="78" t="s">
        <v>75</v>
      </c>
      <c r="C76" s="56">
        <v>144367500</v>
      </c>
      <c r="D76" s="200">
        <f>C76/C73*100</f>
        <v>60.820247085215961</v>
      </c>
      <c r="E76" s="134">
        <f t="shared" si="33"/>
        <v>24.712065388678202</v>
      </c>
      <c r="F76" s="134">
        <f t="shared" si="34"/>
        <v>15.029939229254216</v>
      </c>
      <c r="G76" s="6">
        <f>12246071+12027945+11402175</f>
        <v>35676191</v>
      </c>
      <c r="H76" s="134">
        <f t="shared" si="35"/>
        <v>24.712065388678202</v>
      </c>
      <c r="I76" s="134">
        <f t="shared" si="36"/>
        <v>15.029939229254216</v>
      </c>
      <c r="J76" s="6">
        <f t="shared" si="37"/>
        <v>-108691309</v>
      </c>
      <c r="K76" s="163"/>
      <c r="L76" s="4"/>
      <c r="M76" s="4"/>
      <c r="N76" s="4"/>
      <c r="O76" s="4"/>
      <c r="P76" s="4"/>
      <c r="Q76" s="4"/>
      <c r="R76" s="9"/>
    </row>
    <row r="77" spans="1:18" x14ac:dyDescent="0.25">
      <c r="A77" s="238" t="s">
        <v>505</v>
      </c>
      <c r="B77" s="238" t="s">
        <v>76</v>
      </c>
      <c r="C77" s="239">
        <f>SUM(C78:C78)</f>
        <v>20000000</v>
      </c>
      <c r="D77" s="241"/>
      <c r="E77" s="242"/>
      <c r="F77" s="242"/>
      <c r="G77" s="791">
        <v>0</v>
      </c>
      <c r="H77" s="242"/>
      <c r="I77" s="242"/>
      <c r="J77" s="791">
        <v>0</v>
      </c>
      <c r="K77" s="237"/>
      <c r="L77" s="4"/>
      <c r="M77" s="4"/>
      <c r="N77" s="4"/>
      <c r="O77" s="4"/>
      <c r="P77" s="4"/>
      <c r="Q77" s="4"/>
      <c r="R77" s="9"/>
    </row>
    <row r="78" spans="1:18" ht="14.25" customHeight="1" thickBot="1" x14ac:dyDescent="0.3">
      <c r="A78" s="49" t="s">
        <v>450</v>
      </c>
      <c r="B78" s="707" t="s">
        <v>384</v>
      </c>
      <c r="C78" s="56">
        <v>20000000</v>
      </c>
      <c r="D78" s="200">
        <f>C78/C77*100</f>
        <v>100</v>
      </c>
      <c r="E78" s="134">
        <f t="shared" ref="E78" si="38">G78/C78*100</f>
        <v>0</v>
      </c>
      <c r="F78" s="134">
        <f t="shared" ref="F78" si="39">(D78*E78)/100</f>
        <v>0</v>
      </c>
      <c r="G78" s="6">
        <v>0</v>
      </c>
      <c r="H78" s="134">
        <f t="shared" si="35"/>
        <v>0</v>
      </c>
      <c r="I78" s="134">
        <f t="shared" ref="I78" si="40">(D78*H78)/100</f>
        <v>0</v>
      </c>
      <c r="J78" s="6">
        <f>G78-C78</f>
        <v>-20000000</v>
      </c>
      <c r="K78" s="163"/>
      <c r="L78" s="4"/>
      <c r="M78" s="4"/>
      <c r="N78" s="4"/>
      <c r="O78" s="4"/>
      <c r="P78" s="4"/>
      <c r="Q78" s="4"/>
      <c r="R78" s="9"/>
    </row>
    <row r="79" spans="1:18" ht="26.25" thickBot="1" x14ac:dyDescent="0.3">
      <c r="A79" s="689" t="s">
        <v>506</v>
      </c>
      <c r="B79" s="692" t="s">
        <v>377</v>
      </c>
      <c r="C79" s="690"/>
      <c r="D79" s="216"/>
      <c r="E79" s="134"/>
      <c r="F79" s="134"/>
      <c r="G79" s="6">
        <v>0</v>
      </c>
      <c r="H79" s="134"/>
      <c r="I79" s="134"/>
      <c r="J79" s="6">
        <v>0</v>
      </c>
      <c r="K79" s="163"/>
      <c r="L79" s="4"/>
      <c r="M79" s="4"/>
      <c r="N79" s="4"/>
      <c r="O79" s="694"/>
      <c r="P79" s="4"/>
      <c r="Q79" s="4"/>
      <c r="R79" s="9"/>
    </row>
    <row r="80" spans="1:18" ht="26.25" x14ac:dyDescent="0.25">
      <c r="A80" s="693" t="s">
        <v>507</v>
      </c>
      <c r="B80" s="691" t="s">
        <v>474</v>
      </c>
      <c r="C80" s="234">
        <f>SUM(C81:C85)</f>
        <v>151843982</v>
      </c>
      <c r="D80" s="241"/>
      <c r="E80" s="242"/>
      <c r="F80" s="242"/>
      <c r="G80" s="791">
        <v>0</v>
      </c>
      <c r="H80" s="242"/>
      <c r="I80" s="242"/>
      <c r="J80" s="791">
        <v>0</v>
      </c>
      <c r="K80" s="244"/>
      <c r="L80" s="4"/>
      <c r="M80" s="4"/>
      <c r="N80" s="4"/>
      <c r="O80" s="4"/>
      <c r="P80" s="4"/>
      <c r="Q80" s="4"/>
      <c r="R80" s="9"/>
    </row>
    <row r="81" spans="1:18" s="783" customFormat="1" ht="25.5" x14ac:dyDescent="0.25">
      <c r="A81" s="801" t="s">
        <v>450</v>
      </c>
      <c r="B81" s="707" t="s">
        <v>384</v>
      </c>
      <c r="C81" s="788">
        <v>7330000</v>
      </c>
      <c r="D81" s="741"/>
      <c r="E81" s="742"/>
      <c r="F81" s="742"/>
      <c r="G81" s="6">
        <v>0</v>
      </c>
      <c r="H81" s="742"/>
      <c r="I81" s="742"/>
      <c r="J81" s="6">
        <f t="shared" ref="J81:J85" si="41">G81-C81</f>
        <v>-7330000</v>
      </c>
      <c r="K81" s="743"/>
      <c r="L81" s="737"/>
      <c r="M81" s="737"/>
      <c r="N81" s="737"/>
      <c r="O81" s="737"/>
      <c r="P81" s="737"/>
      <c r="Q81" s="737"/>
      <c r="R81" s="782"/>
    </row>
    <row r="82" spans="1:18" x14ac:dyDescent="0.25">
      <c r="A82" s="224" t="s">
        <v>475</v>
      </c>
      <c r="B82" s="78" t="s">
        <v>81</v>
      </c>
      <c r="C82" s="56">
        <v>79356018</v>
      </c>
      <c r="D82" s="200">
        <f>C82/C80*100</f>
        <v>52.261549621373874</v>
      </c>
      <c r="E82" s="134">
        <f t="shared" ref="E82:E85" si="42">G82/C82*100</f>
        <v>25.493970728218745</v>
      </c>
      <c r="F82" s="134">
        <f t="shared" ref="F82:F85" si="43">(D82*E82)/100</f>
        <v>13.32354416258657</v>
      </c>
      <c r="G82" s="6">
        <f>20231000</f>
        <v>20231000</v>
      </c>
      <c r="H82" s="134">
        <f t="shared" ref="H82:H85" si="44">G82/C82*100</f>
        <v>25.493970728218745</v>
      </c>
      <c r="I82" s="134">
        <f t="shared" ref="I82:I85" si="45">(D82*H82)/100</f>
        <v>13.32354416258657</v>
      </c>
      <c r="J82" s="6">
        <f t="shared" si="41"/>
        <v>-59125018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476</v>
      </c>
      <c r="B83" s="78" t="s">
        <v>83</v>
      </c>
      <c r="C83" s="56">
        <v>22600000</v>
      </c>
      <c r="D83" s="200">
        <f>C83/C80*100</f>
        <v>14.883698189632566</v>
      </c>
      <c r="E83" s="134">
        <f t="shared" si="42"/>
        <v>12.407079646017699</v>
      </c>
      <c r="F83" s="134">
        <f t="shared" si="43"/>
        <v>1.846632288660607</v>
      </c>
      <c r="G83" s="6">
        <f>2804000</f>
        <v>2804000</v>
      </c>
      <c r="H83" s="134">
        <f t="shared" si="44"/>
        <v>12.407079646017699</v>
      </c>
      <c r="I83" s="134">
        <f t="shared" si="45"/>
        <v>1.846632288660607</v>
      </c>
      <c r="J83" s="6">
        <f t="shared" si="41"/>
        <v>-19796000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477</v>
      </c>
      <c r="B84" s="78" t="s">
        <v>85</v>
      </c>
      <c r="C84" s="56">
        <v>13307964</v>
      </c>
      <c r="D84" s="200">
        <f>C84/C80*100</f>
        <v>8.7642353847121832</v>
      </c>
      <c r="E84" s="134">
        <f t="shared" si="42"/>
        <v>2.6856099099757107</v>
      </c>
      <c r="F84" s="134">
        <f t="shared" si="43"/>
        <v>0.23537317402542826</v>
      </c>
      <c r="G84" s="6">
        <f>357400</f>
        <v>357400</v>
      </c>
      <c r="H84" s="134">
        <f t="shared" si="44"/>
        <v>2.6856099099757107</v>
      </c>
      <c r="I84" s="134">
        <f t="shared" si="45"/>
        <v>0.23537317402542826</v>
      </c>
      <c r="J84" s="6">
        <f t="shared" si="41"/>
        <v>-12950564</v>
      </c>
      <c r="K84" s="56"/>
      <c r="L84" s="4"/>
      <c r="M84" s="4"/>
      <c r="N84" s="4"/>
      <c r="O84" s="713"/>
      <c r="P84" s="4"/>
      <c r="Q84" s="4"/>
      <c r="R84" s="9"/>
    </row>
    <row r="85" spans="1:18" ht="25.5" x14ac:dyDescent="0.25">
      <c r="A85" s="49" t="s">
        <v>478</v>
      </c>
      <c r="B85" s="77" t="s">
        <v>87</v>
      </c>
      <c r="C85" s="56">
        <v>29250000</v>
      </c>
      <c r="D85" s="200">
        <f>C85/C80*100</f>
        <v>19.263193453396134</v>
      </c>
      <c r="E85" s="134">
        <f t="shared" si="42"/>
        <v>0.95726495726495731</v>
      </c>
      <c r="F85" s="134">
        <f t="shared" si="43"/>
        <v>0.18439980057951857</v>
      </c>
      <c r="G85" s="6">
        <f>280000</f>
        <v>280000</v>
      </c>
      <c r="H85" s="134">
        <f t="shared" si="44"/>
        <v>0.95726495726495731</v>
      </c>
      <c r="I85" s="134">
        <f t="shared" si="45"/>
        <v>0.18439980057951857</v>
      </c>
      <c r="J85" s="6">
        <f t="shared" si="41"/>
        <v>-28970000</v>
      </c>
      <c r="K85" s="56"/>
      <c r="L85" s="4"/>
      <c r="M85" s="4"/>
      <c r="N85" s="4"/>
      <c r="O85" s="4"/>
      <c r="P85" s="4"/>
      <c r="Q85" s="4"/>
      <c r="R85" s="9"/>
    </row>
    <row r="86" spans="1:18" s="796" customFormat="1" x14ac:dyDescent="0.25">
      <c r="A86" s="799" t="s">
        <v>483</v>
      </c>
      <c r="B86" s="691" t="s">
        <v>479</v>
      </c>
      <c r="C86" s="800">
        <f>SUM(C87:C89)</f>
        <v>30280000</v>
      </c>
      <c r="D86" s="789"/>
      <c r="E86" s="790"/>
      <c r="F86" s="790"/>
      <c r="G86" s="791">
        <v>0</v>
      </c>
      <c r="H86" s="790"/>
      <c r="I86" s="790"/>
      <c r="J86" s="791">
        <v>0</v>
      </c>
      <c r="K86" s="792"/>
      <c r="L86" s="794"/>
      <c r="M86" s="794"/>
      <c r="N86" s="794"/>
      <c r="O86" s="794"/>
      <c r="P86" s="794"/>
      <c r="Q86" s="794"/>
      <c r="R86" s="795"/>
    </row>
    <row r="87" spans="1:18" ht="25.5" x14ac:dyDescent="0.25">
      <c r="A87" s="49" t="s">
        <v>484</v>
      </c>
      <c r="B87" s="77" t="s">
        <v>480</v>
      </c>
      <c r="C87" s="56">
        <v>4110000</v>
      </c>
      <c r="D87" s="200"/>
      <c r="E87" s="134"/>
      <c r="F87" s="134"/>
      <c r="G87" s="132">
        <f>1400000</f>
        <v>1400000</v>
      </c>
      <c r="H87" s="134"/>
      <c r="I87" s="134"/>
      <c r="J87" s="6">
        <f t="shared" ref="J87:J89" si="46">G87-C87</f>
        <v>-2710000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485</v>
      </c>
      <c r="B88" s="77" t="s">
        <v>481</v>
      </c>
      <c r="C88" s="56">
        <v>14490000</v>
      </c>
      <c r="D88" s="200"/>
      <c r="E88" s="134"/>
      <c r="F88" s="134"/>
      <c r="G88" s="6">
        <v>0</v>
      </c>
      <c r="H88" s="134"/>
      <c r="I88" s="134"/>
      <c r="J88" s="6">
        <f t="shared" si="46"/>
        <v>-14490000</v>
      </c>
      <c r="K88" s="56"/>
      <c r="L88" s="4"/>
      <c r="M88" s="4"/>
      <c r="N88" s="4"/>
      <c r="O88" s="4"/>
      <c r="P88" s="4"/>
      <c r="Q88" s="4"/>
      <c r="R88" s="9"/>
    </row>
    <row r="89" spans="1:18" ht="25.5" x14ac:dyDescent="0.25">
      <c r="A89" s="49" t="s">
        <v>486</v>
      </c>
      <c r="B89" s="77" t="s">
        <v>482</v>
      </c>
      <c r="C89" s="56">
        <v>11680000</v>
      </c>
      <c r="D89" s="200"/>
      <c r="E89" s="134"/>
      <c r="F89" s="134"/>
      <c r="G89" s="132">
        <f>5565000</f>
        <v>5565000</v>
      </c>
      <c r="H89" s="134"/>
      <c r="I89" s="134"/>
      <c r="J89" s="6">
        <f t="shared" si="46"/>
        <v>-6115000</v>
      </c>
      <c r="K89" s="56"/>
      <c r="L89" s="4"/>
      <c r="M89" s="4"/>
      <c r="N89" s="4"/>
      <c r="O89" s="4"/>
      <c r="P89" s="4"/>
      <c r="Q89" s="4"/>
      <c r="R89" s="9"/>
    </row>
    <row r="90" spans="1:18" s="796" customFormat="1" ht="25.5" x14ac:dyDescent="0.25">
      <c r="A90" s="799" t="s">
        <v>508</v>
      </c>
      <c r="B90" s="802" t="s">
        <v>90</v>
      </c>
      <c r="C90" s="800">
        <v>107280000</v>
      </c>
      <c r="D90" s="789"/>
      <c r="E90" s="790"/>
      <c r="F90" s="790"/>
      <c r="G90" s="791"/>
      <c r="H90" s="790"/>
      <c r="I90" s="790"/>
      <c r="J90" s="791"/>
      <c r="K90" s="792"/>
      <c r="L90" s="794"/>
      <c r="M90" s="794"/>
      <c r="N90" s="794"/>
      <c r="O90" s="794"/>
      <c r="P90" s="794"/>
      <c r="Q90" s="794"/>
      <c r="R90" s="795"/>
    </row>
    <row r="91" spans="1:18" ht="25.5" x14ac:dyDescent="0.25">
      <c r="A91" s="49" t="s">
        <v>487</v>
      </c>
      <c r="B91" s="77" t="s">
        <v>509</v>
      </c>
      <c r="C91" s="56">
        <v>107280000</v>
      </c>
      <c r="D91" s="200"/>
      <c r="E91" s="134"/>
      <c r="F91" s="134"/>
      <c r="G91" s="132">
        <f>1093000</f>
        <v>1093000</v>
      </c>
      <c r="H91" s="134"/>
      <c r="I91" s="134"/>
      <c r="J91" s="6">
        <f>G91-C91</f>
        <v>-106187000</v>
      </c>
      <c r="K91" s="56"/>
      <c r="L91" s="4"/>
      <c r="M91" s="4"/>
      <c r="N91" s="4"/>
      <c r="O91" s="4"/>
      <c r="P91" s="4"/>
      <c r="Q91" s="4"/>
      <c r="R91" s="9"/>
    </row>
    <row r="92" spans="1:18" ht="25.5" x14ac:dyDescent="0.25">
      <c r="A92" s="238" t="s">
        <v>510</v>
      </c>
      <c r="B92" s="240" t="s">
        <v>90</v>
      </c>
      <c r="C92" s="239">
        <v>47010000</v>
      </c>
      <c r="D92" s="241"/>
      <c r="E92" s="242"/>
      <c r="F92" s="242"/>
      <c r="G92" s="791">
        <v>0</v>
      </c>
      <c r="H92" s="242"/>
      <c r="I92" s="242"/>
      <c r="J92" s="791">
        <v>0</v>
      </c>
      <c r="K92" s="244"/>
      <c r="L92" s="4"/>
      <c r="M92" s="4"/>
      <c r="N92" s="4"/>
      <c r="O92" s="4"/>
      <c r="P92" s="4"/>
      <c r="Q92" s="4"/>
      <c r="R92" s="9"/>
    </row>
    <row r="93" spans="1:18" s="783" customFormat="1" x14ac:dyDescent="0.25">
      <c r="A93" s="124" t="s">
        <v>448</v>
      </c>
      <c r="B93" s="707" t="s">
        <v>445</v>
      </c>
      <c r="C93" s="743">
        <v>170000</v>
      </c>
      <c r="D93" s="741"/>
      <c r="E93" s="742"/>
      <c r="F93" s="742"/>
      <c r="G93" s="6">
        <v>0</v>
      </c>
      <c r="H93" s="742"/>
      <c r="I93" s="742"/>
      <c r="J93" s="6">
        <f t="shared" ref="J93:J95" si="47">G93-C93</f>
        <v>-170000</v>
      </c>
      <c r="K93" s="743"/>
      <c r="L93" s="737"/>
      <c r="M93" s="737"/>
      <c r="N93" s="737"/>
      <c r="O93" s="737"/>
      <c r="P93" s="737"/>
      <c r="Q93" s="737"/>
      <c r="R93" s="782"/>
    </row>
    <row r="94" spans="1:18" x14ac:dyDescent="0.25">
      <c r="A94" s="49" t="s">
        <v>490</v>
      </c>
      <c r="B94" s="316" t="s">
        <v>488</v>
      </c>
      <c r="C94" s="56">
        <v>8500000</v>
      </c>
      <c r="D94" s="200">
        <f>C94/C92*100</f>
        <v>18.081259306530526</v>
      </c>
      <c r="E94" s="134">
        <f t="shared" ref="E94:E95" si="48">G94/C94*100</f>
        <v>0</v>
      </c>
      <c r="F94" s="134">
        <f t="shared" ref="F94:F95" si="49">(D94*E94)/100</f>
        <v>0</v>
      </c>
      <c r="G94" s="6">
        <v>0</v>
      </c>
      <c r="H94" s="134">
        <f t="shared" ref="H94:H95" si="50">G94/C94*100</f>
        <v>0</v>
      </c>
      <c r="I94" s="134">
        <f t="shared" ref="I94:I95" si="51">(D94*H94)/100</f>
        <v>0</v>
      </c>
      <c r="J94" s="6">
        <f t="shared" si="47"/>
        <v>-8500000</v>
      </c>
      <c r="K94" s="56"/>
      <c r="L94" s="4"/>
      <c r="M94" s="4"/>
      <c r="N94" s="4"/>
      <c r="O94" s="4"/>
      <c r="P94" s="4"/>
      <c r="Q94" s="4"/>
      <c r="R94" s="9"/>
    </row>
    <row r="95" spans="1:18" ht="25.5" x14ac:dyDescent="0.25">
      <c r="A95" s="49" t="s">
        <v>491</v>
      </c>
      <c r="B95" s="77" t="s">
        <v>489</v>
      </c>
      <c r="C95" s="56">
        <v>38340000</v>
      </c>
      <c r="D95" s="200">
        <f>C95/C92*100</f>
        <v>81.557115507338864</v>
      </c>
      <c r="E95" s="134">
        <f t="shared" si="48"/>
        <v>15.476851851851853</v>
      </c>
      <c r="F95" s="134">
        <f t="shared" si="49"/>
        <v>12.62247394171453</v>
      </c>
      <c r="G95" s="138">
        <f>2380925+3552900</f>
        <v>5933825</v>
      </c>
      <c r="H95" s="134">
        <f t="shared" si="50"/>
        <v>15.476851851851853</v>
      </c>
      <c r="I95" s="134">
        <f t="shared" si="51"/>
        <v>12.62247394171453</v>
      </c>
      <c r="J95" s="6">
        <f t="shared" si="47"/>
        <v>-32406175</v>
      </c>
      <c r="K95" s="56"/>
      <c r="L95" s="4"/>
      <c r="M95" s="695"/>
      <c r="N95" s="4"/>
      <c r="O95" s="4"/>
      <c r="P95" s="4"/>
      <c r="Q95" s="4"/>
      <c r="R95" s="9"/>
    </row>
    <row r="96" spans="1:18" x14ac:dyDescent="0.25">
      <c r="A96" s="1045" t="s">
        <v>95</v>
      </c>
      <c r="B96" s="1046"/>
      <c r="C96" s="1047"/>
      <c r="D96" s="81"/>
      <c r="E96" s="134"/>
      <c r="F96" s="134"/>
      <c r="G96" s="768">
        <f>SUM(G12:G95)</f>
        <v>2652540248</v>
      </c>
      <c r="H96" s="134"/>
      <c r="I96" s="134"/>
      <c r="J96" s="781">
        <v>0</v>
      </c>
      <c r="K96" s="130"/>
      <c r="L96" s="1"/>
      <c r="M96" s="1"/>
      <c r="N96" s="1"/>
      <c r="O96" s="1"/>
      <c r="P96" s="1"/>
      <c r="Q96" s="1"/>
      <c r="R96" s="1"/>
    </row>
    <row r="97" spans="1:18" x14ac:dyDescent="0.25">
      <c r="A97" s="50"/>
      <c r="B97" s="5"/>
      <c r="C97" s="50"/>
      <c r="D97" s="9"/>
      <c r="E97" s="23"/>
      <c r="F97" s="23"/>
      <c r="G97" s="11"/>
      <c r="H97" s="23"/>
      <c r="I97" s="23"/>
      <c r="J97" s="4"/>
      <c r="K97" s="9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0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1"/>
      <c r="M98" s="1"/>
      <c r="N98" s="1"/>
      <c r="O98" s="1"/>
      <c r="P98" s="1"/>
      <c r="Q98" s="1"/>
      <c r="R98" s="1"/>
    </row>
    <row r="99" spans="1:18" x14ac:dyDescent="0.25">
      <c r="A99" s="1036" t="s">
        <v>511</v>
      </c>
      <c r="B99" s="1036"/>
      <c r="C99" s="1036"/>
      <c r="D99" s="1036"/>
      <c r="E99" s="1037"/>
      <c r="F99" s="1037"/>
      <c r="G99" s="1038"/>
      <c r="H99" s="1037"/>
      <c r="I99" s="1037"/>
      <c r="J99" s="1036"/>
      <c r="K99" s="1036"/>
      <c r="L99" s="9"/>
      <c r="M99" s="9"/>
      <c r="N99" s="9"/>
      <c r="O99" s="9"/>
      <c r="P99" s="9"/>
      <c r="Q99" s="9"/>
      <c r="R99" s="9"/>
    </row>
    <row r="100" spans="1:18" x14ac:dyDescent="0.25">
      <c r="A100" s="1161" t="s">
        <v>547</v>
      </c>
      <c r="B100" s="1161"/>
      <c r="C100" s="1161"/>
      <c r="D100" s="1161"/>
      <c r="E100" s="1161"/>
      <c r="F100" s="1161"/>
      <c r="G100" s="1161"/>
      <c r="H100" s="1161"/>
      <c r="I100" s="1161"/>
      <c r="J100" s="1161"/>
      <c r="K100" s="1161"/>
      <c r="L100" s="9"/>
      <c r="M100" s="9"/>
      <c r="N100" s="9"/>
      <c r="O100" s="9"/>
      <c r="P100" s="9"/>
      <c r="Q100" s="9"/>
      <c r="R100" s="9"/>
    </row>
    <row r="101" spans="1:18" x14ac:dyDescent="0.25">
      <c r="A101" s="1048" t="s">
        <v>2</v>
      </c>
      <c r="B101" s="1051" t="s">
        <v>3</v>
      </c>
      <c r="C101" s="1048" t="s">
        <v>4</v>
      </c>
      <c r="D101" s="1054" t="s">
        <v>5</v>
      </c>
      <c r="E101" s="1055"/>
      <c r="F101" s="1055"/>
      <c r="G101" s="1044" t="s">
        <v>6</v>
      </c>
      <c r="H101" s="1055"/>
      <c r="I101" s="1055"/>
      <c r="J101" s="1048" t="s">
        <v>7</v>
      </c>
      <c r="K101" s="213" t="s">
        <v>8</v>
      </c>
      <c r="L101" s="9"/>
      <c r="M101" s="9"/>
      <c r="N101" s="9"/>
      <c r="O101" s="9"/>
      <c r="P101" s="9"/>
      <c r="Q101" s="9"/>
      <c r="R101" s="9"/>
    </row>
    <row r="102" spans="1:18" x14ac:dyDescent="0.25">
      <c r="A102" s="1049"/>
      <c r="B102" s="1052"/>
      <c r="C102" s="1049"/>
      <c r="D102" s="209" t="s">
        <v>9</v>
      </c>
      <c r="E102" s="214" t="s">
        <v>10</v>
      </c>
      <c r="F102" s="214" t="s">
        <v>11</v>
      </c>
      <c r="G102" s="209" t="s">
        <v>12</v>
      </c>
      <c r="H102" s="214" t="s">
        <v>13</v>
      </c>
      <c r="I102" s="214" t="s">
        <v>11</v>
      </c>
      <c r="J102" s="1049"/>
      <c r="K102" s="209"/>
      <c r="L102" s="1"/>
      <c r="M102" s="1"/>
      <c r="N102" s="1"/>
      <c r="O102" s="1"/>
      <c r="P102" s="1"/>
      <c r="Q102" s="1"/>
      <c r="R102" s="1"/>
    </row>
    <row r="103" spans="1:18" x14ac:dyDescent="0.25">
      <c r="A103" s="1050"/>
      <c r="B103" s="1053"/>
      <c r="C103" s="1050"/>
      <c r="D103" s="212" t="s">
        <v>14</v>
      </c>
      <c r="E103" s="215" t="s">
        <v>14</v>
      </c>
      <c r="F103" s="215" t="s">
        <v>14</v>
      </c>
      <c r="G103" s="212" t="s">
        <v>15</v>
      </c>
      <c r="H103" s="215" t="s">
        <v>14</v>
      </c>
      <c r="I103" s="215" t="s">
        <v>14</v>
      </c>
      <c r="J103" s="212" t="s">
        <v>15</v>
      </c>
      <c r="K103" s="212"/>
      <c r="L103" s="1"/>
      <c r="M103" s="1"/>
      <c r="N103" s="1"/>
      <c r="O103" s="1"/>
      <c r="P103" s="1"/>
      <c r="Q103" s="1"/>
      <c r="R103" s="1"/>
    </row>
    <row r="104" spans="1:18" ht="26.25" thickBot="1" x14ac:dyDescent="0.3">
      <c r="A104" s="227" t="s">
        <v>220</v>
      </c>
      <c r="B104" s="704" t="s">
        <v>212</v>
      </c>
      <c r="C104" s="245">
        <f>SUM(C105:C105)</f>
        <v>1071720000</v>
      </c>
      <c r="D104" s="6"/>
      <c r="E104" s="203"/>
      <c r="F104" s="204"/>
      <c r="G104" s="6"/>
      <c r="H104" s="204"/>
      <c r="I104" s="204"/>
      <c r="J104" s="6"/>
      <c r="K104" s="6"/>
      <c r="L104" s="1"/>
      <c r="M104" s="1"/>
      <c r="N104" s="1"/>
      <c r="O104" s="714"/>
      <c r="P104" s="1"/>
      <c r="Q104" s="1"/>
      <c r="R104" s="1"/>
    </row>
    <row r="105" spans="1:18" ht="26.25" thickBot="1" x14ac:dyDescent="0.3">
      <c r="A105" s="703" t="s">
        <v>180</v>
      </c>
      <c r="B105" s="705" t="s">
        <v>379</v>
      </c>
      <c r="C105" s="246">
        <f>SUM(C106:C106)</f>
        <v>1071720000</v>
      </c>
      <c r="D105" s="226"/>
      <c r="E105" s="204"/>
      <c r="F105" s="204"/>
      <c r="G105" s="6"/>
      <c r="H105" s="204"/>
      <c r="I105" s="204"/>
      <c r="J105" s="6"/>
      <c r="K105" s="6"/>
      <c r="L105" s="1"/>
      <c r="M105" s="1"/>
      <c r="N105" s="1"/>
      <c r="O105" s="1"/>
      <c r="P105" s="1"/>
      <c r="Q105" s="1"/>
      <c r="R105" s="1"/>
    </row>
    <row r="106" spans="1:18" ht="25.5" x14ac:dyDescent="0.25">
      <c r="A106" s="698" t="s">
        <v>181</v>
      </c>
      <c r="B106" s="706" t="s">
        <v>380</v>
      </c>
      <c r="C106" s="246">
        <f>SUM(C107:C128)</f>
        <v>1071720000</v>
      </c>
      <c r="D106" s="236"/>
      <c r="E106" s="278"/>
      <c r="F106" s="278"/>
      <c r="G106" s="236"/>
      <c r="H106" s="278"/>
      <c r="I106" s="278"/>
      <c r="J106" s="236"/>
      <c r="K106" s="236"/>
      <c r="L106" s="1"/>
      <c r="M106" s="1"/>
      <c r="N106" s="1"/>
      <c r="O106" s="715"/>
      <c r="P106" s="1"/>
      <c r="Q106" s="1"/>
      <c r="R106" s="1"/>
    </row>
    <row r="107" spans="1:18" ht="15" customHeight="1" x14ac:dyDescent="0.25">
      <c r="A107" s="315" t="s">
        <v>44</v>
      </c>
      <c r="B107" s="707" t="s">
        <v>384</v>
      </c>
      <c r="C107" s="722">
        <v>53020000</v>
      </c>
      <c r="D107" s="722">
        <f>C107/C105*100</f>
        <v>4.947187698279401</v>
      </c>
      <c r="E107" s="134">
        <f t="shared" ref="E107:E127" si="52">G107/C107*100</f>
        <v>0</v>
      </c>
      <c r="F107" s="134">
        <f t="shared" ref="F107:F127" si="53">(D107*E107)/100</f>
        <v>0</v>
      </c>
      <c r="G107" s="6">
        <v>0</v>
      </c>
      <c r="H107" s="134">
        <f t="shared" ref="H107:H127" si="54">G107/C107*100</f>
        <v>0</v>
      </c>
      <c r="I107" s="134">
        <f t="shared" ref="I107:I127" si="55">(D107*H107)/100</f>
        <v>0</v>
      </c>
      <c r="J107" s="6">
        <f t="shared" ref="J107:J128" si="56">G107-C107</f>
        <v>-53020000</v>
      </c>
      <c r="K107" s="6"/>
      <c r="L107" s="1"/>
      <c r="M107" s="1"/>
      <c r="N107" s="1"/>
      <c r="O107" s="1"/>
      <c r="P107" s="1"/>
      <c r="Q107" s="1"/>
      <c r="R107" s="1"/>
    </row>
    <row r="108" spans="1:18" ht="15" customHeight="1" x14ac:dyDescent="0.25">
      <c r="A108" s="315" t="s">
        <v>518</v>
      </c>
      <c r="B108" s="707" t="s">
        <v>512</v>
      </c>
      <c r="C108" s="722">
        <v>1500000</v>
      </c>
      <c r="D108" s="722"/>
      <c r="E108" s="134"/>
      <c r="F108" s="134"/>
      <c r="G108" s="6"/>
      <c r="H108" s="134"/>
      <c r="I108" s="134"/>
      <c r="J108" s="6">
        <f t="shared" si="56"/>
        <v>-1500000</v>
      </c>
      <c r="K108" s="6"/>
      <c r="L108" s="1"/>
      <c r="M108" s="1"/>
      <c r="N108" s="1"/>
      <c r="O108" s="1"/>
      <c r="P108" s="1"/>
      <c r="Q108" s="1"/>
      <c r="R108" s="1"/>
    </row>
    <row r="109" spans="1:18" x14ac:dyDescent="0.25">
      <c r="A109" s="315" t="s">
        <v>59</v>
      </c>
      <c r="B109" s="707" t="s">
        <v>197</v>
      </c>
      <c r="C109" s="247">
        <v>24044000</v>
      </c>
      <c r="D109" s="279">
        <f>C109/C105*100</f>
        <v>2.2434964356361737</v>
      </c>
      <c r="E109" s="134">
        <f t="shared" si="52"/>
        <v>49.67767426384961</v>
      </c>
      <c r="F109" s="134">
        <f t="shared" si="53"/>
        <v>1.1145168514164148</v>
      </c>
      <c r="G109" s="6">
        <f>11944500</f>
        <v>11944500</v>
      </c>
      <c r="H109" s="134">
        <f t="shared" si="54"/>
        <v>49.67767426384961</v>
      </c>
      <c r="I109" s="134">
        <f t="shared" si="55"/>
        <v>1.1145168514164148</v>
      </c>
      <c r="J109" s="6">
        <f t="shared" si="56"/>
        <v>-12099500</v>
      </c>
      <c r="K109" s="6"/>
      <c r="L109" s="1"/>
      <c r="M109" s="25"/>
    </row>
    <row r="110" spans="1:18" x14ac:dyDescent="0.25">
      <c r="A110" s="228" t="s">
        <v>62</v>
      </c>
      <c r="B110" s="707" t="s">
        <v>334</v>
      </c>
      <c r="C110" s="247">
        <v>25150000</v>
      </c>
      <c r="D110" s="279">
        <f>C110/C105*100</f>
        <v>2.3466950322845519</v>
      </c>
      <c r="E110" s="134">
        <f t="shared" si="52"/>
        <v>41.427833001988077</v>
      </c>
      <c r="F110" s="134">
        <f t="shared" si="53"/>
        <v>0.9721848990407943</v>
      </c>
      <c r="G110" s="6">
        <f>10419100</f>
        <v>10419100</v>
      </c>
      <c r="H110" s="134">
        <f t="shared" si="54"/>
        <v>41.427833001988077</v>
      </c>
      <c r="I110" s="134">
        <f t="shared" si="55"/>
        <v>0.9721848990407943</v>
      </c>
      <c r="J110" s="6">
        <f t="shared" si="56"/>
        <v>-14730900</v>
      </c>
      <c r="K110" s="6"/>
      <c r="L110" s="1"/>
      <c r="M110" s="1"/>
      <c r="O110" s="716"/>
    </row>
    <row r="111" spans="1:18" x14ac:dyDescent="0.25">
      <c r="A111" s="315" t="s">
        <v>54</v>
      </c>
      <c r="B111" s="707" t="s">
        <v>386</v>
      </c>
      <c r="C111" s="248">
        <v>6000000</v>
      </c>
      <c r="D111" s="279">
        <f>C111/C105*100</f>
        <v>0.55984772141977379</v>
      </c>
      <c r="E111" s="134">
        <f t="shared" si="52"/>
        <v>0</v>
      </c>
      <c r="F111" s="134">
        <f t="shared" si="53"/>
        <v>0</v>
      </c>
      <c r="G111" s="6">
        <v>0</v>
      </c>
      <c r="H111" s="134">
        <f t="shared" si="54"/>
        <v>0</v>
      </c>
      <c r="I111" s="134">
        <f t="shared" si="55"/>
        <v>0</v>
      </c>
      <c r="J111" s="6">
        <f t="shared" si="56"/>
        <v>-6000000</v>
      </c>
      <c r="K111" s="6"/>
      <c r="L111" s="1"/>
      <c r="M111" s="1"/>
    </row>
    <row r="112" spans="1:18" ht="25.5" x14ac:dyDescent="0.25">
      <c r="A112" s="315" t="s">
        <v>86</v>
      </c>
      <c r="B112" s="707" t="s">
        <v>545</v>
      </c>
      <c r="C112" s="732">
        <v>6000000</v>
      </c>
      <c r="D112" s="279"/>
      <c r="E112" s="134"/>
      <c r="F112" s="134"/>
      <c r="G112" s="6"/>
      <c r="H112" s="134"/>
      <c r="I112" s="134"/>
      <c r="J112" s="6">
        <f t="shared" si="56"/>
        <v>-6000000</v>
      </c>
      <c r="K112" s="6"/>
      <c r="L112" s="1"/>
      <c r="M112" s="1"/>
    </row>
    <row r="113" spans="1:13" ht="25.5" x14ac:dyDescent="0.25">
      <c r="A113" s="315" t="s">
        <v>193</v>
      </c>
      <c r="B113" s="316" t="s">
        <v>372</v>
      </c>
      <c r="C113" s="732">
        <v>20000000</v>
      </c>
      <c r="D113" s="279">
        <f>C113/C105*100</f>
        <v>1.8661590713992462</v>
      </c>
      <c r="E113" s="134">
        <f t="shared" si="52"/>
        <v>0</v>
      </c>
      <c r="F113" s="134">
        <f t="shared" si="53"/>
        <v>0</v>
      </c>
      <c r="G113" s="6">
        <v>0</v>
      </c>
      <c r="H113" s="134">
        <f t="shared" si="54"/>
        <v>0</v>
      </c>
      <c r="I113" s="134">
        <f t="shared" si="55"/>
        <v>0</v>
      </c>
      <c r="J113" s="6">
        <f t="shared" si="56"/>
        <v>-20000000</v>
      </c>
      <c r="K113" s="6"/>
      <c r="L113" s="1"/>
      <c r="M113" s="716"/>
    </row>
    <row r="114" spans="1:13" x14ac:dyDescent="0.25">
      <c r="A114" s="315" t="s">
        <v>519</v>
      </c>
      <c r="B114" s="315" t="s">
        <v>513</v>
      </c>
      <c r="C114" s="248">
        <v>2292000</v>
      </c>
      <c r="D114" s="279">
        <f>C114/C105*100</f>
        <v>0.21386182958235359</v>
      </c>
      <c r="E114" s="134">
        <v>0</v>
      </c>
      <c r="F114" s="134">
        <f t="shared" si="53"/>
        <v>0</v>
      </c>
      <c r="G114" s="6">
        <v>0</v>
      </c>
      <c r="H114" s="134">
        <v>0</v>
      </c>
      <c r="I114" s="134">
        <f t="shared" si="55"/>
        <v>0</v>
      </c>
      <c r="J114" s="6">
        <f t="shared" si="56"/>
        <v>-2292000</v>
      </c>
      <c r="K114" s="6"/>
      <c r="L114" s="1"/>
      <c r="M114" s="1"/>
    </row>
    <row r="115" spans="1:13" x14ac:dyDescent="0.25">
      <c r="A115" s="228" t="s">
        <v>77</v>
      </c>
      <c r="B115" s="315" t="s">
        <v>103</v>
      </c>
      <c r="C115" s="247">
        <v>325910000</v>
      </c>
      <c r="D115" s="279">
        <f>C115/C105*100</f>
        <v>30.409995147986415</v>
      </c>
      <c r="E115" s="134">
        <f t="shared" si="52"/>
        <v>24.85502132490565</v>
      </c>
      <c r="F115" s="134">
        <f t="shared" si="53"/>
        <v>7.558410778934797</v>
      </c>
      <c r="G115" s="6">
        <f>70985000+5655000+4365000</f>
        <v>81005000</v>
      </c>
      <c r="H115" s="134">
        <f t="shared" si="54"/>
        <v>24.85502132490565</v>
      </c>
      <c r="I115" s="134">
        <f t="shared" si="55"/>
        <v>7.558410778934797</v>
      </c>
      <c r="J115" s="6">
        <f t="shared" si="56"/>
        <v>-244905000</v>
      </c>
      <c r="K115" s="6"/>
      <c r="L115" s="1"/>
      <c r="M115" s="1"/>
    </row>
    <row r="116" spans="1:13" x14ac:dyDescent="0.25">
      <c r="A116" s="228" t="s">
        <v>225</v>
      </c>
      <c r="B116" s="315" t="s">
        <v>217</v>
      </c>
      <c r="C116" s="247">
        <v>600000</v>
      </c>
      <c r="D116" s="279">
        <f>C116/C105*100</f>
        <v>5.5984772141977376E-2</v>
      </c>
      <c r="E116" s="134">
        <f t="shared" si="52"/>
        <v>100</v>
      </c>
      <c r="F116" s="134">
        <f t="shared" si="53"/>
        <v>5.5984772141977376E-2</v>
      </c>
      <c r="G116" s="6">
        <f>600000</f>
        <v>600000</v>
      </c>
      <c r="H116" s="134">
        <f t="shared" si="54"/>
        <v>100</v>
      </c>
      <c r="I116" s="134">
        <f t="shared" si="55"/>
        <v>5.5984772141977376E-2</v>
      </c>
      <c r="J116" s="6">
        <f t="shared" si="56"/>
        <v>0</v>
      </c>
      <c r="K116" s="6"/>
      <c r="L116" s="1"/>
      <c r="M116" s="1"/>
    </row>
    <row r="117" spans="1:13" x14ac:dyDescent="0.25">
      <c r="A117" s="228" t="s">
        <v>283</v>
      </c>
      <c r="B117" s="315" t="s">
        <v>514</v>
      </c>
      <c r="C117" s="247">
        <v>5000000</v>
      </c>
      <c r="D117" s="279">
        <f>C117/C105*100</f>
        <v>0.46653976784981155</v>
      </c>
      <c r="E117" s="134">
        <f t="shared" si="52"/>
        <v>100</v>
      </c>
      <c r="F117" s="134">
        <f t="shared" si="53"/>
        <v>0.46653976784981155</v>
      </c>
      <c r="G117" s="6">
        <f>5000000</f>
        <v>5000000</v>
      </c>
      <c r="H117" s="134">
        <f t="shared" si="54"/>
        <v>100</v>
      </c>
      <c r="I117" s="134">
        <f t="shared" si="55"/>
        <v>0.46653976784981155</v>
      </c>
      <c r="J117" s="6">
        <f t="shared" si="56"/>
        <v>0</v>
      </c>
      <c r="K117" s="6"/>
      <c r="L117" s="1"/>
      <c r="M117" s="1"/>
    </row>
    <row r="118" spans="1:13" x14ac:dyDescent="0.25">
      <c r="A118" s="228" t="s">
        <v>104</v>
      </c>
      <c r="B118" s="315" t="s">
        <v>105</v>
      </c>
      <c r="C118" s="249">
        <v>76700000</v>
      </c>
      <c r="D118" s="279">
        <f>C118/C105*100</f>
        <v>7.1567200388161085</v>
      </c>
      <c r="E118" s="134">
        <f t="shared" si="52"/>
        <v>22.816166883963493</v>
      </c>
      <c r="F118" s="134">
        <f t="shared" si="53"/>
        <v>1.6328891874743403</v>
      </c>
      <c r="G118" s="6">
        <f>17500000</f>
        <v>17500000</v>
      </c>
      <c r="H118" s="134">
        <f t="shared" si="54"/>
        <v>22.816166883963493</v>
      </c>
      <c r="I118" s="134">
        <f t="shared" si="55"/>
        <v>1.6328891874743403</v>
      </c>
      <c r="J118" s="6">
        <f t="shared" si="56"/>
        <v>-59200000</v>
      </c>
      <c r="K118" s="6"/>
      <c r="L118" s="1"/>
      <c r="M118" s="1"/>
    </row>
    <row r="119" spans="1:13" x14ac:dyDescent="0.25">
      <c r="A119" s="228" t="s">
        <v>130</v>
      </c>
      <c r="B119" s="315" t="s">
        <v>392</v>
      </c>
      <c r="C119" s="249">
        <v>28200000</v>
      </c>
      <c r="D119" s="279"/>
      <c r="E119" s="134"/>
      <c r="F119" s="134"/>
      <c r="G119" s="6">
        <f>18200000</f>
        <v>18200000</v>
      </c>
      <c r="H119" s="134"/>
      <c r="I119" s="134"/>
      <c r="J119" s="6">
        <f t="shared" si="56"/>
        <v>-10000000</v>
      </c>
      <c r="K119" s="6"/>
      <c r="L119" s="1"/>
      <c r="M119" s="1"/>
    </row>
    <row r="120" spans="1:13" ht="25.5" x14ac:dyDescent="0.25">
      <c r="A120" s="228" t="s">
        <v>106</v>
      </c>
      <c r="B120" s="316" t="s">
        <v>107</v>
      </c>
      <c r="C120" s="251">
        <v>139200000</v>
      </c>
      <c r="D120" s="279">
        <f>C120/C105*100</f>
        <v>12.988467136938752</v>
      </c>
      <c r="E120" s="134">
        <f t="shared" si="52"/>
        <v>35.560344827586206</v>
      </c>
      <c r="F120" s="134">
        <f t="shared" si="53"/>
        <v>4.6187437017131341</v>
      </c>
      <c r="G120" s="135">
        <f>49500000</f>
        <v>49500000</v>
      </c>
      <c r="H120" s="134">
        <f t="shared" si="54"/>
        <v>35.560344827586206</v>
      </c>
      <c r="I120" s="134">
        <f t="shared" si="55"/>
        <v>4.6187437017131341</v>
      </c>
      <c r="J120" s="6">
        <f t="shared" si="56"/>
        <v>-89700000</v>
      </c>
      <c r="K120" s="6"/>
      <c r="L120" s="1"/>
      <c r="M120" s="1"/>
    </row>
    <row r="121" spans="1:13" x14ac:dyDescent="0.25">
      <c r="A121" s="228" t="s">
        <v>227</v>
      </c>
      <c r="B121" s="315" t="s">
        <v>218</v>
      </c>
      <c r="C121" s="250">
        <v>219000000</v>
      </c>
      <c r="D121" s="279">
        <f>C121/C105*100</f>
        <v>20.434441831821744</v>
      </c>
      <c r="E121" s="134">
        <f t="shared" si="52"/>
        <v>0</v>
      </c>
      <c r="F121" s="134">
        <f t="shared" si="53"/>
        <v>0</v>
      </c>
      <c r="G121" s="6">
        <v>0</v>
      </c>
      <c r="H121" s="134">
        <f t="shared" si="54"/>
        <v>0</v>
      </c>
      <c r="I121" s="134">
        <f t="shared" si="55"/>
        <v>0</v>
      </c>
      <c r="J121" s="6">
        <f t="shared" si="56"/>
        <v>-219000000</v>
      </c>
      <c r="K121" s="6"/>
      <c r="L121" s="1"/>
      <c r="M121" s="1"/>
    </row>
    <row r="122" spans="1:13" x14ac:dyDescent="0.25">
      <c r="A122" s="315" t="s">
        <v>108</v>
      </c>
      <c r="B122" s="315" t="s">
        <v>109</v>
      </c>
      <c r="C122" s="250">
        <v>1200000</v>
      </c>
      <c r="D122" s="279">
        <f>C122/C105*100</f>
        <v>0.11196954428395475</v>
      </c>
      <c r="E122" s="134">
        <f t="shared" si="52"/>
        <v>0</v>
      </c>
      <c r="F122" s="134">
        <f t="shared" si="53"/>
        <v>0</v>
      </c>
      <c r="G122" s="6">
        <v>0</v>
      </c>
      <c r="H122" s="134">
        <f t="shared" si="54"/>
        <v>0</v>
      </c>
      <c r="I122" s="134">
        <f t="shared" si="55"/>
        <v>0</v>
      </c>
      <c r="J122" s="6">
        <f t="shared" si="56"/>
        <v>-1200000</v>
      </c>
      <c r="K122" s="6"/>
      <c r="L122" s="1"/>
      <c r="M122" s="1"/>
    </row>
    <row r="123" spans="1:13" x14ac:dyDescent="0.25">
      <c r="A123" s="83" t="s">
        <v>162</v>
      </c>
      <c r="B123" s="315" t="s">
        <v>515</v>
      </c>
      <c r="C123" s="250">
        <v>3000000</v>
      </c>
      <c r="D123" s="279">
        <f>C123/C105*100</f>
        <v>0.2799238607098869</v>
      </c>
      <c r="E123" s="134">
        <f t="shared" si="52"/>
        <v>0</v>
      </c>
      <c r="F123" s="134">
        <f t="shared" si="53"/>
        <v>0</v>
      </c>
      <c r="G123" s="6">
        <v>0</v>
      </c>
      <c r="H123" s="134">
        <f t="shared" si="54"/>
        <v>0</v>
      </c>
      <c r="I123" s="134">
        <f t="shared" si="55"/>
        <v>0</v>
      </c>
      <c r="J123" s="6">
        <f t="shared" si="56"/>
        <v>-3000000</v>
      </c>
      <c r="K123" s="6"/>
      <c r="L123" s="1"/>
      <c r="M123" s="1"/>
    </row>
    <row r="124" spans="1:13" ht="25.5" x14ac:dyDescent="0.25">
      <c r="A124" s="315" t="s">
        <v>116</v>
      </c>
      <c r="B124" s="316" t="s">
        <v>516</v>
      </c>
      <c r="C124" s="250">
        <v>7603000</v>
      </c>
      <c r="D124" s="279">
        <f>C124/C105*100</f>
        <v>0.70942037099242339</v>
      </c>
      <c r="E124" s="134">
        <f t="shared" si="52"/>
        <v>0</v>
      </c>
      <c r="F124" s="134">
        <f t="shared" si="53"/>
        <v>0</v>
      </c>
      <c r="G124" s="6">
        <v>0</v>
      </c>
      <c r="H124" s="134">
        <f t="shared" si="54"/>
        <v>0</v>
      </c>
      <c r="I124" s="134">
        <f t="shared" si="55"/>
        <v>0</v>
      </c>
      <c r="J124" s="6">
        <f t="shared" si="56"/>
        <v>-7603000</v>
      </c>
      <c r="K124" s="6"/>
      <c r="L124" s="1"/>
      <c r="M124" s="1"/>
    </row>
    <row r="125" spans="1:13" x14ac:dyDescent="0.25">
      <c r="A125" s="228" t="s">
        <v>65</v>
      </c>
      <c r="B125" s="315" t="s">
        <v>393</v>
      </c>
      <c r="C125" s="251">
        <v>43666000</v>
      </c>
      <c r="D125" s="279">
        <f>C125/C106*100</f>
        <v>4.0743851005859737</v>
      </c>
      <c r="E125" s="134">
        <f t="shared" si="52"/>
        <v>0</v>
      </c>
      <c r="F125" s="134">
        <f t="shared" si="53"/>
        <v>0</v>
      </c>
      <c r="G125" s="6">
        <v>0</v>
      </c>
      <c r="H125" s="134">
        <f t="shared" si="54"/>
        <v>0</v>
      </c>
      <c r="I125" s="134">
        <f t="shared" si="55"/>
        <v>0</v>
      </c>
      <c r="J125" s="6">
        <f t="shared" si="56"/>
        <v>-43666000</v>
      </c>
      <c r="K125" s="6"/>
    </row>
    <row r="126" spans="1:13" x14ac:dyDescent="0.25">
      <c r="A126" s="228" t="s">
        <v>66</v>
      </c>
      <c r="B126" s="315" t="s">
        <v>120</v>
      </c>
      <c r="C126" s="251">
        <v>38885000</v>
      </c>
      <c r="D126" s="279">
        <f>C126/C107*100</f>
        <v>73.340248962655593</v>
      </c>
      <c r="E126" s="134">
        <f t="shared" si="52"/>
        <v>70.875658994470882</v>
      </c>
      <c r="F126" s="134">
        <f t="shared" si="53"/>
        <v>51.98038476046775</v>
      </c>
      <c r="G126" s="6">
        <f>25760000+1800000</f>
        <v>27560000</v>
      </c>
      <c r="H126" s="134">
        <v>0</v>
      </c>
      <c r="I126" s="134">
        <v>0</v>
      </c>
      <c r="J126" s="6">
        <f t="shared" si="56"/>
        <v>-11325000</v>
      </c>
      <c r="K126" s="6"/>
    </row>
    <row r="127" spans="1:13" x14ac:dyDescent="0.25">
      <c r="A127" s="315" t="s">
        <v>287</v>
      </c>
      <c r="B127" s="315" t="s">
        <v>191</v>
      </c>
      <c r="C127" s="250">
        <v>15000000</v>
      </c>
      <c r="D127" s="279">
        <f>C127/C105*100</f>
        <v>1.3996193035494346</v>
      </c>
      <c r="E127" s="134">
        <f t="shared" si="52"/>
        <v>0</v>
      </c>
      <c r="F127" s="134">
        <f t="shared" si="53"/>
        <v>0</v>
      </c>
      <c r="G127" s="6">
        <v>0</v>
      </c>
      <c r="H127" s="134">
        <f t="shared" si="54"/>
        <v>0</v>
      </c>
      <c r="I127" s="134">
        <f t="shared" si="55"/>
        <v>0</v>
      </c>
      <c r="J127" s="6">
        <f t="shared" si="56"/>
        <v>-15000000</v>
      </c>
      <c r="K127" s="6"/>
    </row>
    <row r="128" spans="1:13" x14ac:dyDescent="0.25">
      <c r="A128" s="803" t="s">
        <v>520</v>
      </c>
      <c r="B128" s="315" t="s">
        <v>517</v>
      </c>
      <c r="C128" s="250">
        <v>29750000</v>
      </c>
      <c r="D128" s="279"/>
      <c r="E128" s="134"/>
      <c r="F128" s="134"/>
      <c r="G128" s="6">
        <f>29750000</f>
        <v>29750000</v>
      </c>
      <c r="H128" s="134"/>
      <c r="I128" s="134"/>
      <c r="J128" s="6">
        <f t="shared" si="56"/>
        <v>0</v>
      </c>
      <c r="K128" s="6"/>
    </row>
    <row r="129" spans="1:15" x14ac:dyDescent="0.25">
      <c r="A129" s="1066" t="s">
        <v>95</v>
      </c>
      <c r="B129" s="1067"/>
      <c r="C129" s="1068"/>
      <c r="D129" s="277"/>
      <c r="E129" s="134"/>
      <c r="F129" s="134"/>
      <c r="G129" s="26">
        <f>SUM(G107:G128)</f>
        <v>251478600</v>
      </c>
      <c r="H129" s="134"/>
      <c r="I129" s="134"/>
      <c r="J129" s="734"/>
      <c r="K129" s="26">
        <v>0</v>
      </c>
    </row>
    <row r="130" spans="1:15" x14ac:dyDescent="0.25">
      <c r="A130" s="52"/>
      <c r="B130" s="8"/>
      <c r="C130" s="52"/>
      <c r="D130" s="27"/>
      <c r="E130" s="28"/>
      <c r="F130" s="23"/>
      <c r="G130" s="11"/>
      <c r="H130" s="23"/>
      <c r="I130" s="23"/>
      <c r="J130" s="9"/>
      <c r="K130" s="9"/>
    </row>
    <row r="131" spans="1:15" x14ac:dyDescent="0.25">
      <c r="A131" s="50"/>
      <c r="B131" s="5"/>
      <c r="C131" s="50"/>
      <c r="D131" s="9"/>
      <c r="E131" s="23"/>
      <c r="F131" s="23"/>
      <c r="G131" s="11"/>
      <c r="H131" s="23"/>
      <c r="I131" s="23"/>
      <c r="J131" s="9"/>
      <c r="K131" s="9"/>
    </row>
    <row r="132" spans="1:15" x14ac:dyDescent="0.25">
      <c r="A132" s="1069" t="s">
        <v>2</v>
      </c>
      <c r="B132" s="1069" t="s">
        <v>123</v>
      </c>
      <c r="C132" s="830"/>
      <c r="D132" s="1063" t="s">
        <v>5</v>
      </c>
      <c r="E132" s="1064"/>
      <c r="F132" s="1064"/>
      <c r="G132" s="1065" t="s">
        <v>6</v>
      </c>
      <c r="H132" s="1064"/>
      <c r="I132" s="1064"/>
      <c r="J132" s="1056" t="s">
        <v>7</v>
      </c>
      <c r="K132" s="1056" t="s">
        <v>8</v>
      </c>
    </row>
    <row r="133" spans="1:15" x14ac:dyDescent="0.25">
      <c r="A133" s="1070"/>
      <c r="B133" s="1070"/>
      <c r="C133" s="831" t="s">
        <v>124</v>
      </c>
      <c r="D133" s="89" t="s">
        <v>9</v>
      </c>
      <c r="E133" s="90" t="s">
        <v>10</v>
      </c>
      <c r="F133" s="90" t="s">
        <v>11</v>
      </c>
      <c r="G133" s="91" t="s">
        <v>12</v>
      </c>
      <c r="H133" s="90" t="s">
        <v>13</v>
      </c>
      <c r="I133" s="90" t="s">
        <v>11</v>
      </c>
      <c r="J133" s="1057"/>
      <c r="K133" s="1057"/>
      <c r="O133" s="713"/>
    </row>
    <row r="134" spans="1:15" x14ac:dyDescent="0.25">
      <c r="A134" s="1071"/>
      <c r="B134" s="1071"/>
      <c r="C134" s="831"/>
      <c r="D134" s="92" t="s">
        <v>14</v>
      </c>
      <c r="E134" s="93" t="s">
        <v>14</v>
      </c>
      <c r="F134" s="93" t="s">
        <v>14</v>
      </c>
      <c r="G134" s="94" t="s">
        <v>15</v>
      </c>
      <c r="H134" s="93" t="s">
        <v>14</v>
      </c>
      <c r="I134" s="93" t="s">
        <v>14</v>
      </c>
      <c r="J134" s="92" t="s">
        <v>15</v>
      </c>
      <c r="K134" s="1058"/>
    </row>
    <row r="135" spans="1:15" ht="25.5" x14ac:dyDescent="0.25">
      <c r="A135" s="139" t="s">
        <v>180</v>
      </c>
      <c r="B135" s="696" t="s">
        <v>379</v>
      </c>
      <c r="C135" s="58"/>
      <c r="D135" s="38"/>
      <c r="E135" s="134"/>
      <c r="F135" s="134"/>
      <c r="G135" s="135"/>
      <c r="H135" s="134"/>
      <c r="I135" s="134"/>
      <c r="J135" s="38"/>
      <c r="K135" s="10"/>
    </row>
    <row r="136" spans="1:15" ht="25.5" x14ac:dyDescent="0.25">
      <c r="A136" s="176" t="s">
        <v>181</v>
      </c>
      <c r="B136" s="697" t="s">
        <v>380</v>
      </c>
      <c r="C136" s="86">
        <f>SUM(C137:C149)</f>
        <v>185000000</v>
      </c>
      <c r="D136" s="179"/>
      <c r="E136" s="180"/>
      <c r="F136" s="180"/>
      <c r="G136" s="181"/>
      <c r="H136" s="180"/>
      <c r="I136" s="180"/>
      <c r="J136" s="179"/>
      <c r="K136" s="167"/>
    </row>
    <row r="137" spans="1:15" ht="25.5" x14ac:dyDescent="0.25">
      <c r="A137" s="170" t="s">
        <v>44</v>
      </c>
      <c r="B137" s="707" t="s">
        <v>384</v>
      </c>
      <c r="C137" s="58">
        <v>8580000</v>
      </c>
      <c r="D137" s="180">
        <f>C137/C136*100</f>
        <v>4.6378378378378375</v>
      </c>
      <c r="E137" s="134">
        <f t="shared" ref="E137:E144" si="57">G137/C137*100</f>
        <v>0</v>
      </c>
      <c r="F137" s="134">
        <f t="shared" ref="F137:F144" si="58">(D137*E137)/100</f>
        <v>0</v>
      </c>
      <c r="G137" s="181">
        <v>0</v>
      </c>
      <c r="H137" s="134">
        <f t="shared" ref="H137:H144" si="59">G137/C137*100</f>
        <v>0</v>
      </c>
      <c r="I137" s="134">
        <f t="shared" ref="I137:I144" si="60">(D137*H137)/100</f>
        <v>0</v>
      </c>
      <c r="J137" s="6">
        <f t="shared" ref="J137:J149" si="61">G137-C137</f>
        <v>-8580000</v>
      </c>
      <c r="K137" s="167"/>
    </row>
    <row r="138" spans="1:15" x14ac:dyDescent="0.25">
      <c r="A138" s="170" t="s">
        <v>59</v>
      </c>
      <c r="B138" s="707" t="s">
        <v>197</v>
      </c>
      <c r="C138" s="58">
        <v>13390000</v>
      </c>
      <c r="D138" s="180">
        <f>C138/C136*100</f>
        <v>7.2378378378378381</v>
      </c>
      <c r="E138" s="134">
        <f t="shared" si="57"/>
        <v>66.691560866318142</v>
      </c>
      <c r="F138" s="134">
        <f t="shared" si="58"/>
        <v>4.8270270270270261</v>
      </c>
      <c r="G138" s="181">
        <f>8930000</f>
        <v>8930000</v>
      </c>
      <c r="H138" s="134">
        <f t="shared" si="59"/>
        <v>66.691560866318142</v>
      </c>
      <c r="I138" s="134">
        <f t="shared" si="60"/>
        <v>4.8270270270270261</v>
      </c>
      <c r="J138" s="6">
        <f t="shared" si="61"/>
        <v>-4460000</v>
      </c>
      <c r="K138" s="167"/>
    </row>
    <row r="139" spans="1:15" x14ac:dyDescent="0.25">
      <c r="A139" s="170" t="s">
        <v>62</v>
      </c>
      <c r="B139" s="707" t="s">
        <v>334</v>
      </c>
      <c r="C139" s="58">
        <v>8840000</v>
      </c>
      <c r="D139" s="180">
        <v>2.34</v>
      </c>
      <c r="E139" s="134">
        <f t="shared" si="57"/>
        <v>54.751131221719461</v>
      </c>
      <c r="F139" s="134">
        <f t="shared" si="58"/>
        <v>1.2811764705882354</v>
      </c>
      <c r="G139" s="181">
        <f>4840000</f>
        <v>4840000</v>
      </c>
      <c r="H139" s="134">
        <f t="shared" si="59"/>
        <v>54.751131221719461</v>
      </c>
      <c r="I139" s="134">
        <f t="shared" si="60"/>
        <v>1.2811764705882354</v>
      </c>
      <c r="J139" s="6">
        <f t="shared" si="61"/>
        <v>-4000000</v>
      </c>
      <c r="K139" s="167"/>
    </row>
    <row r="140" spans="1:15" ht="25.5" x14ac:dyDescent="0.25">
      <c r="A140" s="170" t="s">
        <v>193</v>
      </c>
      <c r="B140" s="316" t="s">
        <v>372</v>
      </c>
      <c r="C140" s="58">
        <v>6300000</v>
      </c>
      <c r="D140" s="180"/>
      <c r="E140" s="134"/>
      <c r="F140" s="134"/>
      <c r="G140" s="181">
        <f>6300000</f>
        <v>6300000</v>
      </c>
      <c r="H140" s="134"/>
      <c r="I140" s="134"/>
      <c r="J140" s="6">
        <f t="shared" si="61"/>
        <v>0</v>
      </c>
      <c r="K140" s="167"/>
    </row>
    <row r="141" spans="1:15" x14ac:dyDescent="0.25">
      <c r="A141" s="170" t="s">
        <v>148</v>
      </c>
      <c r="B141" s="133" t="s">
        <v>531</v>
      </c>
      <c r="C141" s="58">
        <v>10000000</v>
      </c>
      <c r="D141" s="180"/>
      <c r="E141" s="134"/>
      <c r="F141" s="134"/>
      <c r="G141" s="181">
        <f>10000000</f>
        <v>10000000</v>
      </c>
      <c r="H141" s="134"/>
      <c r="I141" s="134"/>
      <c r="J141" s="6">
        <f t="shared" si="61"/>
        <v>0</v>
      </c>
      <c r="K141" s="167"/>
    </row>
    <row r="142" spans="1:15" x14ac:dyDescent="0.25">
      <c r="A142" s="170" t="s">
        <v>77</v>
      </c>
      <c r="B142" s="170" t="s">
        <v>127</v>
      </c>
      <c r="C142" s="58">
        <v>67741000</v>
      </c>
      <c r="D142" s="180">
        <f>C142/C136*100</f>
        <v>36.616756756756757</v>
      </c>
      <c r="E142" s="134">
        <f t="shared" si="57"/>
        <v>33.871658227661236</v>
      </c>
      <c r="F142" s="134">
        <f t="shared" si="58"/>
        <v>12.402702702702703</v>
      </c>
      <c r="G142" s="181">
        <f>22945000</f>
        <v>22945000</v>
      </c>
      <c r="H142" s="134">
        <f t="shared" si="59"/>
        <v>33.871658227661236</v>
      </c>
      <c r="I142" s="134">
        <f t="shared" si="60"/>
        <v>12.402702702702703</v>
      </c>
      <c r="J142" s="6">
        <f t="shared" si="61"/>
        <v>-44796000</v>
      </c>
      <c r="K142" s="167"/>
    </row>
    <row r="143" spans="1:15" x14ac:dyDescent="0.25">
      <c r="A143" s="170" t="s">
        <v>183</v>
      </c>
      <c r="B143" s="170" t="s">
        <v>178</v>
      </c>
      <c r="C143" s="58">
        <v>12000000</v>
      </c>
      <c r="D143" s="180">
        <f>C143/C136*100</f>
        <v>6.4864864864864868</v>
      </c>
      <c r="E143" s="134">
        <f t="shared" si="57"/>
        <v>58.333333333333336</v>
      </c>
      <c r="F143" s="134">
        <f t="shared" si="58"/>
        <v>3.7837837837837842</v>
      </c>
      <c r="G143" s="181">
        <f>7000000</f>
        <v>7000000</v>
      </c>
      <c r="H143" s="134">
        <f t="shared" si="59"/>
        <v>58.333333333333336</v>
      </c>
      <c r="I143" s="134">
        <f t="shared" si="60"/>
        <v>3.7837837837837842</v>
      </c>
      <c r="J143" s="6">
        <f t="shared" si="61"/>
        <v>-5000000</v>
      </c>
      <c r="K143" s="167"/>
    </row>
    <row r="144" spans="1:15" x14ac:dyDescent="0.25">
      <c r="A144" s="170" t="s">
        <v>104</v>
      </c>
      <c r="B144" s="170" t="s">
        <v>182</v>
      </c>
      <c r="C144" s="58">
        <v>23200000</v>
      </c>
      <c r="D144" s="180">
        <f>C144/C136*100</f>
        <v>12.54054054054054</v>
      </c>
      <c r="E144" s="134">
        <f t="shared" si="57"/>
        <v>48.275862068965516</v>
      </c>
      <c r="F144" s="134">
        <f t="shared" si="58"/>
        <v>6.0540540540540544</v>
      </c>
      <c r="G144" s="181">
        <f>11200000</f>
        <v>11200000</v>
      </c>
      <c r="H144" s="134">
        <f t="shared" si="59"/>
        <v>48.275862068965516</v>
      </c>
      <c r="I144" s="134">
        <f t="shared" si="60"/>
        <v>6.0540540540540544</v>
      </c>
      <c r="J144" s="6">
        <f t="shared" si="61"/>
        <v>-12000000</v>
      </c>
      <c r="K144" s="167"/>
    </row>
    <row r="145" spans="1:14" ht="25.5" x14ac:dyDescent="0.25">
      <c r="A145" s="170" t="s">
        <v>106</v>
      </c>
      <c r="B145" s="316" t="s">
        <v>107</v>
      </c>
      <c r="C145" s="58">
        <v>22200000</v>
      </c>
      <c r="D145" s="180"/>
      <c r="E145" s="134"/>
      <c r="F145" s="134"/>
      <c r="G145" s="181">
        <f>14700000</f>
        <v>14700000</v>
      </c>
      <c r="H145" s="134"/>
      <c r="I145" s="134"/>
      <c r="J145" s="6">
        <f t="shared" si="61"/>
        <v>-7500000</v>
      </c>
      <c r="K145" s="167"/>
    </row>
    <row r="146" spans="1:14" x14ac:dyDescent="0.25">
      <c r="A146" s="170" t="s">
        <v>162</v>
      </c>
      <c r="B146" s="315" t="s">
        <v>515</v>
      </c>
      <c r="C146" s="58">
        <v>2000000</v>
      </c>
      <c r="D146" s="180"/>
      <c r="E146" s="134"/>
      <c r="F146" s="134"/>
      <c r="G146" s="181">
        <f>2000000</f>
        <v>2000000</v>
      </c>
      <c r="H146" s="134"/>
      <c r="I146" s="134"/>
      <c r="J146" s="6">
        <f t="shared" si="61"/>
        <v>0</v>
      </c>
      <c r="K146" s="167"/>
    </row>
    <row r="147" spans="1:14" x14ac:dyDescent="0.25">
      <c r="A147" s="170" t="s">
        <v>521</v>
      </c>
      <c r="B147" s="316" t="s">
        <v>526</v>
      </c>
      <c r="C147" s="58">
        <v>1000000</v>
      </c>
      <c r="D147" s="180"/>
      <c r="E147" s="134"/>
      <c r="F147" s="134"/>
      <c r="G147" s="181">
        <f>1000000</f>
        <v>1000000</v>
      </c>
      <c r="H147" s="134"/>
      <c r="I147" s="134"/>
      <c r="J147" s="6">
        <f t="shared" si="61"/>
        <v>0</v>
      </c>
      <c r="K147" s="167"/>
    </row>
    <row r="148" spans="1:14" ht="25.5" x14ac:dyDescent="0.25">
      <c r="A148" s="747" t="s">
        <v>116</v>
      </c>
      <c r="B148" s="316" t="s">
        <v>420</v>
      </c>
      <c r="C148" s="58">
        <v>2749000</v>
      </c>
      <c r="D148" s="180"/>
      <c r="E148" s="134"/>
      <c r="F148" s="134"/>
      <c r="G148" s="181">
        <f>2749000</f>
        <v>2749000</v>
      </c>
      <c r="H148" s="134"/>
      <c r="I148" s="134"/>
      <c r="J148" s="6">
        <f t="shared" si="61"/>
        <v>0</v>
      </c>
      <c r="K148" s="167"/>
    </row>
    <row r="149" spans="1:14" x14ac:dyDescent="0.25">
      <c r="A149" s="747" t="s">
        <v>65</v>
      </c>
      <c r="B149" s="315" t="s">
        <v>393</v>
      </c>
      <c r="C149" s="58">
        <v>7000000</v>
      </c>
      <c r="D149" s="180"/>
      <c r="E149" s="134"/>
      <c r="F149" s="134"/>
      <c r="G149" s="181">
        <v>0</v>
      </c>
      <c r="H149" s="134"/>
      <c r="I149" s="134"/>
      <c r="J149" s="6">
        <f t="shared" si="61"/>
        <v>-7000000</v>
      </c>
      <c r="K149" s="167"/>
    </row>
    <row r="150" spans="1:14" x14ac:dyDescent="0.25">
      <c r="A150" s="1059" t="s">
        <v>128</v>
      </c>
      <c r="B150" s="1060"/>
      <c r="C150" s="60">
        <f>SUM(C137:C149)</f>
        <v>185000000</v>
      </c>
      <c r="D150" s="276">
        <f>SUM(D137:D147)</f>
        <v>69.859459459459458</v>
      </c>
      <c r="E150" s="134"/>
      <c r="F150" s="134"/>
      <c r="G150" s="837">
        <f>SUM(G137:G149)</f>
        <v>91664000</v>
      </c>
      <c r="H150" s="134"/>
      <c r="I150" s="134"/>
      <c r="J150" s="56">
        <v>0</v>
      </c>
      <c r="K150" s="3"/>
    </row>
    <row r="151" spans="1:14" x14ac:dyDescent="0.25">
      <c r="A151" s="54"/>
      <c r="B151" s="54"/>
      <c r="C151" s="59"/>
      <c r="D151" s="182"/>
      <c r="E151" s="183"/>
      <c r="F151" s="183"/>
      <c r="G151" s="184"/>
      <c r="H151" s="183"/>
      <c r="I151" s="183"/>
      <c r="J151" s="185"/>
      <c r="K151" s="37"/>
    </row>
    <row r="152" spans="1:14" ht="31.5" x14ac:dyDescent="0.25">
      <c r="A152" s="55"/>
      <c r="B152" s="46" t="s">
        <v>145</v>
      </c>
      <c r="C152" s="155"/>
      <c r="D152" s="44"/>
      <c r="E152" s="45"/>
      <c r="F152" s="45"/>
      <c r="G152" s="48"/>
      <c r="H152" s="45"/>
      <c r="I152" s="45"/>
      <c r="J152" s="44"/>
      <c r="K152" s="44"/>
      <c r="L152" s="1"/>
      <c r="M152" s="1"/>
      <c r="N152" s="1"/>
    </row>
    <row r="153" spans="1:14" x14ac:dyDescent="0.25">
      <c r="A153" s="1061" t="s">
        <v>2</v>
      </c>
      <c r="B153" s="1062" t="s">
        <v>176</v>
      </c>
      <c r="C153" s="1061" t="s">
        <v>4</v>
      </c>
      <c r="D153" s="1063" t="s">
        <v>5</v>
      </c>
      <c r="E153" s="1064"/>
      <c r="F153" s="1064"/>
      <c r="G153" s="1065" t="s">
        <v>6</v>
      </c>
      <c r="H153" s="1064"/>
      <c r="I153" s="1064"/>
      <c r="J153" s="1061" t="s">
        <v>7</v>
      </c>
      <c r="K153" s="281" t="s">
        <v>8</v>
      </c>
      <c r="L153" s="1"/>
      <c r="M153" s="1"/>
      <c r="N153" s="1"/>
    </row>
    <row r="154" spans="1:14" x14ac:dyDescent="0.25">
      <c r="A154" s="1061"/>
      <c r="B154" s="1062"/>
      <c r="C154" s="1061"/>
      <c r="D154" s="281" t="s">
        <v>9</v>
      </c>
      <c r="E154" s="292" t="s">
        <v>10</v>
      </c>
      <c r="F154" s="292" t="s">
        <v>11</v>
      </c>
      <c r="G154" s="293" t="s">
        <v>12</v>
      </c>
      <c r="H154" s="292" t="s">
        <v>13</v>
      </c>
      <c r="I154" s="292" t="s">
        <v>11</v>
      </c>
      <c r="J154" s="1056"/>
      <c r="K154" s="89"/>
    </row>
    <row r="155" spans="1:14" x14ac:dyDescent="0.25">
      <c r="A155" s="1061"/>
      <c r="B155" s="1062"/>
      <c r="C155" s="1061"/>
      <c r="D155" s="92" t="s">
        <v>14</v>
      </c>
      <c r="E155" s="93" t="s">
        <v>14</v>
      </c>
      <c r="F155" s="93" t="s">
        <v>14</v>
      </c>
      <c r="G155" s="94" t="s">
        <v>15</v>
      </c>
      <c r="H155" s="93" t="s">
        <v>14</v>
      </c>
      <c r="I155" s="93" t="s">
        <v>14</v>
      </c>
      <c r="J155" s="92" t="s">
        <v>15</v>
      </c>
      <c r="K155" s="92"/>
    </row>
    <row r="156" spans="1:14" x14ac:dyDescent="0.25">
      <c r="A156" s="79" t="s">
        <v>185</v>
      </c>
      <c r="B156" s="199" t="s">
        <v>146</v>
      </c>
      <c r="C156" s="24"/>
      <c r="D156" s="10"/>
      <c r="E156" s="34"/>
      <c r="F156" s="34"/>
      <c r="G156" s="6"/>
      <c r="H156" s="34"/>
      <c r="I156" s="34"/>
      <c r="J156" s="10"/>
      <c r="K156" s="10"/>
    </row>
    <row r="157" spans="1:14" x14ac:dyDescent="0.25">
      <c r="A157" s="125" t="s">
        <v>184</v>
      </c>
      <c r="B157" s="280" t="s">
        <v>147</v>
      </c>
      <c r="C157" s="252">
        <f>SUM(C158:C159)</f>
        <v>2975640000</v>
      </c>
      <c r="D157" s="10"/>
      <c r="E157" s="34"/>
      <c r="F157" s="34"/>
      <c r="G157" s="6"/>
      <c r="H157" s="34"/>
      <c r="I157" s="34"/>
      <c r="J157" s="10"/>
      <c r="K157" s="10"/>
    </row>
    <row r="158" spans="1:14" ht="25.5" x14ac:dyDescent="0.25">
      <c r="A158" s="154" t="s">
        <v>44</v>
      </c>
      <c r="B158" s="707" t="s">
        <v>384</v>
      </c>
      <c r="C158" s="253">
        <v>35640000</v>
      </c>
      <c r="D158" s="134">
        <f>C158/C157*100</f>
        <v>1.1977255313142718</v>
      </c>
      <c r="E158" s="134">
        <f t="shared" ref="E158:E159" si="62">G158/C158*100</f>
        <v>0</v>
      </c>
      <c r="F158" s="134">
        <f t="shared" ref="F158:F159" si="63">(D158*E158)/100</f>
        <v>0</v>
      </c>
      <c r="G158" s="181">
        <v>0</v>
      </c>
      <c r="H158" s="134">
        <f t="shared" ref="H158:H159" si="64">G158/C158*100</f>
        <v>0</v>
      </c>
      <c r="I158" s="134">
        <f t="shared" ref="I158:I159" si="65">(D158*H158)/100</f>
        <v>0</v>
      </c>
      <c r="J158" s="6">
        <f t="shared" ref="J158:J159" si="66">G158-C158</f>
        <v>-35640000</v>
      </c>
      <c r="K158" s="10"/>
    </row>
    <row r="159" spans="1:14" x14ac:dyDescent="0.25">
      <c r="A159" s="124" t="s">
        <v>148</v>
      </c>
      <c r="B159" s="133" t="s">
        <v>531</v>
      </c>
      <c r="C159" s="253">
        <v>2940000000</v>
      </c>
      <c r="D159" s="134">
        <f>C159/C157*100</f>
        <v>98.802274468685724</v>
      </c>
      <c r="E159" s="134">
        <f t="shared" si="62"/>
        <v>0</v>
      </c>
      <c r="F159" s="134">
        <f t="shared" si="63"/>
        <v>0</v>
      </c>
      <c r="G159" s="181">
        <v>0</v>
      </c>
      <c r="H159" s="134">
        <f t="shared" si="64"/>
        <v>0</v>
      </c>
      <c r="I159" s="134">
        <f t="shared" si="65"/>
        <v>0</v>
      </c>
      <c r="J159" s="6">
        <f t="shared" si="66"/>
        <v>-2940000000</v>
      </c>
      <c r="K159" s="10"/>
    </row>
    <row r="160" spans="1:14" x14ac:dyDescent="0.25">
      <c r="A160" s="70"/>
      <c r="B160" s="129" t="s">
        <v>95</v>
      </c>
      <c r="C160" s="807">
        <f>SUM(C158:C159)</f>
        <v>2975640000</v>
      </c>
      <c r="D160" s="271">
        <f>SUM(D158:D159)</f>
        <v>100</v>
      </c>
      <c r="E160" s="134"/>
      <c r="F160" s="134"/>
      <c r="G160" s="181">
        <v>0</v>
      </c>
      <c r="H160" s="134"/>
      <c r="I160" s="134"/>
      <c r="J160" s="734"/>
      <c r="K160" s="130"/>
    </row>
    <row r="161" spans="1:11" x14ac:dyDescent="0.25">
      <c r="A161" s="54"/>
      <c r="B161" s="2"/>
      <c r="C161" s="59"/>
      <c r="D161" s="29"/>
      <c r="E161" s="31"/>
      <c r="F161" s="31"/>
      <c r="G161" s="36"/>
      <c r="H161" s="31"/>
      <c r="I161" s="31"/>
      <c r="J161" s="15"/>
      <c r="K161" s="37"/>
    </row>
    <row r="162" spans="1:11" x14ac:dyDescent="0.25">
      <c r="A162" s="50"/>
      <c r="B162" s="5"/>
      <c r="C162" s="50"/>
      <c r="D162" s="29"/>
      <c r="E162" s="30"/>
      <c r="F162" s="31"/>
      <c r="G162" s="36"/>
      <c r="H162" s="32"/>
      <c r="I162" s="31"/>
      <c r="J162" s="36"/>
      <c r="K162" s="37"/>
    </row>
    <row r="163" spans="1:11" x14ac:dyDescent="0.25">
      <c r="A163" s="1061" t="s">
        <v>2</v>
      </c>
      <c r="B163" s="1062" t="s">
        <v>176</v>
      </c>
      <c r="C163" s="1061" t="s">
        <v>4</v>
      </c>
      <c r="D163" s="1063" t="s">
        <v>5</v>
      </c>
      <c r="E163" s="1064"/>
      <c r="F163" s="1064"/>
      <c r="G163" s="1065" t="s">
        <v>6</v>
      </c>
      <c r="H163" s="1064"/>
      <c r="I163" s="1064"/>
      <c r="J163" s="1061" t="s">
        <v>7</v>
      </c>
      <c r="K163" s="281" t="s">
        <v>8</v>
      </c>
    </row>
    <row r="164" spans="1:11" x14ac:dyDescent="0.25">
      <c r="A164" s="1061"/>
      <c r="B164" s="1062"/>
      <c r="C164" s="1061"/>
      <c r="D164" s="281" t="s">
        <v>9</v>
      </c>
      <c r="E164" s="292" t="s">
        <v>10</v>
      </c>
      <c r="F164" s="292" t="s">
        <v>11</v>
      </c>
      <c r="G164" s="293" t="s">
        <v>12</v>
      </c>
      <c r="H164" s="292" t="s">
        <v>13</v>
      </c>
      <c r="I164" s="292" t="s">
        <v>11</v>
      </c>
      <c r="J164" s="1056"/>
      <c r="K164" s="89"/>
    </row>
    <row r="165" spans="1:11" x14ac:dyDescent="0.25">
      <c r="A165" s="1061"/>
      <c r="B165" s="1062"/>
      <c r="C165" s="1061"/>
      <c r="D165" s="92" t="s">
        <v>14</v>
      </c>
      <c r="E165" s="93" t="s">
        <v>14</v>
      </c>
      <c r="F165" s="93" t="s">
        <v>14</v>
      </c>
      <c r="G165" s="94" t="s">
        <v>15</v>
      </c>
      <c r="H165" s="93" t="s">
        <v>14</v>
      </c>
      <c r="I165" s="93" t="s">
        <v>14</v>
      </c>
      <c r="J165" s="92" t="s">
        <v>15</v>
      </c>
      <c r="K165" s="92"/>
    </row>
    <row r="166" spans="1:11" x14ac:dyDescent="0.25">
      <c r="A166" s="79" t="s">
        <v>185</v>
      </c>
      <c r="B166" s="199" t="s">
        <v>146</v>
      </c>
      <c r="C166" s="153"/>
      <c r="D166" s="150"/>
      <c r="E166" s="151"/>
      <c r="F166" s="151"/>
      <c r="G166" s="152"/>
      <c r="H166" s="151"/>
      <c r="I166" s="151"/>
      <c r="J166" s="150"/>
      <c r="K166" s="150"/>
    </row>
    <row r="167" spans="1:11" x14ac:dyDescent="0.25">
      <c r="A167" s="125" t="s">
        <v>184</v>
      </c>
      <c r="B167" s="280" t="s">
        <v>150</v>
      </c>
      <c r="C167" s="254">
        <f>SUM(C168:C171)</f>
        <v>1803960912</v>
      </c>
      <c r="D167" s="10"/>
      <c r="E167" s="34"/>
      <c r="F167" s="34"/>
      <c r="G167" s="6"/>
      <c r="H167" s="34"/>
      <c r="I167" s="34"/>
      <c r="J167" s="10"/>
      <c r="K167" s="10"/>
    </row>
    <row r="168" spans="1:11" ht="25.5" x14ac:dyDescent="0.25">
      <c r="A168" s="38" t="s">
        <v>44</v>
      </c>
      <c r="B168" s="707" t="s">
        <v>384</v>
      </c>
      <c r="C168" s="255">
        <v>30310000</v>
      </c>
      <c r="D168" s="134">
        <f>C168/C167*100</f>
        <v>1.6801916160365231</v>
      </c>
      <c r="E168" s="134">
        <f t="shared" ref="E168:E170" si="67">G168/C168*100</f>
        <v>0</v>
      </c>
      <c r="F168" s="134">
        <f t="shared" ref="F168:F170" si="68">(D168*E168)/100</f>
        <v>0</v>
      </c>
      <c r="G168" s="181">
        <v>0</v>
      </c>
      <c r="H168" s="134">
        <f t="shared" ref="H168:H170" si="69">G168/C168*100</f>
        <v>0</v>
      </c>
      <c r="I168" s="134">
        <f t="shared" ref="I168:I170" si="70">(D168*H168)/100</f>
        <v>0</v>
      </c>
      <c r="J168" s="6">
        <f t="shared" ref="J168:J171" si="71">G168-C168</f>
        <v>-30310000</v>
      </c>
      <c r="K168" s="10"/>
    </row>
    <row r="169" spans="1:11" x14ac:dyDescent="0.25">
      <c r="A169" s="49" t="s">
        <v>148</v>
      </c>
      <c r="B169" s="133" t="s">
        <v>531</v>
      </c>
      <c r="C169" s="256">
        <v>1260590000</v>
      </c>
      <c r="D169" s="134">
        <f>C169/C167*100</f>
        <v>69.87900855359554</v>
      </c>
      <c r="E169" s="134">
        <f t="shared" si="67"/>
        <v>0</v>
      </c>
      <c r="F169" s="134">
        <f t="shared" si="68"/>
        <v>0</v>
      </c>
      <c r="G169" s="181">
        <v>0</v>
      </c>
      <c r="H169" s="134">
        <f t="shared" si="69"/>
        <v>0</v>
      </c>
      <c r="I169" s="134">
        <f t="shared" si="70"/>
        <v>0</v>
      </c>
      <c r="J169" s="6">
        <f t="shared" si="71"/>
        <v>-1260590000</v>
      </c>
      <c r="K169" s="10"/>
    </row>
    <row r="170" spans="1:11" s="84" customFormat="1" ht="25.5" x14ac:dyDescent="0.2">
      <c r="A170" s="49" t="s">
        <v>152</v>
      </c>
      <c r="B170" s="133" t="s">
        <v>153</v>
      </c>
      <c r="C170" s="256">
        <v>504000000</v>
      </c>
      <c r="D170" s="134">
        <f>C170/C167*100</f>
        <v>27.9385210980669</v>
      </c>
      <c r="E170" s="134">
        <f t="shared" si="67"/>
        <v>0</v>
      </c>
      <c r="F170" s="134">
        <f t="shared" si="68"/>
        <v>0</v>
      </c>
      <c r="G170" s="181">
        <v>0</v>
      </c>
      <c r="H170" s="134">
        <f t="shared" si="69"/>
        <v>0</v>
      </c>
      <c r="I170" s="134">
        <f t="shared" si="70"/>
        <v>0</v>
      </c>
      <c r="J170" s="6">
        <f t="shared" si="71"/>
        <v>-504000000</v>
      </c>
      <c r="K170" s="38"/>
    </row>
    <row r="171" spans="1:11" s="84" customFormat="1" x14ac:dyDescent="0.2">
      <c r="A171" s="749" t="s">
        <v>234</v>
      </c>
      <c r="B171" s="133" t="s">
        <v>522</v>
      </c>
      <c r="C171" s="256">
        <v>9060912</v>
      </c>
      <c r="D171" s="804"/>
      <c r="E171" s="134"/>
      <c r="F171" s="134"/>
      <c r="G171" s="181"/>
      <c r="H171" s="134"/>
      <c r="I171" s="134"/>
      <c r="J171" s="6">
        <f t="shared" si="71"/>
        <v>-9060912</v>
      </c>
      <c r="K171" s="805"/>
    </row>
    <row r="172" spans="1:11" x14ac:dyDescent="0.25">
      <c r="A172" s="829"/>
      <c r="B172" s="129" t="s">
        <v>154</v>
      </c>
      <c r="C172" s="826">
        <f>SUM(C168:C171)</f>
        <v>1803960912</v>
      </c>
      <c r="D172" s="272">
        <f>SUM(D168:D170)</f>
        <v>99.497721267698964</v>
      </c>
      <c r="E172" s="134"/>
      <c r="F172" s="134"/>
      <c r="G172" s="181">
        <v>0</v>
      </c>
      <c r="H172" s="134"/>
      <c r="I172" s="134"/>
      <c r="J172" s="734"/>
      <c r="K172" s="40"/>
    </row>
    <row r="173" spans="1:11" x14ac:dyDescent="0.25">
      <c r="A173" s="54"/>
      <c r="B173" s="54"/>
      <c r="C173" s="59"/>
      <c r="D173" s="182"/>
      <c r="E173" s="183"/>
      <c r="F173" s="183"/>
      <c r="G173" s="184"/>
      <c r="H173" s="183"/>
      <c r="I173" s="183"/>
      <c r="J173" s="185"/>
      <c r="K173" s="37"/>
    </row>
    <row r="174" spans="1:11" x14ac:dyDescent="0.25">
      <c r="A174" s="50"/>
      <c r="B174" s="5"/>
      <c r="C174" s="50"/>
      <c r="D174" s="9"/>
      <c r="E174" s="23"/>
      <c r="F174" s="23"/>
      <c r="G174" s="11"/>
      <c r="H174" s="23"/>
      <c r="I174" s="23"/>
      <c r="J174" s="9"/>
      <c r="K174" s="9"/>
    </row>
    <row r="175" spans="1:11" x14ac:dyDescent="0.25">
      <c r="A175" s="1072" t="s">
        <v>2</v>
      </c>
      <c r="B175" s="1072" t="s">
        <v>129</v>
      </c>
      <c r="C175" s="1072" t="s">
        <v>124</v>
      </c>
      <c r="D175" s="1075" t="s">
        <v>5</v>
      </c>
      <c r="E175" s="1076"/>
      <c r="F175" s="1076"/>
      <c r="G175" s="1077" t="s">
        <v>6</v>
      </c>
      <c r="H175" s="1076"/>
      <c r="I175" s="1076"/>
      <c r="J175" s="1078" t="s">
        <v>7</v>
      </c>
      <c r="K175" s="95" t="s">
        <v>8</v>
      </c>
    </row>
    <row r="176" spans="1:11" x14ac:dyDescent="0.25">
      <c r="A176" s="1073"/>
      <c r="B176" s="1073"/>
      <c r="C176" s="1073"/>
      <c r="D176" s="95" t="s">
        <v>9</v>
      </c>
      <c r="E176" s="294" t="s">
        <v>10</v>
      </c>
      <c r="F176" s="294" t="s">
        <v>11</v>
      </c>
      <c r="G176" s="96" t="s">
        <v>12</v>
      </c>
      <c r="H176" s="97" t="s">
        <v>13</v>
      </c>
      <c r="I176" s="97" t="s">
        <v>11</v>
      </c>
      <c r="J176" s="1079"/>
      <c r="K176" s="98"/>
    </row>
    <row r="177" spans="1:15" x14ac:dyDescent="0.25">
      <c r="A177" s="1074"/>
      <c r="B177" s="1074"/>
      <c r="C177" s="1074"/>
      <c r="D177" s="101" t="s">
        <v>14</v>
      </c>
      <c r="E177" s="100" t="s">
        <v>14</v>
      </c>
      <c r="F177" s="100" t="s">
        <v>14</v>
      </c>
      <c r="G177" s="99" t="s">
        <v>15</v>
      </c>
      <c r="H177" s="100" t="s">
        <v>14</v>
      </c>
      <c r="I177" s="100" t="s">
        <v>14</v>
      </c>
      <c r="J177" s="101" t="s">
        <v>15</v>
      </c>
      <c r="K177" s="101"/>
    </row>
    <row r="178" spans="1:15" ht="25.5" x14ac:dyDescent="0.25">
      <c r="A178" s="175" t="s">
        <v>180</v>
      </c>
      <c r="B178" s="696" t="s">
        <v>379</v>
      </c>
      <c r="C178" s="126"/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6" t="s">
        <v>181</v>
      </c>
      <c r="B179" s="697" t="s">
        <v>380</v>
      </c>
      <c r="C179" s="86">
        <f>SUM(C180:C195)</f>
        <v>335000000</v>
      </c>
      <c r="D179" s="121"/>
      <c r="E179" s="122"/>
      <c r="F179" s="122"/>
      <c r="G179" s="123"/>
      <c r="H179" s="122"/>
      <c r="I179" s="122"/>
      <c r="J179" s="121"/>
      <c r="K179" s="121"/>
    </row>
    <row r="180" spans="1:15" ht="25.5" x14ac:dyDescent="0.25">
      <c r="A180" s="170" t="s">
        <v>44</v>
      </c>
      <c r="B180" s="707" t="s">
        <v>384</v>
      </c>
      <c r="C180" s="58">
        <v>16310000</v>
      </c>
      <c r="D180" s="134">
        <f>C180/C179*100</f>
        <v>4.8686567164179104</v>
      </c>
      <c r="E180" s="134">
        <f t="shared" ref="E180:E192" si="72">G180/C180*100</f>
        <v>0</v>
      </c>
      <c r="F180" s="134">
        <f t="shared" ref="F180:F192" si="73">(D180*E180)/100</f>
        <v>0</v>
      </c>
      <c r="G180" s="181">
        <v>0</v>
      </c>
      <c r="H180" s="134">
        <f t="shared" ref="H180:H192" si="74">G180/C180*100</f>
        <v>0</v>
      </c>
      <c r="I180" s="134">
        <f t="shared" ref="I180:I192" si="75">(D180*H180)/100</f>
        <v>0</v>
      </c>
      <c r="J180" s="6">
        <f t="shared" ref="J180:J195" si="76">G180-C180</f>
        <v>-16310000</v>
      </c>
      <c r="K180" s="121"/>
    </row>
    <row r="181" spans="1:15" x14ac:dyDescent="0.25">
      <c r="A181" s="170" t="s">
        <v>59</v>
      </c>
      <c r="B181" s="707" t="s">
        <v>197</v>
      </c>
      <c r="C181" s="58">
        <v>13836500</v>
      </c>
      <c r="D181" s="180">
        <f>C181/C179*100</f>
        <v>4.1302985074626868</v>
      </c>
      <c r="E181" s="134">
        <f t="shared" si="72"/>
        <v>50</v>
      </c>
      <c r="F181" s="134">
        <f t="shared" si="73"/>
        <v>2.0651492537313434</v>
      </c>
      <c r="G181" s="181">
        <f>6918250</f>
        <v>6918250</v>
      </c>
      <c r="H181" s="134">
        <f t="shared" si="74"/>
        <v>50</v>
      </c>
      <c r="I181" s="134">
        <f t="shared" si="75"/>
        <v>2.0651492537313434</v>
      </c>
      <c r="J181" s="6">
        <f t="shared" si="76"/>
        <v>-6918250</v>
      </c>
      <c r="K181" s="167"/>
    </row>
    <row r="182" spans="1:15" ht="25.5" x14ac:dyDescent="0.25">
      <c r="A182" s="170" t="s">
        <v>62</v>
      </c>
      <c r="B182" s="707" t="s">
        <v>385</v>
      </c>
      <c r="C182" s="58">
        <v>10871000</v>
      </c>
      <c r="D182" s="726">
        <f>C182/C179*100</f>
        <v>3.2450746268656716</v>
      </c>
      <c r="E182" s="134">
        <f t="shared" si="72"/>
        <v>0</v>
      </c>
      <c r="F182" s="134">
        <f t="shared" si="73"/>
        <v>0</v>
      </c>
      <c r="G182" s="181">
        <v>0</v>
      </c>
      <c r="H182" s="134">
        <f t="shared" si="74"/>
        <v>0</v>
      </c>
      <c r="I182" s="134">
        <f t="shared" si="75"/>
        <v>0</v>
      </c>
      <c r="J182" s="6">
        <f t="shared" si="76"/>
        <v>-10871000</v>
      </c>
      <c r="K182" s="167"/>
    </row>
    <row r="183" spans="1:15" x14ac:dyDescent="0.25">
      <c r="A183" s="170" t="s">
        <v>148</v>
      </c>
      <c r="B183" s="133" t="s">
        <v>531</v>
      </c>
      <c r="C183" s="58">
        <v>10000000</v>
      </c>
      <c r="D183" s="726"/>
      <c r="E183" s="134"/>
      <c r="F183" s="134"/>
      <c r="G183" s="181">
        <f>10000000</f>
        <v>10000000</v>
      </c>
      <c r="H183" s="134"/>
      <c r="I183" s="134"/>
      <c r="J183" s="6">
        <f t="shared" si="76"/>
        <v>0</v>
      </c>
      <c r="K183" s="167"/>
    </row>
    <row r="184" spans="1:15" x14ac:dyDescent="0.25">
      <c r="A184" s="170" t="s">
        <v>77</v>
      </c>
      <c r="B184" s="170" t="s">
        <v>127</v>
      </c>
      <c r="C184" s="58">
        <v>61010000</v>
      </c>
      <c r="D184" s="726">
        <f>C184/C179*100</f>
        <v>18.211940298507461</v>
      </c>
      <c r="E184" s="134">
        <f t="shared" si="72"/>
        <v>27.700376987379116</v>
      </c>
      <c r="F184" s="134">
        <f t="shared" si="73"/>
        <v>5.0447761194029841</v>
      </c>
      <c r="G184" s="181">
        <f>16900000</f>
        <v>16900000</v>
      </c>
      <c r="H184" s="134">
        <f t="shared" si="74"/>
        <v>27.700376987379116</v>
      </c>
      <c r="I184" s="134">
        <f t="shared" si="75"/>
        <v>5.0447761194029841</v>
      </c>
      <c r="J184" s="6">
        <f t="shared" si="76"/>
        <v>-44110000</v>
      </c>
      <c r="K184" s="167"/>
      <c r="O184" s="190"/>
    </row>
    <row r="185" spans="1:15" x14ac:dyDescent="0.25">
      <c r="A185" s="170" t="s">
        <v>183</v>
      </c>
      <c r="B185" s="170" t="s">
        <v>178</v>
      </c>
      <c r="C185" s="58">
        <v>44625000</v>
      </c>
      <c r="D185" s="726">
        <f>C185/C179*100</f>
        <v>13.32089552238806</v>
      </c>
      <c r="E185" s="134">
        <f t="shared" si="72"/>
        <v>22.408963585434176</v>
      </c>
      <c r="F185" s="134">
        <f t="shared" si="73"/>
        <v>2.9850746268656718</v>
      </c>
      <c r="G185" s="181">
        <f>10000000</f>
        <v>10000000</v>
      </c>
      <c r="H185" s="134">
        <f t="shared" si="74"/>
        <v>22.408963585434176</v>
      </c>
      <c r="I185" s="134">
        <f t="shared" si="75"/>
        <v>2.9850746268656718</v>
      </c>
      <c r="J185" s="6">
        <f t="shared" si="76"/>
        <v>-34625000</v>
      </c>
      <c r="K185" s="167"/>
    </row>
    <row r="186" spans="1:15" x14ac:dyDescent="0.25">
      <c r="A186" s="170" t="s">
        <v>186</v>
      </c>
      <c r="B186" s="170" t="s">
        <v>179</v>
      </c>
      <c r="C186" s="58">
        <v>44100000</v>
      </c>
      <c r="D186" s="726">
        <f>C186/C179*100</f>
        <v>13.164179104477611</v>
      </c>
      <c r="E186" s="134">
        <f t="shared" si="72"/>
        <v>79.365079365079367</v>
      </c>
      <c r="F186" s="134">
        <f t="shared" si="73"/>
        <v>10.447761194029852</v>
      </c>
      <c r="G186" s="181">
        <f>35000000</f>
        <v>35000000</v>
      </c>
      <c r="H186" s="134">
        <f t="shared" si="74"/>
        <v>79.365079365079367</v>
      </c>
      <c r="I186" s="134">
        <f t="shared" si="75"/>
        <v>10.447761194029852</v>
      </c>
      <c r="J186" s="6">
        <f t="shared" si="76"/>
        <v>-9100000</v>
      </c>
      <c r="K186" s="167"/>
    </row>
    <row r="187" spans="1:15" ht="25.5" x14ac:dyDescent="0.25">
      <c r="A187" s="170" t="s">
        <v>106</v>
      </c>
      <c r="B187" s="316" t="s">
        <v>375</v>
      </c>
      <c r="C187" s="58">
        <v>44000000</v>
      </c>
      <c r="D187" s="726">
        <f>C187/C179*100</f>
        <v>13.134328358208954</v>
      </c>
      <c r="E187" s="134">
        <f t="shared" si="72"/>
        <v>83.636363636363626</v>
      </c>
      <c r="F187" s="134">
        <f t="shared" si="73"/>
        <v>10.98507462686567</v>
      </c>
      <c r="G187" s="181">
        <f>36800000</f>
        <v>36800000</v>
      </c>
      <c r="H187" s="134">
        <f t="shared" si="74"/>
        <v>83.636363636363626</v>
      </c>
      <c r="I187" s="134">
        <f t="shared" si="75"/>
        <v>10.98507462686567</v>
      </c>
      <c r="J187" s="6">
        <f t="shared" si="76"/>
        <v>-7200000</v>
      </c>
      <c r="K187" s="167"/>
    </row>
    <row r="188" spans="1:15" x14ac:dyDescent="0.25">
      <c r="A188" s="170" t="s">
        <v>162</v>
      </c>
      <c r="B188" s="315" t="s">
        <v>515</v>
      </c>
      <c r="C188" s="58">
        <v>36000000</v>
      </c>
      <c r="D188" s="726"/>
      <c r="E188" s="134"/>
      <c r="F188" s="134"/>
      <c r="G188" s="181">
        <f>36000000</f>
        <v>36000000</v>
      </c>
      <c r="H188" s="134"/>
      <c r="I188" s="134"/>
      <c r="J188" s="6">
        <f t="shared" si="76"/>
        <v>0</v>
      </c>
      <c r="K188" s="167"/>
    </row>
    <row r="189" spans="1:15" x14ac:dyDescent="0.25">
      <c r="A189" s="170" t="s">
        <v>527</v>
      </c>
      <c r="B189" s="316" t="s">
        <v>523</v>
      </c>
      <c r="C189" s="58">
        <v>5625000</v>
      </c>
      <c r="D189" s="726"/>
      <c r="E189" s="134"/>
      <c r="F189" s="134"/>
      <c r="G189" s="181">
        <f>5625000</f>
        <v>5625000</v>
      </c>
      <c r="H189" s="134"/>
      <c r="I189" s="134"/>
      <c r="J189" s="6">
        <f t="shared" si="76"/>
        <v>0</v>
      </c>
      <c r="K189" s="167"/>
    </row>
    <row r="190" spans="1:15" x14ac:dyDescent="0.25">
      <c r="A190" s="170" t="s">
        <v>528</v>
      </c>
      <c r="B190" s="316" t="s">
        <v>524</v>
      </c>
      <c r="C190" s="58">
        <v>16000000</v>
      </c>
      <c r="D190" s="726"/>
      <c r="E190" s="134"/>
      <c r="F190" s="134"/>
      <c r="G190" s="181">
        <f>16000000</f>
        <v>16000000</v>
      </c>
      <c r="H190" s="134"/>
      <c r="I190" s="134"/>
      <c r="J190" s="6">
        <f t="shared" si="76"/>
        <v>0</v>
      </c>
      <c r="K190" s="167"/>
    </row>
    <row r="191" spans="1:15" x14ac:dyDescent="0.25">
      <c r="A191" s="170" t="s">
        <v>529</v>
      </c>
      <c r="B191" s="316" t="s">
        <v>525</v>
      </c>
      <c r="C191" s="58">
        <v>4000000</v>
      </c>
      <c r="D191" s="726"/>
      <c r="E191" s="134"/>
      <c r="F191" s="134"/>
      <c r="G191" s="181">
        <f>4000000</f>
        <v>4000000</v>
      </c>
      <c r="H191" s="134"/>
      <c r="I191" s="134"/>
      <c r="J191" s="6">
        <f t="shared" si="76"/>
        <v>0</v>
      </c>
      <c r="K191" s="167"/>
    </row>
    <row r="192" spans="1:15" ht="25.5" x14ac:dyDescent="0.25">
      <c r="A192" s="170" t="s">
        <v>116</v>
      </c>
      <c r="B192" s="133" t="s">
        <v>371</v>
      </c>
      <c r="C192" s="178">
        <v>1622500</v>
      </c>
      <c r="D192" s="726">
        <f>C192/C179*100</f>
        <v>0.4843283582089552</v>
      </c>
      <c r="E192" s="134">
        <f t="shared" si="72"/>
        <v>0</v>
      </c>
      <c r="F192" s="134">
        <f t="shared" si="73"/>
        <v>0</v>
      </c>
      <c r="G192" s="181">
        <v>0</v>
      </c>
      <c r="H192" s="134">
        <f t="shared" si="74"/>
        <v>0</v>
      </c>
      <c r="I192" s="134">
        <f t="shared" si="75"/>
        <v>0</v>
      </c>
      <c r="J192" s="6">
        <f t="shared" si="76"/>
        <v>-1622500</v>
      </c>
      <c r="K192" s="167"/>
      <c r="M192" s="190"/>
    </row>
    <row r="193" spans="1:14" x14ac:dyDescent="0.25">
      <c r="A193" s="748" t="s">
        <v>65</v>
      </c>
      <c r="B193" s="315" t="s">
        <v>393</v>
      </c>
      <c r="C193" s="178">
        <v>7000000</v>
      </c>
      <c r="D193" s="726"/>
      <c r="E193" s="134"/>
      <c r="F193" s="134"/>
      <c r="G193" s="181"/>
      <c r="H193" s="134"/>
      <c r="I193" s="134"/>
      <c r="J193" s="6">
        <f t="shared" si="76"/>
        <v>-7000000</v>
      </c>
      <c r="K193" s="167"/>
      <c r="M193" s="190"/>
    </row>
    <row r="194" spans="1:14" x14ac:dyDescent="0.25">
      <c r="A194" s="748" t="s">
        <v>287</v>
      </c>
      <c r="B194" s="315" t="s">
        <v>191</v>
      </c>
      <c r="C194" s="178">
        <v>15000000</v>
      </c>
      <c r="D194" s="726"/>
      <c r="E194" s="134"/>
      <c r="F194" s="134"/>
      <c r="G194" s="181">
        <f>15000000</f>
        <v>15000000</v>
      </c>
      <c r="H194" s="134"/>
      <c r="I194" s="134"/>
      <c r="J194" s="6">
        <f t="shared" si="76"/>
        <v>0</v>
      </c>
      <c r="K194" s="167"/>
      <c r="M194" s="190"/>
    </row>
    <row r="195" spans="1:14" x14ac:dyDescent="0.25">
      <c r="A195" s="748" t="s">
        <v>275</v>
      </c>
      <c r="B195" s="133" t="s">
        <v>421</v>
      </c>
      <c r="C195" s="178">
        <v>5000000</v>
      </c>
      <c r="D195" s="726"/>
      <c r="E195" s="134"/>
      <c r="F195" s="134"/>
      <c r="G195" s="181">
        <v>0</v>
      </c>
      <c r="H195" s="134"/>
      <c r="I195" s="134"/>
      <c r="J195" s="6">
        <f t="shared" si="76"/>
        <v>-5000000</v>
      </c>
      <c r="K195" s="167"/>
      <c r="M195" s="190"/>
    </row>
    <row r="196" spans="1:14" x14ac:dyDescent="0.25">
      <c r="A196" s="69"/>
      <c r="B196" s="67" t="s">
        <v>128</v>
      </c>
      <c r="C196" s="60">
        <f>SUM(C180:C195)</f>
        <v>335000000</v>
      </c>
      <c r="D196" s="275">
        <f>SUM(D180:D192)</f>
        <v>70.5597014925373</v>
      </c>
      <c r="E196" s="134"/>
      <c r="F196" s="134"/>
      <c r="G196" s="42">
        <f>SUM(G180:G195)</f>
        <v>192243250</v>
      </c>
      <c r="H196" s="134"/>
      <c r="I196" s="134"/>
      <c r="J196" s="734"/>
      <c r="K196" s="38"/>
    </row>
    <row r="197" spans="1:14" x14ac:dyDescent="0.25">
      <c r="A197" s="186"/>
      <c r="B197" s="2"/>
      <c r="C197" s="187"/>
      <c r="D197" s="188"/>
      <c r="E197" s="183"/>
      <c r="F197" s="183"/>
      <c r="G197" s="184"/>
      <c r="H197" s="183"/>
      <c r="I197" s="183"/>
      <c r="J197" s="189"/>
      <c r="K197" s="53"/>
    </row>
    <row r="198" spans="1:14" ht="31.5" x14ac:dyDescent="0.25">
      <c r="A198" s="55"/>
      <c r="B198" s="46" t="s">
        <v>145</v>
      </c>
      <c r="C198" s="155"/>
      <c r="D198" s="44"/>
      <c r="E198" s="45"/>
      <c r="F198" s="45"/>
      <c r="G198" s="48"/>
      <c r="H198" s="45"/>
      <c r="I198" s="45"/>
      <c r="J198" s="44"/>
      <c r="K198" s="44"/>
      <c r="L198" s="1"/>
      <c r="M198" s="1"/>
      <c r="N198" s="1"/>
    </row>
    <row r="199" spans="1:14" x14ac:dyDescent="0.25">
      <c r="A199" s="1082" t="s">
        <v>2</v>
      </c>
      <c r="B199" s="1081" t="s">
        <v>168</v>
      </c>
      <c r="C199" s="1082" t="s">
        <v>4</v>
      </c>
      <c r="D199" s="1083" t="s">
        <v>5</v>
      </c>
      <c r="E199" s="1084"/>
      <c r="F199" s="1084"/>
      <c r="G199" s="1085" t="s">
        <v>6</v>
      </c>
      <c r="H199" s="1084"/>
      <c r="I199" s="1084"/>
      <c r="J199" s="1082" t="s">
        <v>7</v>
      </c>
      <c r="K199" s="283" t="s">
        <v>8</v>
      </c>
    </row>
    <row r="200" spans="1:14" x14ac:dyDescent="0.25">
      <c r="A200" s="1082"/>
      <c r="B200" s="1081"/>
      <c r="C200" s="1082"/>
      <c r="D200" s="283" t="s">
        <v>9</v>
      </c>
      <c r="E200" s="297" t="s">
        <v>10</v>
      </c>
      <c r="F200" s="297" t="s">
        <v>11</v>
      </c>
      <c r="G200" s="298" t="s">
        <v>12</v>
      </c>
      <c r="H200" s="297" t="s">
        <v>13</v>
      </c>
      <c r="I200" s="297" t="s">
        <v>11</v>
      </c>
      <c r="J200" s="1086"/>
      <c r="K200" s="284"/>
    </row>
    <row r="201" spans="1:14" x14ac:dyDescent="0.25">
      <c r="A201" s="1082"/>
      <c r="B201" s="1081"/>
      <c r="C201" s="1082"/>
      <c r="D201" s="282" t="s">
        <v>14</v>
      </c>
      <c r="E201" s="295" t="s">
        <v>14</v>
      </c>
      <c r="F201" s="295" t="s">
        <v>14</v>
      </c>
      <c r="G201" s="296" t="s">
        <v>15</v>
      </c>
      <c r="H201" s="295" t="s">
        <v>14</v>
      </c>
      <c r="I201" s="295" t="s">
        <v>14</v>
      </c>
      <c r="J201" s="282" t="s">
        <v>15</v>
      </c>
      <c r="K201" s="282"/>
    </row>
    <row r="202" spans="1:14" x14ac:dyDescent="0.25">
      <c r="A202" s="79" t="s">
        <v>185</v>
      </c>
      <c r="B202" s="199" t="s">
        <v>146</v>
      </c>
      <c r="C202" s="145"/>
      <c r="D202" s="146"/>
      <c r="E202" s="147"/>
      <c r="F202" s="147"/>
      <c r="G202" s="148"/>
      <c r="H202" s="147"/>
      <c r="I202" s="147"/>
      <c r="J202" s="146"/>
      <c r="K202" s="146"/>
    </row>
    <row r="203" spans="1:14" x14ac:dyDescent="0.25">
      <c r="A203" s="125" t="s">
        <v>184</v>
      </c>
      <c r="B203" s="280" t="s">
        <v>147</v>
      </c>
      <c r="C203" s="257">
        <f>SUM(C204:C206)</f>
        <v>2695640000</v>
      </c>
      <c r="D203" s="146"/>
      <c r="E203" s="147"/>
      <c r="F203" s="147"/>
      <c r="G203" s="148"/>
      <c r="H203" s="147"/>
      <c r="I203" s="147"/>
      <c r="J203" s="146"/>
      <c r="K203" s="146"/>
    </row>
    <row r="204" spans="1:14" ht="25.5" x14ac:dyDescent="0.25">
      <c r="A204" s="317" t="s">
        <v>44</v>
      </c>
      <c r="B204" s="707" t="s">
        <v>384</v>
      </c>
      <c r="C204" s="258">
        <v>33350000</v>
      </c>
      <c r="D204" s="267">
        <f>C204/C203*100</f>
        <v>1.2371830066329332</v>
      </c>
      <c r="E204" s="134">
        <f t="shared" ref="E204:E206" si="77">G204/C204*100</f>
        <v>0</v>
      </c>
      <c r="F204" s="134">
        <f t="shared" ref="F204:F206" si="78">(D204*E204)/100</f>
        <v>0</v>
      </c>
      <c r="G204" s="181">
        <v>0</v>
      </c>
      <c r="H204" s="134">
        <f t="shared" ref="H204:H206" si="79">G204/C204*100</f>
        <v>0</v>
      </c>
      <c r="I204" s="134">
        <f t="shared" ref="I204:I206" si="80">(D204*H204)/100</f>
        <v>0</v>
      </c>
      <c r="J204" s="6">
        <f t="shared" ref="J204:J206" si="81">G204-C204</f>
        <v>-33350000</v>
      </c>
      <c r="K204" s="146"/>
    </row>
    <row r="205" spans="1:14" x14ac:dyDescent="0.25">
      <c r="A205" s="319" t="s">
        <v>59</v>
      </c>
      <c r="B205" s="707" t="s">
        <v>197</v>
      </c>
      <c r="C205" s="258">
        <v>2290000</v>
      </c>
      <c r="D205" s="267"/>
      <c r="E205" s="134"/>
      <c r="F205" s="134"/>
      <c r="G205" s="181"/>
      <c r="H205" s="134"/>
      <c r="I205" s="134"/>
      <c r="J205" s="6">
        <f t="shared" si="81"/>
        <v>-2290000</v>
      </c>
      <c r="K205" s="146"/>
    </row>
    <row r="206" spans="1:14" x14ac:dyDescent="0.25">
      <c r="A206" s="49" t="s">
        <v>148</v>
      </c>
      <c r="B206" s="133" t="s">
        <v>531</v>
      </c>
      <c r="C206" s="259">
        <v>2660000000</v>
      </c>
      <c r="D206" s="267">
        <f>C206/C203*100</f>
        <v>98.67786499680966</v>
      </c>
      <c r="E206" s="134">
        <f t="shared" si="77"/>
        <v>0</v>
      </c>
      <c r="F206" s="134">
        <f t="shared" si="78"/>
        <v>0</v>
      </c>
      <c r="G206" s="181">
        <v>0</v>
      </c>
      <c r="H206" s="134">
        <f t="shared" si="79"/>
        <v>0</v>
      </c>
      <c r="I206" s="134">
        <f t="shared" si="80"/>
        <v>0</v>
      </c>
      <c r="J206" s="6">
        <f t="shared" si="81"/>
        <v>-2660000000</v>
      </c>
      <c r="K206" s="146"/>
    </row>
    <row r="207" spans="1:14" x14ac:dyDescent="0.25">
      <c r="A207" s="71"/>
      <c r="B207" s="76" t="s">
        <v>95</v>
      </c>
      <c r="C207" s="806">
        <f>SUM(C204:C206)</f>
        <v>2695640000</v>
      </c>
      <c r="D207" s="141">
        <f>SUM(D204:D206)</f>
        <v>99.915048003442593</v>
      </c>
      <c r="E207" s="134"/>
      <c r="F207" s="134"/>
      <c r="G207" s="181">
        <v>0</v>
      </c>
      <c r="H207" s="134"/>
      <c r="I207" s="134"/>
      <c r="J207" s="56">
        <v>0</v>
      </c>
      <c r="K207" s="143"/>
    </row>
    <row r="208" spans="1:14" x14ac:dyDescent="0.25">
      <c r="A208" s="186"/>
      <c r="B208" s="2"/>
      <c r="C208" s="187"/>
      <c r="D208" s="188"/>
      <c r="E208" s="183"/>
      <c r="F208" s="183"/>
      <c r="G208" s="184"/>
      <c r="H208" s="183"/>
      <c r="I208" s="183"/>
      <c r="J208" s="189"/>
      <c r="K208" s="53"/>
    </row>
    <row r="209" spans="1:11" x14ac:dyDescent="0.25">
      <c r="A209" s="1080" t="s">
        <v>2</v>
      </c>
      <c r="B209" s="1081" t="s">
        <v>168</v>
      </c>
      <c r="C209" s="1080" t="s">
        <v>4</v>
      </c>
      <c r="D209" s="1075" t="s">
        <v>5</v>
      </c>
      <c r="E209" s="1076"/>
      <c r="F209" s="1076"/>
      <c r="G209" s="1077" t="s">
        <v>6</v>
      </c>
      <c r="H209" s="1076"/>
      <c r="I209" s="1076"/>
      <c r="J209" s="1080" t="s">
        <v>7</v>
      </c>
      <c r="K209" s="95" t="s">
        <v>8</v>
      </c>
    </row>
    <row r="210" spans="1:11" x14ac:dyDescent="0.25">
      <c r="A210" s="1080"/>
      <c r="B210" s="1081"/>
      <c r="C210" s="1080"/>
      <c r="D210" s="95" t="s">
        <v>9</v>
      </c>
      <c r="E210" s="294" t="s">
        <v>10</v>
      </c>
      <c r="F210" s="294" t="s">
        <v>11</v>
      </c>
      <c r="G210" s="299" t="s">
        <v>12</v>
      </c>
      <c r="H210" s="294" t="s">
        <v>13</v>
      </c>
      <c r="I210" s="294" t="s">
        <v>11</v>
      </c>
      <c r="J210" s="1078"/>
      <c r="K210" s="98"/>
    </row>
    <row r="211" spans="1:11" x14ac:dyDescent="0.25">
      <c r="A211" s="1080"/>
      <c r="B211" s="1081"/>
      <c r="C211" s="1080"/>
      <c r="D211" s="101" t="s">
        <v>14</v>
      </c>
      <c r="E211" s="100" t="s">
        <v>14</v>
      </c>
      <c r="F211" s="100" t="s">
        <v>14</v>
      </c>
      <c r="G211" s="99" t="s">
        <v>15</v>
      </c>
      <c r="H211" s="100" t="s">
        <v>14</v>
      </c>
      <c r="I211" s="100" t="s">
        <v>14</v>
      </c>
      <c r="J211" s="101" t="s">
        <v>15</v>
      </c>
      <c r="K211" s="101"/>
    </row>
    <row r="212" spans="1:11" x14ac:dyDescent="0.25">
      <c r="A212" s="79" t="s">
        <v>185</v>
      </c>
      <c r="B212" s="199" t="s">
        <v>146</v>
      </c>
      <c r="C212" s="24"/>
      <c r="D212" s="10"/>
      <c r="E212" s="34"/>
      <c r="F212" s="34"/>
      <c r="G212" s="6"/>
      <c r="H212" s="34"/>
      <c r="I212" s="34"/>
      <c r="J212" s="10"/>
      <c r="K212" s="10"/>
    </row>
    <row r="213" spans="1:11" x14ac:dyDescent="0.25">
      <c r="A213" s="125" t="s">
        <v>187</v>
      </c>
      <c r="B213" s="280" t="s">
        <v>150</v>
      </c>
      <c r="C213" s="252">
        <f>SUM(C214:C218)</f>
        <v>1635097968</v>
      </c>
      <c r="D213" s="10"/>
      <c r="E213" s="34"/>
      <c r="F213" s="34"/>
      <c r="G213" s="6"/>
      <c r="H213" s="34"/>
      <c r="I213" s="34"/>
      <c r="J213" s="10"/>
      <c r="K213" s="10"/>
    </row>
    <row r="214" spans="1:11" ht="25.5" x14ac:dyDescent="0.25">
      <c r="A214" s="313" t="s">
        <v>44</v>
      </c>
      <c r="B214" s="707" t="s">
        <v>384</v>
      </c>
      <c r="C214" s="253">
        <v>29600000</v>
      </c>
      <c r="D214" s="134">
        <f>C214/C213*100</f>
        <v>1.8102890823236593</v>
      </c>
      <c r="E214" s="134">
        <f t="shared" ref="E214:E217" si="82">G214/C214*100</f>
        <v>0</v>
      </c>
      <c r="F214" s="134">
        <f t="shared" ref="F214:F217" si="83">(D214*E214)/100</f>
        <v>0</v>
      </c>
      <c r="G214" s="181">
        <v>0</v>
      </c>
      <c r="H214" s="134">
        <f t="shared" ref="H214:H217" si="84">G214/C214*100</f>
        <v>0</v>
      </c>
      <c r="I214" s="134">
        <f t="shared" ref="I214:I217" si="85">(D214*H214)/100</f>
        <v>0</v>
      </c>
      <c r="J214" s="6">
        <f t="shared" ref="J214:J218" si="86">G214-C214</f>
        <v>-29600000</v>
      </c>
      <c r="K214" s="10"/>
    </row>
    <row r="215" spans="1:11" x14ac:dyDescent="0.25">
      <c r="A215" s="319" t="s">
        <v>59</v>
      </c>
      <c r="B215" s="707" t="s">
        <v>197</v>
      </c>
      <c r="C215" s="253">
        <v>1300000</v>
      </c>
      <c r="D215" s="134"/>
      <c r="E215" s="134"/>
      <c r="F215" s="134"/>
      <c r="G215" s="181"/>
      <c r="H215" s="134"/>
      <c r="I215" s="134"/>
      <c r="J215" s="6">
        <f t="shared" si="86"/>
        <v>-1300000</v>
      </c>
      <c r="K215" s="10"/>
    </row>
    <row r="216" spans="1:11" x14ac:dyDescent="0.25">
      <c r="A216" s="49" t="s">
        <v>148</v>
      </c>
      <c r="B216" s="133" t="s">
        <v>531</v>
      </c>
      <c r="C216" s="256">
        <v>1140000000</v>
      </c>
      <c r="D216" s="134">
        <f>C216/C213*100</f>
        <v>69.720593035438228</v>
      </c>
      <c r="E216" s="134">
        <f t="shared" si="82"/>
        <v>0</v>
      </c>
      <c r="F216" s="134">
        <f t="shared" si="83"/>
        <v>0</v>
      </c>
      <c r="G216" s="181">
        <v>0</v>
      </c>
      <c r="H216" s="134">
        <f t="shared" si="84"/>
        <v>0</v>
      </c>
      <c r="I216" s="134">
        <f t="shared" si="85"/>
        <v>0</v>
      </c>
      <c r="J216" s="6">
        <f t="shared" si="86"/>
        <v>-1140000000</v>
      </c>
      <c r="K216" s="10"/>
    </row>
    <row r="217" spans="1:11" s="84" customFormat="1" ht="25.5" x14ac:dyDescent="0.2">
      <c r="A217" s="49" t="s">
        <v>152</v>
      </c>
      <c r="B217" s="133" t="s">
        <v>153</v>
      </c>
      <c r="C217" s="256">
        <v>456000000</v>
      </c>
      <c r="D217" s="134">
        <f>C217/C213*100</f>
        <v>27.888237214175295</v>
      </c>
      <c r="E217" s="134">
        <f t="shared" si="82"/>
        <v>0</v>
      </c>
      <c r="F217" s="134">
        <f t="shared" si="83"/>
        <v>0</v>
      </c>
      <c r="G217" s="181">
        <v>0</v>
      </c>
      <c r="H217" s="134">
        <f t="shared" si="84"/>
        <v>0</v>
      </c>
      <c r="I217" s="134">
        <f t="shared" si="85"/>
        <v>0</v>
      </c>
      <c r="J217" s="6">
        <f t="shared" si="86"/>
        <v>-456000000</v>
      </c>
      <c r="K217" s="38"/>
    </row>
    <row r="218" spans="1:11" s="84" customFormat="1" x14ac:dyDescent="0.2">
      <c r="A218" s="749" t="s">
        <v>234</v>
      </c>
      <c r="B218" s="133" t="s">
        <v>522</v>
      </c>
      <c r="C218" s="256">
        <v>8197968</v>
      </c>
      <c r="D218" s="804"/>
      <c r="E218" s="134"/>
      <c r="F218" s="134"/>
      <c r="G218" s="181">
        <f>8197968</f>
        <v>8197968</v>
      </c>
      <c r="H218" s="134"/>
      <c r="I218" s="134"/>
      <c r="J218" s="6">
        <f t="shared" si="86"/>
        <v>0</v>
      </c>
      <c r="K218" s="805"/>
    </row>
    <row r="219" spans="1:11" x14ac:dyDescent="0.25">
      <c r="A219" s="70"/>
      <c r="B219" s="129" t="s">
        <v>95</v>
      </c>
      <c r="C219" s="807">
        <f>SUM(C214:C218)</f>
        <v>1635097968</v>
      </c>
      <c r="D219" s="271">
        <f>SUM(D214:D217)</f>
        <v>99.419119331937182</v>
      </c>
      <c r="E219" s="134"/>
      <c r="F219" s="134"/>
      <c r="G219" s="181">
        <v>0</v>
      </c>
      <c r="H219" s="134"/>
      <c r="I219" s="134"/>
      <c r="J219" s="56">
        <v>0</v>
      </c>
      <c r="K219" s="130"/>
    </row>
    <row r="220" spans="1:11" x14ac:dyDescent="0.25">
      <c r="A220" s="186"/>
      <c r="B220" s="2"/>
      <c r="C220" s="187"/>
      <c r="D220" s="188"/>
      <c r="E220" s="183"/>
      <c r="F220" s="183"/>
      <c r="G220" s="184"/>
      <c r="H220" s="183"/>
      <c r="I220" s="183"/>
      <c r="J220" s="189"/>
      <c r="K220" s="53"/>
    </row>
    <row r="221" spans="1:11" x14ac:dyDescent="0.25">
      <c r="A221" s="50"/>
      <c r="B221" s="5"/>
      <c r="C221" s="50"/>
      <c r="D221" s="9"/>
      <c r="E221" s="23"/>
      <c r="F221" s="23"/>
      <c r="G221" s="11"/>
      <c r="H221" s="23"/>
      <c r="I221" s="23"/>
      <c r="J221" s="9"/>
      <c r="K221" s="9"/>
    </row>
    <row r="222" spans="1:11" x14ac:dyDescent="0.25">
      <c r="A222" s="1088" t="s">
        <v>2</v>
      </c>
      <c r="B222" s="1094" t="s">
        <v>133</v>
      </c>
      <c r="C222" s="832"/>
      <c r="D222" s="1097" t="s">
        <v>5</v>
      </c>
      <c r="E222" s="1098"/>
      <c r="F222" s="1099"/>
      <c r="G222" s="1100" t="s">
        <v>6</v>
      </c>
      <c r="H222" s="1101"/>
      <c r="I222" s="1102"/>
      <c r="J222" s="1088" t="s">
        <v>7</v>
      </c>
      <c r="K222" s="108" t="s">
        <v>8</v>
      </c>
    </row>
    <row r="223" spans="1:11" x14ac:dyDescent="0.25">
      <c r="A223" s="1092"/>
      <c r="B223" s="1095"/>
      <c r="C223" s="833" t="s">
        <v>4</v>
      </c>
      <c r="D223" s="109" t="s">
        <v>9</v>
      </c>
      <c r="E223" s="110" t="s">
        <v>10</v>
      </c>
      <c r="F223" s="110" t="s">
        <v>11</v>
      </c>
      <c r="G223" s="111" t="s">
        <v>12</v>
      </c>
      <c r="H223" s="110" t="s">
        <v>13</v>
      </c>
      <c r="I223" s="110" t="s">
        <v>11</v>
      </c>
      <c r="J223" s="1092"/>
      <c r="K223" s="109"/>
    </row>
    <row r="224" spans="1:11" x14ac:dyDescent="0.25">
      <c r="A224" s="1093"/>
      <c r="B224" s="1096"/>
      <c r="C224" s="834"/>
      <c r="D224" s="112" t="s">
        <v>14</v>
      </c>
      <c r="E224" s="113" t="s">
        <v>14</v>
      </c>
      <c r="F224" s="113" t="s">
        <v>14</v>
      </c>
      <c r="G224" s="114" t="s">
        <v>15</v>
      </c>
      <c r="H224" s="113" t="s">
        <v>14</v>
      </c>
      <c r="I224" s="113" t="s">
        <v>14</v>
      </c>
      <c r="J224" s="112" t="s">
        <v>15</v>
      </c>
      <c r="K224" s="112"/>
    </row>
    <row r="225" spans="1:11" ht="25.5" x14ac:dyDescent="0.25">
      <c r="A225" s="79" t="s">
        <v>180</v>
      </c>
      <c r="B225" s="696" t="s">
        <v>379</v>
      </c>
      <c r="C225" s="291"/>
      <c r="D225" s="10"/>
      <c r="E225" s="34"/>
      <c r="F225" s="34"/>
      <c r="G225" s="6"/>
      <c r="H225" s="34"/>
      <c r="I225" s="34"/>
      <c r="J225" s="10"/>
      <c r="K225" s="10"/>
    </row>
    <row r="226" spans="1:11" ht="25.5" x14ac:dyDescent="0.25">
      <c r="A226" s="125" t="s">
        <v>181</v>
      </c>
      <c r="B226" s="697" t="s">
        <v>380</v>
      </c>
      <c r="C226" s="87">
        <f>SUM(C227:C238)</f>
        <v>185000000</v>
      </c>
      <c r="D226" s="10"/>
      <c r="E226" s="34"/>
      <c r="F226" s="34"/>
      <c r="G226" s="6"/>
      <c r="H226" s="34"/>
      <c r="I226" s="34"/>
      <c r="J226" s="10"/>
      <c r="K226" s="10"/>
    </row>
    <row r="227" spans="1:11" ht="25.5" x14ac:dyDescent="0.25">
      <c r="A227" s="49" t="s">
        <v>44</v>
      </c>
      <c r="B227" s="707" t="s">
        <v>384</v>
      </c>
      <c r="C227" s="172">
        <v>8580000</v>
      </c>
      <c r="D227" s="134">
        <f>C227/C226*100</f>
        <v>4.6378378378378375</v>
      </c>
      <c r="E227" s="134">
        <f t="shared" ref="E227:E236" si="87">G227/C227*100</f>
        <v>0</v>
      </c>
      <c r="F227" s="134">
        <f t="shared" ref="F227:F236" si="88">(D227*E227)/100</f>
        <v>0</v>
      </c>
      <c r="G227" s="181">
        <v>0</v>
      </c>
      <c r="H227" s="134">
        <f t="shared" ref="H227:H236" si="89">G227/C227*100</f>
        <v>0</v>
      </c>
      <c r="I227" s="134">
        <f t="shared" ref="I227:I236" si="90">(D227*H227)/100</f>
        <v>0</v>
      </c>
      <c r="J227" s="6">
        <f t="shared" ref="J227:J238" si="91">G227-C227</f>
        <v>-8580000</v>
      </c>
      <c r="K227" s="10"/>
    </row>
    <row r="228" spans="1:11" x14ac:dyDescent="0.25">
      <c r="A228" s="49" t="s">
        <v>59</v>
      </c>
      <c r="B228" s="707" t="s">
        <v>197</v>
      </c>
      <c r="C228" s="256">
        <v>9515700</v>
      </c>
      <c r="D228" s="134">
        <f>C228/C226*100</f>
        <v>5.1436216216216222</v>
      </c>
      <c r="E228" s="134">
        <f t="shared" si="87"/>
        <v>52.510062318063831</v>
      </c>
      <c r="F228" s="134">
        <f t="shared" si="88"/>
        <v>2.7009189189189193</v>
      </c>
      <c r="G228" s="181">
        <v>4996700</v>
      </c>
      <c r="H228" s="134">
        <f t="shared" si="89"/>
        <v>52.510062318063831</v>
      </c>
      <c r="I228" s="134">
        <f t="shared" si="90"/>
        <v>2.7009189189189193</v>
      </c>
      <c r="J228" s="6">
        <f t="shared" si="91"/>
        <v>-4519000</v>
      </c>
      <c r="K228" s="10"/>
    </row>
    <row r="229" spans="1:11" x14ac:dyDescent="0.25">
      <c r="A229" s="49" t="s">
        <v>62</v>
      </c>
      <c r="B229" s="707" t="s">
        <v>334</v>
      </c>
      <c r="C229" s="256">
        <v>4450000</v>
      </c>
      <c r="D229" s="134">
        <f>C229/C226*100</f>
        <v>2.4054054054054053</v>
      </c>
      <c r="E229" s="134">
        <f t="shared" si="87"/>
        <v>67.415730337078656</v>
      </c>
      <c r="F229" s="134">
        <f t="shared" si="88"/>
        <v>1.6216216216216217</v>
      </c>
      <c r="G229" s="181">
        <f>3000000</f>
        <v>3000000</v>
      </c>
      <c r="H229" s="134">
        <f t="shared" si="89"/>
        <v>67.415730337078656</v>
      </c>
      <c r="I229" s="134">
        <f t="shared" si="90"/>
        <v>1.6216216216216217</v>
      </c>
      <c r="J229" s="6">
        <f t="shared" si="91"/>
        <v>-1450000</v>
      </c>
      <c r="K229" s="10"/>
    </row>
    <row r="230" spans="1:11" ht="25.5" x14ac:dyDescent="0.25">
      <c r="A230" s="49"/>
      <c r="B230" s="707" t="s">
        <v>532</v>
      </c>
      <c r="C230" s="256">
        <v>3500000</v>
      </c>
      <c r="D230" s="134"/>
      <c r="E230" s="134"/>
      <c r="F230" s="134"/>
      <c r="G230" s="181">
        <f>3500000</f>
        <v>3500000</v>
      </c>
      <c r="H230" s="134"/>
      <c r="I230" s="134"/>
      <c r="J230" s="6">
        <f t="shared" si="91"/>
        <v>0</v>
      </c>
      <c r="K230" s="10"/>
    </row>
    <row r="231" spans="1:11" x14ac:dyDescent="0.25">
      <c r="A231" s="49" t="s">
        <v>77</v>
      </c>
      <c r="B231" s="49" t="s">
        <v>135</v>
      </c>
      <c r="C231" s="174">
        <v>73080000</v>
      </c>
      <c r="D231" s="134">
        <f>C231/C226*100</f>
        <v>39.502702702702699</v>
      </c>
      <c r="E231" s="134">
        <f t="shared" si="87"/>
        <v>23.604269293924464</v>
      </c>
      <c r="F231" s="134">
        <f t="shared" si="88"/>
        <v>9.3243243243243228</v>
      </c>
      <c r="G231" s="181">
        <f>17250000</f>
        <v>17250000</v>
      </c>
      <c r="H231" s="134">
        <f t="shared" si="89"/>
        <v>23.604269293924464</v>
      </c>
      <c r="I231" s="134">
        <f t="shared" si="90"/>
        <v>9.3243243243243228</v>
      </c>
      <c r="J231" s="6">
        <f t="shared" si="91"/>
        <v>-55830000</v>
      </c>
      <c r="K231" s="10"/>
    </row>
    <row r="232" spans="1:11" x14ac:dyDescent="0.25">
      <c r="A232" s="49"/>
      <c r="B232" s="170" t="s">
        <v>178</v>
      </c>
      <c r="C232" s="174">
        <v>5125000</v>
      </c>
      <c r="D232" s="134"/>
      <c r="E232" s="134"/>
      <c r="F232" s="134"/>
      <c r="G232" s="181"/>
      <c r="H232" s="134"/>
      <c r="I232" s="134"/>
      <c r="J232" s="6">
        <f t="shared" si="91"/>
        <v>-5125000</v>
      </c>
      <c r="K232" s="10"/>
    </row>
    <row r="233" spans="1:11" x14ac:dyDescent="0.25">
      <c r="A233" s="49" t="s">
        <v>104</v>
      </c>
      <c r="B233" s="170" t="s">
        <v>179</v>
      </c>
      <c r="C233" s="172">
        <v>33400000</v>
      </c>
      <c r="D233" s="134">
        <f>C233/C226*100</f>
        <v>18.054054054054053</v>
      </c>
      <c r="E233" s="134">
        <f t="shared" si="87"/>
        <v>0</v>
      </c>
      <c r="F233" s="134">
        <f t="shared" si="88"/>
        <v>0</v>
      </c>
      <c r="G233" s="181">
        <v>0</v>
      </c>
      <c r="H233" s="134">
        <f t="shared" si="89"/>
        <v>0</v>
      </c>
      <c r="I233" s="134">
        <f t="shared" si="90"/>
        <v>0</v>
      </c>
      <c r="J233" s="6">
        <f t="shared" si="91"/>
        <v>-33400000</v>
      </c>
      <c r="K233" s="10"/>
    </row>
    <row r="234" spans="1:11" ht="25.5" x14ac:dyDescent="0.25">
      <c r="A234" s="49" t="s">
        <v>106</v>
      </c>
      <c r="B234" s="316" t="s">
        <v>375</v>
      </c>
      <c r="C234" s="178">
        <v>16500000</v>
      </c>
      <c r="D234" s="134">
        <f>C234/C226*100</f>
        <v>8.9189189189189193</v>
      </c>
      <c r="E234" s="134">
        <f t="shared" si="87"/>
        <v>56.36363636363636</v>
      </c>
      <c r="F234" s="134">
        <f t="shared" si="88"/>
        <v>5.0270270270270272</v>
      </c>
      <c r="G234" s="181">
        <f>9300000</f>
        <v>9300000</v>
      </c>
      <c r="H234" s="134">
        <f t="shared" si="89"/>
        <v>56.36363636363636</v>
      </c>
      <c r="I234" s="134">
        <f t="shared" si="90"/>
        <v>5.0270270270270272</v>
      </c>
      <c r="J234" s="6">
        <f t="shared" si="91"/>
        <v>-7200000</v>
      </c>
      <c r="K234" s="10"/>
    </row>
    <row r="235" spans="1:11" x14ac:dyDescent="0.25">
      <c r="A235" s="49"/>
      <c r="B235" s="316" t="s">
        <v>533</v>
      </c>
      <c r="C235" s="178">
        <v>2500000</v>
      </c>
      <c r="D235" s="134"/>
      <c r="E235" s="134"/>
      <c r="F235" s="134"/>
      <c r="G235" s="181">
        <f>2500000</f>
        <v>2500000</v>
      </c>
      <c r="H235" s="134"/>
      <c r="I235" s="134"/>
      <c r="J235" s="6">
        <f t="shared" si="91"/>
        <v>0</v>
      </c>
      <c r="K235" s="10"/>
    </row>
    <row r="236" spans="1:11" ht="25.5" x14ac:dyDescent="0.25">
      <c r="A236" s="49" t="s">
        <v>116</v>
      </c>
      <c r="B236" s="133" t="s">
        <v>371</v>
      </c>
      <c r="C236" s="178">
        <v>4824300</v>
      </c>
      <c r="D236" s="134">
        <f>C236/C226*100</f>
        <v>2.6077297297297299</v>
      </c>
      <c r="E236" s="134">
        <f t="shared" si="87"/>
        <v>62.181041809174388</v>
      </c>
      <c r="F236" s="134">
        <f t="shared" si="88"/>
        <v>1.6215135135135137</v>
      </c>
      <c r="G236" s="181">
        <v>2999800</v>
      </c>
      <c r="H236" s="134">
        <f t="shared" si="89"/>
        <v>62.181041809174388</v>
      </c>
      <c r="I236" s="134">
        <f t="shared" si="90"/>
        <v>1.6215135135135137</v>
      </c>
      <c r="J236" s="6">
        <f t="shared" si="91"/>
        <v>-1824500</v>
      </c>
      <c r="K236" s="10"/>
    </row>
    <row r="237" spans="1:11" x14ac:dyDescent="0.25">
      <c r="A237" s="749" t="s">
        <v>121</v>
      </c>
      <c r="B237" s="315" t="s">
        <v>191</v>
      </c>
      <c r="C237" s="178">
        <v>19400000</v>
      </c>
      <c r="D237" s="134"/>
      <c r="E237" s="134"/>
      <c r="F237" s="134"/>
      <c r="G237" s="181">
        <f>9400000</f>
        <v>9400000</v>
      </c>
      <c r="H237" s="134"/>
      <c r="I237" s="134"/>
      <c r="J237" s="6">
        <f t="shared" si="91"/>
        <v>-10000000</v>
      </c>
      <c r="K237" s="10"/>
    </row>
    <row r="238" spans="1:11" x14ac:dyDescent="0.25">
      <c r="A238" s="749" t="s">
        <v>407</v>
      </c>
      <c r="B238" s="133" t="s">
        <v>424</v>
      </c>
      <c r="C238" s="178">
        <v>4125000</v>
      </c>
      <c r="D238" s="134"/>
      <c r="E238" s="134"/>
      <c r="F238" s="134"/>
      <c r="G238" s="181">
        <v>4125000</v>
      </c>
      <c r="H238" s="134"/>
      <c r="I238" s="134"/>
      <c r="J238" s="6">
        <f t="shared" si="91"/>
        <v>0</v>
      </c>
      <c r="K238" s="10"/>
    </row>
    <row r="239" spans="1:11" x14ac:dyDescent="0.25">
      <c r="A239" s="70"/>
      <c r="B239" s="836" t="s">
        <v>136</v>
      </c>
      <c r="C239" s="43">
        <f>SUM(C227:C238)</f>
        <v>185000000</v>
      </c>
      <c r="D239" s="12">
        <f>SUM(D227:D236)</f>
        <v>81.27027027027026</v>
      </c>
      <c r="E239" s="134"/>
      <c r="F239" s="134"/>
      <c r="G239" s="837">
        <f>SUM(G227:G238)</f>
        <v>57071500</v>
      </c>
      <c r="H239" s="134"/>
      <c r="I239" s="134"/>
      <c r="J239" s="734"/>
      <c r="K239" s="3"/>
    </row>
    <row r="240" spans="1:11" x14ac:dyDescent="0.25">
      <c r="A240" s="53"/>
      <c r="B240" s="5"/>
      <c r="C240" s="189"/>
      <c r="D240" s="29"/>
      <c r="E240" s="30"/>
      <c r="F240" s="23"/>
      <c r="G240" s="11"/>
      <c r="H240" s="32"/>
      <c r="I240" s="23"/>
      <c r="J240" s="15"/>
      <c r="K240" s="37"/>
    </row>
    <row r="241" spans="1:14" ht="31.5" x14ac:dyDescent="0.25">
      <c r="A241" s="55"/>
      <c r="B241" s="46" t="s">
        <v>145</v>
      </c>
      <c r="C241" s="155"/>
      <c r="D241" s="44"/>
      <c r="E241" s="45"/>
      <c r="F241" s="45"/>
      <c r="G241" s="48"/>
      <c r="H241" s="45"/>
      <c r="I241" s="45"/>
      <c r="J241" s="44"/>
      <c r="K241" s="44"/>
      <c r="L241" s="1"/>
      <c r="M241" s="1"/>
      <c r="N241" s="1"/>
    </row>
    <row r="242" spans="1:14" x14ac:dyDescent="0.25">
      <c r="A242" s="1087" t="s">
        <v>2</v>
      </c>
      <c r="B242" s="1089" t="s">
        <v>169</v>
      </c>
      <c r="C242" s="1087" t="s">
        <v>4</v>
      </c>
      <c r="D242" s="1090" t="s">
        <v>5</v>
      </c>
      <c r="E242" s="1090"/>
      <c r="F242" s="1090"/>
      <c r="G242" s="1091" t="s">
        <v>6</v>
      </c>
      <c r="H242" s="1091"/>
      <c r="I242" s="1091"/>
      <c r="J242" s="1087" t="s">
        <v>7</v>
      </c>
      <c r="K242" s="108" t="s">
        <v>8</v>
      </c>
    </row>
    <row r="243" spans="1:14" x14ac:dyDescent="0.25">
      <c r="A243" s="1087"/>
      <c r="B243" s="1089"/>
      <c r="C243" s="1087"/>
      <c r="D243" s="108" t="s">
        <v>9</v>
      </c>
      <c r="E243" s="300" t="s">
        <v>10</v>
      </c>
      <c r="F243" s="300" t="s">
        <v>11</v>
      </c>
      <c r="G243" s="301" t="s">
        <v>12</v>
      </c>
      <c r="H243" s="300" t="s">
        <v>13</v>
      </c>
      <c r="I243" s="300" t="s">
        <v>11</v>
      </c>
      <c r="J243" s="1088"/>
      <c r="K243" s="109"/>
    </row>
    <row r="244" spans="1:14" x14ac:dyDescent="0.25">
      <c r="A244" s="1087"/>
      <c r="B244" s="1089"/>
      <c r="C244" s="1087"/>
      <c r="D244" s="112" t="s">
        <v>14</v>
      </c>
      <c r="E244" s="113" t="s">
        <v>14</v>
      </c>
      <c r="F244" s="113" t="s">
        <v>14</v>
      </c>
      <c r="G244" s="114" t="s">
        <v>15</v>
      </c>
      <c r="H244" s="113" t="s">
        <v>14</v>
      </c>
      <c r="I244" s="113" t="s">
        <v>14</v>
      </c>
      <c r="J244" s="112" t="s">
        <v>15</v>
      </c>
      <c r="K244" s="112"/>
    </row>
    <row r="245" spans="1:14" x14ac:dyDescent="0.25">
      <c r="A245" s="79" t="s">
        <v>185</v>
      </c>
      <c r="B245" s="199" t="s">
        <v>146</v>
      </c>
      <c r="C245" s="24"/>
      <c r="D245" s="10"/>
      <c r="E245" s="34"/>
      <c r="F245" s="34"/>
      <c r="G245" s="6"/>
      <c r="H245" s="34"/>
      <c r="I245" s="34"/>
      <c r="J245" s="10"/>
      <c r="K245" s="10"/>
    </row>
    <row r="246" spans="1:14" x14ac:dyDescent="0.25">
      <c r="A246" s="125" t="s">
        <v>184</v>
      </c>
      <c r="B246" s="280" t="s">
        <v>147</v>
      </c>
      <c r="C246" s="252">
        <f>SUM(C247:C248)</f>
        <v>2905640000</v>
      </c>
      <c r="D246" s="10"/>
      <c r="E246" s="34"/>
      <c r="F246" s="34"/>
      <c r="G246" s="6"/>
      <c r="H246" s="34"/>
      <c r="I246" s="34"/>
      <c r="J246" s="10"/>
      <c r="K246" s="10"/>
    </row>
    <row r="247" spans="1:14" ht="25.5" x14ac:dyDescent="0.25">
      <c r="A247" s="313" t="s">
        <v>44</v>
      </c>
      <c r="B247" s="707" t="s">
        <v>384</v>
      </c>
      <c r="C247" s="253">
        <v>35640000</v>
      </c>
      <c r="D247" s="134">
        <f>C247/C246*100</f>
        <v>1.2265800305612533</v>
      </c>
      <c r="E247" s="134">
        <f t="shared" ref="E247:E248" si="92">G247/C247*100</f>
        <v>0</v>
      </c>
      <c r="F247" s="134">
        <f t="shared" ref="F247:F248" si="93">(D247*E247)/100</f>
        <v>0</v>
      </c>
      <c r="G247" s="181">
        <v>0</v>
      </c>
      <c r="H247" s="134">
        <f t="shared" ref="H247:H248" si="94">G247/C247*100</f>
        <v>0</v>
      </c>
      <c r="I247" s="134">
        <f t="shared" ref="I247:I248" si="95">(D247*H247)/100</f>
        <v>0</v>
      </c>
      <c r="J247" s="6">
        <f t="shared" ref="J247:J248" si="96">G247-C247</f>
        <v>-35640000</v>
      </c>
      <c r="K247" s="10"/>
    </row>
    <row r="248" spans="1:14" x14ac:dyDescent="0.25">
      <c r="A248" s="49" t="s">
        <v>148</v>
      </c>
      <c r="B248" s="133" t="s">
        <v>534</v>
      </c>
      <c r="C248" s="256">
        <v>2870000000</v>
      </c>
      <c r="D248" s="268">
        <f>C248/C246*100</f>
        <v>98.773419969438748</v>
      </c>
      <c r="E248" s="134">
        <f t="shared" si="92"/>
        <v>0</v>
      </c>
      <c r="F248" s="134">
        <f t="shared" si="93"/>
        <v>0</v>
      </c>
      <c r="G248" s="181">
        <v>0</v>
      </c>
      <c r="H248" s="134">
        <f t="shared" si="94"/>
        <v>0</v>
      </c>
      <c r="I248" s="134">
        <f t="shared" si="95"/>
        <v>0</v>
      </c>
      <c r="J248" s="6">
        <f t="shared" si="96"/>
        <v>-2870000000</v>
      </c>
      <c r="K248" s="3"/>
    </row>
    <row r="249" spans="1:14" x14ac:dyDescent="0.25">
      <c r="A249" s="71"/>
      <c r="B249" s="76" t="s">
        <v>95</v>
      </c>
      <c r="C249" s="808">
        <f>SUM(C247:C248)</f>
        <v>2905640000</v>
      </c>
      <c r="D249" s="274">
        <f>SUM(D247:D248)</f>
        <v>100</v>
      </c>
      <c r="E249" s="134"/>
      <c r="F249" s="134"/>
      <c r="G249" s="181">
        <v>0</v>
      </c>
      <c r="H249" s="134"/>
      <c r="I249" s="134"/>
      <c r="J249" s="734"/>
      <c r="K249" s="40"/>
    </row>
    <row r="250" spans="1:14" x14ac:dyDescent="0.25">
      <c r="A250" s="53"/>
      <c r="B250" s="5"/>
      <c r="C250" s="189"/>
      <c r="D250" s="29"/>
      <c r="E250" s="30"/>
      <c r="F250" s="23"/>
      <c r="G250" s="11"/>
      <c r="H250" s="32"/>
      <c r="I250" s="23"/>
      <c r="J250" s="15"/>
      <c r="K250" s="37"/>
    </row>
    <row r="251" spans="1:14" x14ac:dyDescent="0.25">
      <c r="A251" s="1087" t="s">
        <v>2</v>
      </c>
      <c r="B251" s="1089" t="s">
        <v>169</v>
      </c>
      <c r="C251" s="1087" t="s">
        <v>4</v>
      </c>
      <c r="D251" s="1090" t="s">
        <v>5</v>
      </c>
      <c r="E251" s="1090"/>
      <c r="F251" s="1090"/>
      <c r="G251" s="1091" t="s">
        <v>6</v>
      </c>
      <c r="H251" s="1091"/>
      <c r="I251" s="1091"/>
      <c r="J251" s="1087" t="s">
        <v>7</v>
      </c>
      <c r="K251" s="108" t="s">
        <v>8</v>
      </c>
    </row>
    <row r="252" spans="1:14" x14ac:dyDescent="0.25">
      <c r="A252" s="1087"/>
      <c r="B252" s="1089"/>
      <c r="C252" s="1087"/>
      <c r="D252" s="108" t="s">
        <v>9</v>
      </c>
      <c r="E252" s="300" t="s">
        <v>10</v>
      </c>
      <c r="F252" s="300" t="s">
        <v>11</v>
      </c>
      <c r="G252" s="301" t="s">
        <v>12</v>
      </c>
      <c r="H252" s="300" t="s">
        <v>13</v>
      </c>
      <c r="I252" s="300" t="s">
        <v>11</v>
      </c>
      <c r="J252" s="1088"/>
      <c r="K252" s="109"/>
    </row>
    <row r="253" spans="1:14" x14ac:dyDescent="0.25">
      <c r="A253" s="1087"/>
      <c r="B253" s="1089"/>
      <c r="C253" s="1087"/>
      <c r="D253" s="112" t="s">
        <v>14</v>
      </c>
      <c r="E253" s="113" t="s">
        <v>14</v>
      </c>
      <c r="F253" s="113" t="s">
        <v>14</v>
      </c>
      <c r="G253" s="114" t="s">
        <v>15</v>
      </c>
      <c r="H253" s="113" t="s">
        <v>14</v>
      </c>
      <c r="I253" s="113" t="s">
        <v>14</v>
      </c>
      <c r="J253" s="112" t="s">
        <v>15</v>
      </c>
      <c r="K253" s="112"/>
    </row>
    <row r="254" spans="1:14" x14ac:dyDescent="0.25">
      <c r="A254" s="79" t="s">
        <v>185</v>
      </c>
      <c r="B254" s="199" t="s">
        <v>146</v>
      </c>
      <c r="C254" s="24"/>
      <c r="D254" s="10"/>
      <c r="E254" s="34"/>
      <c r="F254" s="34"/>
      <c r="G254" s="6"/>
      <c r="H254" s="34"/>
      <c r="I254" s="34"/>
      <c r="J254" s="10"/>
      <c r="K254" s="10"/>
    </row>
    <row r="255" spans="1:14" x14ac:dyDescent="0.25">
      <c r="A255" s="125" t="s">
        <v>187</v>
      </c>
      <c r="B255" s="280" t="s">
        <v>150</v>
      </c>
      <c r="C255" s="252">
        <f>SUM(C256:C260)</f>
        <v>1761745176</v>
      </c>
      <c r="D255" s="10"/>
      <c r="E255" s="34"/>
      <c r="F255" s="34"/>
      <c r="G255" s="6"/>
      <c r="H255" s="34"/>
      <c r="I255" s="34"/>
      <c r="J255" s="10"/>
      <c r="K255" s="10"/>
    </row>
    <row r="256" spans="1:14" ht="25.5" x14ac:dyDescent="0.25">
      <c r="A256" s="313" t="s">
        <v>44</v>
      </c>
      <c r="B256" s="707" t="s">
        <v>384</v>
      </c>
      <c r="C256" s="253">
        <v>30210000</v>
      </c>
      <c r="D256" s="134">
        <f>C256/C255*100</f>
        <v>1.7147769388868757</v>
      </c>
      <c r="E256" s="134">
        <f t="shared" ref="E256:E259" si="97">G256/C256*100</f>
        <v>0</v>
      </c>
      <c r="F256" s="134">
        <f t="shared" ref="F256:F259" si="98">(D256*E256)/100</f>
        <v>0</v>
      </c>
      <c r="G256" s="181">
        <v>0</v>
      </c>
      <c r="H256" s="134">
        <f t="shared" ref="H256:H259" si="99">G256/C256*100</f>
        <v>0</v>
      </c>
      <c r="I256" s="134">
        <f t="shared" ref="I256:I259" si="100">(D256*H256)/100</f>
        <v>0</v>
      </c>
      <c r="J256" s="6">
        <f t="shared" ref="J256:J260" si="101">G256-C256</f>
        <v>-30210000</v>
      </c>
      <c r="K256" s="10"/>
    </row>
    <row r="257" spans="1:11" x14ac:dyDescent="0.25">
      <c r="A257" s="313" t="s">
        <v>59</v>
      </c>
      <c r="B257" s="707" t="s">
        <v>197</v>
      </c>
      <c r="C257" s="253">
        <v>690000</v>
      </c>
      <c r="D257" s="134">
        <f>C257/C255*100</f>
        <v>3.9165709627009077E-2</v>
      </c>
      <c r="E257" s="134">
        <f t="shared" si="97"/>
        <v>0</v>
      </c>
      <c r="F257" s="134">
        <f t="shared" si="98"/>
        <v>0</v>
      </c>
      <c r="G257" s="181">
        <v>0</v>
      </c>
      <c r="H257" s="134">
        <f t="shared" si="99"/>
        <v>0</v>
      </c>
      <c r="I257" s="134">
        <f t="shared" si="100"/>
        <v>0</v>
      </c>
      <c r="J257" s="6">
        <f t="shared" si="101"/>
        <v>-690000</v>
      </c>
      <c r="K257" s="10"/>
    </row>
    <row r="258" spans="1:11" ht="25.5" x14ac:dyDescent="0.25">
      <c r="A258" s="312" t="s">
        <v>157</v>
      </c>
      <c r="B258" s="133" t="s">
        <v>534</v>
      </c>
      <c r="C258" s="256">
        <v>1230000000</v>
      </c>
      <c r="D258" s="134">
        <f>C258/C255*100</f>
        <v>69.817134552494437</v>
      </c>
      <c r="E258" s="134">
        <f t="shared" si="97"/>
        <v>0</v>
      </c>
      <c r="F258" s="134">
        <f t="shared" si="98"/>
        <v>0</v>
      </c>
      <c r="G258" s="181">
        <v>0</v>
      </c>
      <c r="H258" s="134">
        <f t="shared" si="99"/>
        <v>0</v>
      </c>
      <c r="I258" s="134">
        <f t="shared" si="100"/>
        <v>0</v>
      </c>
      <c r="J258" s="6">
        <f t="shared" si="101"/>
        <v>-1230000000</v>
      </c>
      <c r="K258" s="10"/>
    </row>
    <row r="259" spans="1:11" s="84" customFormat="1" ht="25.5" x14ac:dyDescent="0.2">
      <c r="A259" s="312" t="s">
        <v>152</v>
      </c>
      <c r="B259" s="133" t="s">
        <v>159</v>
      </c>
      <c r="C259" s="256">
        <v>492000000</v>
      </c>
      <c r="D259" s="134">
        <f>C259/C255*100</f>
        <v>27.926853820997778</v>
      </c>
      <c r="E259" s="134">
        <f t="shared" si="97"/>
        <v>0</v>
      </c>
      <c r="F259" s="134">
        <f t="shared" si="98"/>
        <v>0</v>
      </c>
      <c r="G259" s="181">
        <v>0</v>
      </c>
      <c r="H259" s="134">
        <f t="shared" si="99"/>
        <v>0</v>
      </c>
      <c r="I259" s="134">
        <f t="shared" si="100"/>
        <v>0</v>
      </c>
      <c r="J259" s="6">
        <f t="shared" si="101"/>
        <v>-492000000</v>
      </c>
      <c r="K259" s="38"/>
    </row>
    <row r="260" spans="1:11" s="84" customFormat="1" x14ac:dyDescent="0.2">
      <c r="A260" s="749" t="s">
        <v>234</v>
      </c>
      <c r="B260" s="133" t="s">
        <v>522</v>
      </c>
      <c r="C260" s="256">
        <v>8845176</v>
      </c>
      <c r="D260" s="804"/>
      <c r="E260" s="134"/>
      <c r="F260" s="134"/>
      <c r="G260" s="181"/>
      <c r="H260" s="134"/>
      <c r="I260" s="134"/>
      <c r="J260" s="6">
        <f t="shared" si="101"/>
        <v>-8845176</v>
      </c>
      <c r="K260" s="805"/>
    </row>
    <row r="261" spans="1:11" x14ac:dyDescent="0.25">
      <c r="A261" s="70"/>
      <c r="B261" s="129" t="s">
        <v>95</v>
      </c>
      <c r="C261" s="807">
        <f>SUM(C256:C260)</f>
        <v>1761745176</v>
      </c>
      <c r="D261" s="271">
        <f>SUM(D256:D259)</f>
        <v>99.4979310220061</v>
      </c>
      <c r="E261" s="134"/>
      <c r="F261" s="134"/>
      <c r="G261" s="181">
        <v>0</v>
      </c>
      <c r="H261" s="134"/>
      <c r="I261" s="134"/>
      <c r="J261" s="56">
        <v>0</v>
      </c>
      <c r="K261" s="130"/>
    </row>
    <row r="262" spans="1:11" x14ac:dyDescent="0.25">
      <c r="A262" s="53"/>
      <c r="B262" s="5"/>
      <c r="C262" s="189"/>
      <c r="D262" s="29"/>
      <c r="E262" s="30"/>
      <c r="F262" s="23"/>
      <c r="G262" s="11"/>
      <c r="H262" s="32"/>
      <c r="I262" s="23"/>
      <c r="J262" s="15"/>
      <c r="K262" s="37"/>
    </row>
    <row r="263" spans="1:11" x14ac:dyDescent="0.25">
      <c r="A263" s="50"/>
      <c r="B263" s="5"/>
      <c r="C263" s="50"/>
      <c r="D263" s="9"/>
      <c r="E263" s="23"/>
      <c r="F263" s="23"/>
      <c r="G263" s="11"/>
      <c r="H263" s="23"/>
      <c r="I263" s="23"/>
      <c r="J263" s="9"/>
      <c r="K263" s="9"/>
    </row>
    <row r="264" spans="1:11" x14ac:dyDescent="0.25">
      <c r="A264" s="50"/>
      <c r="B264" s="5"/>
      <c r="C264" s="50"/>
      <c r="D264" s="9"/>
      <c r="E264" s="23"/>
      <c r="F264" s="23"/>
      <c r="G264" s="11"/>
      <c r="H264" s="23"/>
      <c r="I264" s="23"/>
      <c r="J264" s="9"/>
      <c r="K264" s="9"/>
    </row>
    <row r="265" spans="1:11" x14ac:dyDescent="0.25">
      <c r="A265" s="1103" t="s">
        <v>2</v>
      </c>
      <c r="B265" s="1116" t="s">
        <v>137</v>
      </c>
      <c r="C265" s="1103" t="s">
        <v>4</v>
      </c>
      <c r="D265" s="1105" t="s">
        <v>5</v>
      </c>
      <c r="E265" s="1106"/>
      <c r="F265" s="1106"/>
      <c r="G265" s="1107" t="s">
        <v>6</v>
      </c>
      <c r="H265" s="1106"/>
      <c r="I265" s="1106"/>
      <c r="J265" s="1108" t="s">
        <v>7</v>
      </c>
      <c r="K265" s="1108" t="s">
        <v>8</v>
      </c>
    </row>
    <row r="266" spans="1:11" x14ac:dyDescent="0.25">
      <c r="A266" s="1103"/>
      <c r="B266" s="1117"/>
      <c r="C266" s="1103"/>
      <c r="D266" s="102" t="s">
        <v>9</v>
      </c>
      <c r="E266" s="103" t="s">
        <v>10</v>
      </c>
      <c r="F266" s="103" t="s">
        <v>11</v>
      </c>
      <c r="G266" s="104" t="s">
        <v>12</v>
      </c>
      <c r="H266" s="103" t="s">
        <v>13</v>
      </c>
      <c r="I266" s="103" t="s">
        <v>11</v>
      </c>
      <c r="J266" s="1109"/>
      <c r="K266" s="1109"/>
    </row>
    <row r="267" spans="1:11" x14ac:dyDescent="0.25">
      <c r="A267" s="1103"/>
      <c r="B267" s="1118"/>
      <c r="C267" s="1103"/>
      <c r="D267" s="105" t="s">
        <v>14</v>
      </c>
      <c r="E267" s="106" t="s">
        <v>14</v>
      </c>
      <c r="F267" s="106" t="s">
        <v>14</v>
      </c>
      <c r="G267" s="107" t="s">
        <v>15</v>
      </c>
      <c r="H267" s="106" t="s">
        <v>14</v>
      </c>
      <c r="I267" s="106" t="s">
        <v>14</v>
      </c>
      <c r="J267" s="105" t="s">
        <v>15</v>
      </c>
      <c r="K267" s="1110"/>
    </row>
    <row r="268" spans="1:11" ht="25.5" x14ac:dyDescent="0.25">
      <c r="A268" s="79" t="s">
        <v>180</v>
      </c>
      <c r="B268" s="696" t="s">
        <v>379</v>
      </c>
      <c r="C268" s="64"/>
      <c r="D268" s="10"/>
      <c r="E268" s="34"/>
      <c r="F268" s="34"/>
      <c r="G268" s="6"/>
      <c r="H268" s="34"/>
      <c r="I268" s="34"/>
      <c r="J268" s="10"/>
      <c r="K268" s="10"/>
    </row>
    <row r="269" spans="1:11" ht="25.5" x14ac:dyDescent="0.25">
      <c r="A269" s="140" t="s">
        <v>181</v>
      </c>
      <c r="B269" s="697" t="s">
        <v>380</v>
      </c>
      <c r="C269" s="86">
        <f>SUM(C270:C282)</f>
        <v>185000000</v>
      </c>
      <c r="D269" s="179"/>
      <c r="E269" s="168"/>
      <c r="F269" s="168"/>
      <c r="G269" s="169"/>
      <c r="H269" s="168"/>
      <c r="I269" s="168"/>
      <c r="J269" s="167"/>
      <c r="K269" s="167"/>
    </row>
    <row r="270" spans="1:11" ht="25.5" x14ac:dyDescent="0.25">
      <c r="A270" s="170" t="s">
        <v>44</v>
      </c>
      <c r="B270" s="707" t="s">
        <v>384</v>
      </c>
      <c r="C270" s="58">
        <v>8580000</v>
      </c>
      <c r="D270" s="180">
        <f>C270/C269*100</f>
        <v>4.6378378378378375</v>
      </c>
      <c r="E270" s="134">
        <f t="shared" ref="E270:E281" si="102">G270/C270*100</f>
        <v>0</v>
      </c>
      <c r="F270" s="134">
        <f t="shared" ref="F270:F281" si="103">(D270*E270)/100</f>
        <v>0</v>
      </c>
      <c r="G270" s="181">
        <v>0</v>
      </c>
      <c r="H270" s="134">
        <f t="shared" ref="H270:H281" si="104">G270/C270*100</f>
        <v>0</v>
      </c>
      <c r="I270" s="134">
        <f t="shared" ref="I270:I281" si="105">(D270*H270)/100</f>
        <v>0</v>
      </c>
      <c r="J270" s="6">
        <f t="shared" ref="J270:J282" si="106">G270-C270</f>
        <v>-8580000</v>
      </c>
      <c r="K270" s="167"/>
    </row>
    <row r="271" spans="1:11" x14ac:dyDescent="0.25">
      <c r="A271" s="170" t="s">
        <v>221</v>
      </c>
      <c r="B271" s="707" t="s">
        <v>530</v>
      </c>
      <c r="C271" s="58">
        <v>1350000</v>
      </c>
      <c r="D271" s="180"/>
      <c r="E271" s="134"/>
      <c r="F271" s="134"/>
      <c r="G271" s="181">
        <v>0</v>
      </c>
      <c r="H271" s="134"/>
      <c r="I271" s="134"/>
      <c r="J271" s="6">
        <f t="shared" si="106"/>
        <v>-1350000</v>
      </c>
      <c r="K271" s="167"/>
    </row>
    <row r="272" spans="1:11" x14ac:dyDescent="0.25">
      <c r="A272" s="170" t="s">
        <v>59</v>
      </c>
      <c r="B272" s="707" t="s">
        <v>197</v>
      </c>
      <c r="C272" s="58">
        <v>14728000</v>
      </c>
      <c r="D272" s="729">
        <f>C272/C269*100</f>
        <v>7.9610810810810815</v>
      </c>
      <c r="E272" s="134">
        <f t="shared" si="102"/>
        <v>54.318305268875612</v>
      </c>
      <c r="F272" s="134">
        <f t="shared" si="103"/>
        <v>4.3243243243243246</v>
      </c>
      <c r="G272" s="181">
        <f>8000000</f>
        <v>8000000</v>
      </c>
      <c r="H272" s="134">
        <f t="shared" si="104"/>
        <v>54.318305268875612</v>
      </c>
      <c r="I272" s="134">
        <f t="shared" si="105"/>
        <v>4.3243243243243246</v>
      </c>
      <c r="J272" s="6">
        <f t="shared" si="106"/>
        <v>-6728000</v>
      </c>
      <c r="K272" s="167"/>
    </row>
    <row r="273" spans="1:14" x14ac:dyDescent="0.25">
      <c r="A273" s="170" t="s">
        <v>62</v>
      </c>
      <c r="B273" s="707" t="s">
        <v>334</v>
      </c>
      <c r="C273" s="58">
        <v>8500000</v>
      </c>
      <c r="D273" s="729">
        <f>C273/C269*100</f>
        <v>4.5945945945945947</v>
      </c>
      <c r="E273" s="134">
        <f t="shared" si="102"/>
        <v>58.82352941176471</v>
      </c>
      <c r="F273" s="134">
        <f t="shared" si="103"/>
        <v>2.7027027027027031</v>
      </c>
      <c r="G273" s="181">
        <f>5000000</f>
        <v>5000000</v>
      </c>
      <c r="H273" s="134">
        <f t="shared" si="104"/>
        <v>58.82352941176471</v>
      </c>
      <c r="I273" s="134">
        <f t="shared" si="105"/>
        <v>2.7027027027027031</v>
      </c>
      <c r="J273" s="6">
        <f t="shared" si="106"/>
        <v>-3500000</v>
      </c>
      <c r="K273" s="167"/>
    </row>
    <row r="274" spans="1:14" x14ac:dyDescent="0.25">
      <c r="A274" s="49" t="s">
        <v>148</v>
      </c>
      <c r="B274" s="133" t="s">
        <v>534</v>
      </c>
      <c r="C274" s="58">
        <v>10500000</v>
      </c>
      <c r="D274" s="729"/>
      <c r="E274" s="134"/>
      <c r="F274" s="134"/>
      <c r="G274" s="181">
        <f>10500000</f>
        <v>10500000</v>
      </c>
      <c r="H274" s="134"/>
      <c r="I274" s="134"/>
      <c r="J274" s="6">
        <f t="shared" si="106"/>
        <v>0</v>
      </c>
      <c r="K274" s="167"/>
    </row>
    <row r="275" spans="1:14" x14ac:dyDescent="0.25">
      <c r="A275" s="170" t="s">
        <v>77</v>
      </c>
      <c r="B275" s="49" t="s">
        <v>135</v>
      </c>
      <c r="C275" s="58">
        <v>72860000</v>
      </c>
      <c r="D275" s="729">
        <f>C275/C269*100</f>
        <v>39.383783783783784</v>
      </c>
      <c r="E275" s="134">
        <f t="shared" si="102"/>
        <v>37.965962119132584</v>
      </c>
      <c r="F275" s="134">
        <f t="shared" si="103"/>
        <v>14.952432432432433</v>
      </c>
      <c r="G275" s="181">
        <f>27662000</f>
        <v>27662000</v>
      </c>
      <c r="H275" s="134">
        <f t="shared" si="104"/>
        <v>37.965962119132584</v>
      </c>
      <c r="I275" s="134">
        <f t="shared" si="105"/>
        <v>14.952432432432433</v>
      </c>
      <c r="J275" s="6">
        <f t="shared" si="106"/>
        <v>-45198000</v>
      </c>
      <c r="K275" s="167"/>
    </row>
    <row r="276" spans="1:14" x14ac:dyDescent="0.25">
      <c r="A276" s="170" t="s">
        <v>104</v>
      </c>
      <c r="B276" s="170" t="s">
        <v>179</v>
      </c>
      <c r="C276" s="58">
        <v>34200000</v>
      </c>
      <c r="D276" s="729">
        <f>C276/C269*100</f>
        <v>18.486486486486488</v>
      </c>
      <c r="E276" s="134">
        <f t="shared" si="102"/>
        <v>26.608187134502927</v>
      </c>
      <c r="F276" s="134">
        <f t="shared" si="103"/>
        <v>4.9189189189189202</v>
      </c>
      <c r="G276" s="181">
        <f>9100000</f>
        <v>9100000</v>
      </c>
      <c r="H276" s="134">
        <f t="shared" si="104"/>
        <v>26.608187134502927</v>
      </c>
      <c r="I276" s="134">
        <f t="shared" si="105"/>
        <v>4.9189189189189202</v>
      </c>
      <c r="J276" s="6">
        <f t="shared" si="106"/>
        <v>-25100000</v>
      </c>
      <c r="K276" s="167"/>
    </row>
    <row r="277" spans="1:14" x14ac:dyDescent="0.25">
      <c r="A277" s="170" t="s">
        <v>130</v>
      </c>
      <c r="B277" s="170" t="s">
        <v>131</v>
      </c>
      <c r="C277" s="58">
        <v>3000000</v>
      </c>
      <c r="D277" s="729">
        <f>C277/C269*100</f>
        <v>1.6216216216216217</v>
      </c>
      <c r="E277" s="134">
        <f t="shared" si="102"/>
        <v>0</v>
      </c>
      <c r="F277" s="134">
        <f t="shared" si="103"/>
        <v>0</v>
      </c>
      <c r="G277" s="181">
        <v>0</v>
      </c>
      <c r="H277" s="134">
        <f t="shared" si="104"/>
        <v>0</v>
      </c>
      <c r="I277" s="134">
        <f t="shared" si="105"/>
        <v>0</v>
      </c>
      <c r="J277" s="6">
        <f t="shared" si="106"/>
        <v>-3000000</v>
      </c>
      <c r="K277" s="167"/>
    </row>
    <row r="278" spans="1:14" ht="25.5" x14ac:dyDescent="0.25">
      <c r="A278" s="170" t="s">
        <v>106</v>
      </c>
      <c r="B278" s="316" t="s">
        <v>375</v>
      </c>
      <c r="C278" s="58">
        <v>13950000</v>
      </c>
      <c r="D278" s="180">
        <f>C278/C269*100</f>
        <v>7.5405405405405395</v>
      </c>
      <c r="E278" s="134">
        <f t="shared" si="102"/>
        <v>48.387096774193552</v>
      </c>
      <c r="F278" s="134">
        <f t="shared" si="103"/>
        <v>3.6486486486486482</v>
      </c>
      <c r="G278" s="181">
        <f>6750000</f>
        <v>6750000</v>
      </c>
      <c r="H278" s="134">
        <f t="shared" si="104"/>
        <v>48.387096774193552</v>
      </c>
      <c r="I278" s="134">
        <f t="shared" si="105"/>
        <v>3.6486486486486482</v>
      </c>
      <c r="J278" s="6">
        <f t="shared" si="106"/>
        <v>-7200000</v>
      </c>
      <c r="K278" s="167"/>
    </row>
    <row r="279" spans="1:14" x14ac:dyDescent="0.25">
      <c r="A279" s="170" t="s">
        <v>162</v>
      </c>
      <c r="B279" s="170" t="s">
        <v>535</v>
      </c>
      <c r="C279" s="178">
        <v>2800000</v>
      </c>
      <c r="D279" s="729">
        <f>C279/C269*100</f>
        <v>1.5135135135135136</v>
      </c>
      <c r="E279" s="134">
        <f t="shared" si="102"/>
        <v>100</v>
      </c>
      <c r="F279" s="134">
        <f t="shared" si="103"/>
        <v>1.5135135135135136</v>
      </c>
      <c r="G279" s="181">
        <f>2800000</f>
        <v>2800000</v>
      </c>
      <c r="H279" s="134">
        <f t="shared" si="104"/>
        <v>100</v>
      </c>
      <c r="I279" s="134">
        <f t="shared" si="105"/>
        <v>1.5135135135135136</v>
      </c>
      <c r="J279" s="6">
        <f t="shared" si="106"/>
        <v>0</v>
      </c>
      <c r="K279" s="167"/>
    </row>
    <row r="280" spans="1:14" ht="25.5" x14ac:dyDescent="0.25">
      <c r="A280" s="170" t="s">
        <v>116</v>
      </c>
      <c r="B280" s="750" t="s">
        <v>420</v>
      </c>
      <c r="C280" s="178">
        <v>1057000</v>
      </c>
      <c r="D280" s="729">
        <f>C280/C270*100</f>
        <v>12.319347319347319</v>
      </c>
      <c r="E280" s="134"/>
      <c r="F280" s="134"/>
      <c r="G280" s="181">
        <v>0</v>
      </c>
      <c r="H280" s="134"/>
      <c r="I280" s="134"/>
      <c r="J280" s="6">
        <f t="shared" si="106"/>
        <v>-1057000</v>
      </c>
      <c r="K280" s="167"/>
    </row>
    <row r="281" spans="1:14" x14ac:dyDescent="0.25">
      <c r="A281" s="170" t="s">
        <v>65</v>
      </c>
      <c r="B281" s="170" t="s">
        <v>190</v>
      </c>
      <c r="C281" s="178">
        <v>7000000</v>
      </c>
      <c r="D281" s="729">
        <f>C281/C269*100</f>
        <v>3.7837837837837842</v>
      </c>
      <c r="E281" s="134">
        <f t="shared" si="102"/>
        <v>0</v>
      </c>
      <c r="F281" s="134">
        <f t="shared" si="103"/>
        <v>0</v>
      </c>
      <c r="G281" s="181">
        <v>0</v>
      </c>
      <c r="H281" s="134">
        <f t="shared" si="104"/>
        <v>0</v>
      </c>
      <c r="I281" s="134">
        <f t="shared" si="105"/>
        <v>0</v>
      </c>
      <c r="J281" s="6">
        <f t="shared" si="106"/>
        <v>-7000000</v>
      </c>
      <c r="K281" s="167"/>
    </row>
    <row r="282" spans="1:14" x14ac:dyDescent="0.25">
      <c r="A282" s="68" t="s">
        <v>301</v>
      </c>
      <c r="B282" s="170" t="s">
        <v>409</v>
      </c>
      <c r="C282" s="58">
        <v>6475000</v>
      </c>
      <c r="D282" s="269"/>
      <c r="E282" s="134"/>
      <c r="F282" s="134"/>
      <c r="G282" s="181">
        <f>6475000</f>
        <v>6475000</v>
      </c>
      <c r="H282" s="134"/>
      <c r="I282" s="134"/>
      <c r="J282" s="6">
        <f t="shared" si="106"/>
        <v>0</v>
      </c>
      <c r="K282" s="167"/>
    </row>
    <row r="283" spans="1:14" x14ac:dyDescent="0.25">
      <c r="A283" s="68"/>
      <c r="B283" s="67" t="s">
        <v>128</v>
      </c>
      <c r="C283" s="60">
        <f>SUM(C270:C282)</f>
        <v>185000000</v>
      </c>
      <c r="D283" s="270">
        <f>SUM(D270:D281)</f>
        <v>101.84259056259057</v>
      </c>
      <c r="E283" s="134"/>
      <c r="F283" s="134"/>
      <c r="G283" s="837">
        <f>SUM(G270:G282)</f>
        <v>76287000</v>
      </c>
      <c r="H283" s="134"/>
      <c r="I283" s="134"/>
      <c r="J283" s="56">
        <v>0</v>
      </c>
      <c r="K283" s="3"/>
    </row>
    <row r="284" spans="1:14" x14ac:dyDescent="0.25">
      <c r="A284" s="190"/>
      <c r="B284" s="2"/>
      <c r="C284" s="59"/>
      <c r="D284" s="41"/>
      <c r="E284" s="31"/>
      <c r="F284" s="31"/>
      <c r="G284" s="36"/>
      <c r="H284" s="31"/>
      <c r="I284" s="31"/>
      <c r="J284" s="33"/>
      <c r="K284" s="37"/>
    </row>
    <row r="285" spans="1:14" ht="31.5" x14ac:dyDescent="0.25">
      <c r="A285" s="55"/>
      <c r="B285" s="46" t="s">
        <v>145</v>
      </c>
      <c r="C285" s="155"/>
      <c r="D285" s="44"/>
      <c r="E285" s="45"/>
      <c r="F285" s="45"/>
      <c r="G285" s="48"/>
      <c r="H285" s="45"/>
      <c r="I285" s="45"/>
      <c r="J285" s="44"/>
      <c r="K285" s="44"/>
      <c r="L285" s="1"/>
      <c r="M285" s="1"/>
      <c r="N285" s="1"/>
    </row>
    <row r="286" spans="1:14" x14ac:dyDescent="0.25">
      <c r="A286" s="1111" t="s">
        <v>2</v>
      </c>
      <c r="B286" s="1104" t="s">
        <v>170</v>
      </c>
      <c r="C286" s="1111" t="s">
        <v>4</v>
      </c>
      <c r="D286" s="1112" t="s">
        <v>5</v>
      </c>
      <c r="E286" s="1113"/>
      <c r="F286" s="1113"/>
      <c r="G286" s="1114" t="s">
        <v>6</v>
      </c>
      <c r="H286" s="1113"/>
      <c r="I286" s="1113"/>
      <c r="J286" s="1111" t="s">
        <v>7</v>
      </c>
      <c r="K286" s="285" t="s">
        <v>8</v>
      </c>
    </row>
    <row r="287" spans="1:14" x14ac:dyDescent="0.25">
      <c r="A287" s="1111"/>
      <c r="B287" s="1104"/>
      <c r="C287" s="1111"/>
      <c r="D287" s="285" t="s">
        <v>9</v>
      </c>
      <c r="E287" s="304" t="s">
        <v>10</v>
      </c>
      <c r="F287" s="304" t="s">
        <v>11</v>
      </c>
      <c r="G287" s="305" t="s">
        <v>12</v>
      </c>
      <c r="H287" s="304" t="s">
        <v>13</v>
      </c>
      <c r="I287" s="304" t="s">
        <v>11</v>
      </c>
      <c r="J287" s="1115"/>
      <c r="K287" s="287"/>
    </row>
    <row r="288" spans="1:14" x14ac:dyDescent="0.25">
      <c r="A288" s="1111"/>
      <c r="B288" s="1104"/>
      <c r="C288" s="1111"/>
      <c r="D288" s="286" t="s">
        <v>14</v>
      </c>
      <c r="E288" s="302" t="s">
        <v>14</v>
      </c>
      <c r="F288" s="302" t="s">
        <v>14</v>
      </c>
      <c r="G288" s="303" t="s">
        <v>15</v>
      </c>
      <c r="H288" s="302" t="s">
        <v>14</v>
      </c>
      <c r="I288" s="302" t="s">
        <v>14</v>
      </c>
      <c r="J288" s="286" t="s">
        <v>15</v>
      </c>
      <c r="K288" s="286"/>
    </row>
    <row r="289" spans="1:11" x14ac:dyDescent="0.25">
      <c r="A289" s="144" t="s">
        <v>185</v>
      </c>
      <c r="B289" s="199" t="s">
        <v>146</v>
      </c>
      <c r="C289" s="145"/>
      <c r="D289" s="146"/>
      <c r="E289" s="147"/>
      <c r="F289" s="147"/>
      <c r="G289" s="148"/>
      <c r="H289" s="147"/>
      <c r="I289" s="147"/>
      <c r="J289" s="146"/>
      <c r="K289" s="146"/>
    </row>
    <row r="290" spans="1:11" x14ac:dyDescent="0.25">
      <c r="A290" s="318" t="s">
        <v>184</v>
      </c>
      <c r="B290" s="280" t="s">
        <v>147</v>
      </c>
      <c r="C290" s="257">
        <f>SUM(C291:C292)</f>
        <v>2480900000</v>
      </c>
      <c r="D290" s="146"/>
      <c r="E290" s="147"/>
      <c r="F290" s="147"/>
      <c r="G290" s="148"/>
      <c r="H290" s="147"/>
      <c r="I290" s="147"/>
      <c r="J290" s="146"/>
      <c r="K290" s="146"/>
    </row>
    <row r="291" spans="1:11" ht="25.5" x14ac:dyDescent="0.25">
      <c r="A291" s="319" t="s">
        <v>44</v>
      </c>
      <c r="B291" s="707" t="s">
        <v>384</v>
      </c>
      <c r="C291" s="149">
        <v>30900000</v>
      </c>
      <c r="D291" s="267">
        <f>C291/C290*100</f>
        <v>1.2455157402555526</v>
      </c>
      <c r="E291" s="134">
        <f t="shared" ref="E291:E292" si="107">G291/C291*100</f>
        <v>0</v>
      </c>
      <c r="F291" s="134">
        <f t="shared" ref="F291:F292" si="108">(D291*E291)/100</f>
        <v>0</v>
      </c>
      <c r="G291" s="181">
        <v>0</v>
      </c>
      <c r="H291" s="134">
        <f t="shared" ref="H291:H292" si="109">G291/C291*100</f>
        <v>0</v>
      </c>
      <c r="I291" s="134">
        <f t="shared" ref="I291:I292" si="110">(D291*H291)/100</f>
        <v>0</v>
      </c>
      <c r="J291" s="6">
        <f t="shared" ref="J291:J292" si="111">G291-C291</f>
        <v>-30900000</v>
      </c>
      <c r="K291" s="146"/>
    </row>
    <row r="292" spans="1:11" x14ac:dyDescent="0.25">
      <c r="A292" s="49" t="s">
        <v>148</v>
      </c>
      <c r="B292" s="133" t="s">
        <v>534</v>
      </c>
      <c r="C292" s="149">
        <v>2450000000</v>
      </c>
      <c r="D292" s="267">
        <f>C292/C290*100</f>
        <v>98.754484259744444</v>
      </c>
      <c r="E292" s="134">
        <f t="shared" si="107"/>
        <v>0</v>
      </c>
      <c r="F292" s="134">
        <f t="shared" si="108"/>
        <v>0</v>
      </c>
      <c r="G292" s="181">
        <v>0</v>
      </c>
      <c r="H292" s="134">
        <f t="shared" si="109"/>
        <v>0</v>
      </c>
      <c r="I292" s="134">
        <f t="shared" si="110"/>
        <v>0</v>
      </c>
      <c r="J292" s="6">
        <f t="shared" si="111"/>
        <v>-2450000000</v>
      </c>
      <c r="K292" s="146"/>
    </row>
    <row r="293" spans="1:11" x14ac:dyDescent="0.25">
      <c r="A293" s="71"/>
      <c r="B293" s="76" t="s">
        <v>95</v>
      </c>
      <c r="C293" s="809">
        <f>SUM(C291:C292)</f>
        <v>2480900000</v>
      </c>
      <c r="D293" s="141">
        <f>SUM(D291:D292)</f>
        <v>100</v>
      </c>
      <c r="E293" s="134"/>
      <c r="F293" s="134"/>
      <c r="G293" s="181">
        <v>0</v>
      </c>
      <c r="H293" s="134"/>
      <c r="I293" s="134"/>
      <c r="J293" s="56">
        <v>0</v>
      </c>
      <c r="K293" s="143"/>
    </row>
    <row r="294" spans="1:11" x14ac:dyDescent="0.25">
      <c r="A294" s="190"/>
      <c r="B294" s="2"/>
      <c r="C294" s="59"/>
      <c r="D294" s="41"/>
      <c r="E294" s="31"/>
      <c r="F294" s="31"/>
      <c r="G294" s="36"/>
      <c r="H294" s="31"/>
      <c r="I294" s="31"/>
      <c r="J294" s="33"/>
      <c r="K294" s="37"/>
    </row>
    <row r="295" spans="1:11" x14ac:dyDescent="0.25">
      <c r="A295" s="1103" t="s">
        <v>2</v>
      </c>
      <c r="B295" s="1104" t="s">
        <v>170</v>
      </c>
      <c r="C295" s="1103" t="s">
        <v>4</v>
      </c>
      <c r="D295" s="1105" t="s">
        <v>5</v>
      </c>
      <c r="E295" s="1106"/>
      <c r="F295" s="1106"/>
      <c r="G295" s="1107" t="s">
        <v>6</v>
      </c>
      <c r="H295" s="1106"/>
      <c r="I295" s="1106"/>
      <c r="J295" s="1103" t="s">
        <v>7</v>
      </c>
      <c r="K295" s="288" t="s">
        <v>8</v>
      </c>
    </row>
    <row r="296" spans="1:11" x14ac:dyDescent="0.25">
      <c r="A296" s="1103"/>
      <c r="B296" s="1104"/>
      <c r="C296" s="1103"/>
      <c r="D296" s="288" t="s">
        <v>9</v>
      </c>
      <c r="E296" s="306" t="s">
        <v>10</v>
      </c>
      <c r="F296" s="306" t="s">
        <v>11</v>
      </c>
      <c r="G296" s="307" t="s">
        <v>12</v>
      </c>
      <c r="H296" s="306" t="s">
        <v>13</v>
      </c>
      <c r="I296" s="306" t="s">
        <v>11</v>
      </c>
      <c r="J296" s="1108"/>
      <c r="K296" s="102"/>
    </row>
    <row r="297" spans="1:11" x14ac:dyDescent="0.25">
      <c r="A297" s="1103"/>
      <c r="B297" s="1104"/>
      <c r="C297" s="1103"/>
      <c r="D297" s="105" t="s">
        <v>14</v>
      </c>
      <c r="E297" s="106" t="s">
        <v>14</v>
      </c>
      <c r="F297" s="106" t="s">
        <v>14</v>
      </c>
      <c r="G297" s="107" t="s">
        <v>15</v>
      </c>
      <c r="H297" s="106" t="s">
        <v>14</v>
      </c>
      <c r="I297" s="106" t="s">
        <v>14</v>
      </c>
      <c r="J297" s="105" t="s">
        <v>15</v>
      </c>
      <c r="K297" s="105"/>
    </row>
    <row r="298" spans="1:11" x14ac:dyDescent="0.25">
      <c r="A298" s="79" t="s">
        <v>185</v>
      </c>
      <c r="B298" s="199" t="s">
        <v>146</v>
      </c>
      <c r="C298" s="24"/>
      <c r="D298" s="10"/>
      <c r="E298" s="34"/>
      <c r="F298" s="34"/>
      <c r="G298" s="6"/>
      <c r="H298" s="34"/>
      <c r="I298" s="34"/>
      <c r="J298" s="10"/>
      <c r="K298" s="10"/>
    </row>
    <row r="299" spans="1:11" x14ac:dyDescent="0.25">
      <c r="A299" s="125" t="s">
        <v>187</v>
      </c>
      <c r="B299" s="280" t="s">
        <v>150</v>
      </c>
      <c r="C299" s="131">
        <f>SUM(C300:C303)</f>
        <v>1508450760</v>
      </c>
      <c r="D299" s="10"/>
      <c r="E299" s="34"/>
      <c r="F299" s="34"/>
      <c r="G299" s="6"/>
      <c r="H299" s="34"/>
      <c r="I299" s="34"/>
      <c r="J299" s="10"/>
      <c r="K299" s="10"/>
    </row>
    <row r="300" spans="1:11" ht="25.5" x14ac:dyDescent="0.25">
      <c r="A300" s="124" t="s">
        <v>44</v>
      </c>
      <c r="B300" s="707" t="s">
        <v>384</v>
      </c>
      <c r="C300" s="253">
        <v>30900000</v>
      </c>
      <c r="D300" s="134">
        <f>C300/C299*100</f>
        <v>2.0484593080121489</v>
      </c>
      <c r="E300" s="134">
        <f t="shared" ref="E300:E302" si="112">G300/C300*100</f>
        <v>0</v>
      </c>
      <c r="F300" s="134">
        <f t="shared" ref="F300:F302" si="113">(D300*E300)/100</f>
        <v>0</v>
      </c>
      <c r="G300" s="181">
        <v>0</v>
      </c>
      <c r="H300" s="134">
        <f t="shared" ref="H300:H302" si="114">G300/C300*100</f>
        <v>0</v>
      </c>
      <c r="I300" s="134">
        <f t="shared" ref="I300:I302" si="115">(D300*H300)/100</f>
        <v>0</v>
      </c>
      <c r="J300" s="6">
        <f t="shared" ref="J300:J303" si="116">G300-C300</f>
        <v>-30900000</v>
      </c>
      <c r="K300" s="10"/>
    </row>
    <row r="301" spans="1:11" x14ac:dyDescent="0.25">
      <c r="A301" s="49" t="s">
        <v>148</v>
      </c>
      <c r="B301" s="133" t="s">
        <v>534</v>
      </c>
      <c r="C301" s="256">
        <v>1050000000</v>
      </c>
      <c r="D301" s="134">
        <f>C301/C299*100</f>
        <v>69.607840563519616</v>
      </c>
      <c r="E301" s="134">
        <f t="shared" si="112"/>
        <v>0</v>
      </c>
      <c r="F301" s="134">
        <f t="shared" si="113"/>
        <v>0</v>
      </c>
      <c r="G301" s="181">
        <v>0</v>
      </c>
      <c r="H301" s="134">
        <f t="shared" si="114"/>
        <v>0</v>
      </c>
      <c r="I301" s="134">
        <f t="shared" si="115"/>
        <v>0</v>
      </c>
      <c r="J301" s="6">
        <f t="shared" si="116"/>
        <v>-1050000000</v>
      </c>
      <c r="K301" s="10"/>
    </row>
    <row r="302" spans="1:11" s="84" customFormat="1" ht="25.5" x14ac:dyDescent="0.2">
      <c r="A302" s="49" t="s">
        <v>152</v>
      </c>
      <c r="B302" s="133" t="s">
        <v>153</v>
      </c>
      <c r="C302" s="256">
        <v>420000000</v>
      </c>
      <c r="D302" s="134">
        <f>C302/C299*100</f>
        <v>27.84313622540785</v>
      </c>
      <c r="E302" s="134">
        <f t="shared" si="112"/>
        <v>0</v>
      </c>
      <c r="F302" s="134">
        <f t="shared" si="113"/>
        <v>0</v>
      </c>
      <c r="G302" s="181">
        <v>0</v>
      </c>
      <c r="H302" s="134">
        <f t="shared" si="114"/>
        <v>0</v>
      </c>
      <c r="I302" s="134">
        <f t="shared" si="115"/>
        <v>0</v>
      </c>
      <c r="J302" s="6">
        <f t="shared" si="116"/>
        <v>-420000000</v>
      </c>
      <c r="K302" s="38"/>
    </row>
    <row r="303" spans="1:11" s="84" customFormat="1" x14ac:dyDescent="0.2">
      <c r="A303" s="749" t="s">
        <v>234</v>
      </c>
      <c r="B303" s="133" t="s">
        <v>522</v>
      </c>
      <c r="C303" s="256">
        <v>7550760</v>
      </c>
      <c r="D303" s="804"/>
      <c r="E303" s="134"/>
      <c r="F303" s="134"/>
      <c r="G303" s="181"/>
      <c r="H303" s="134"/>
      <c r="I303" s="134"/>
      <c r="J303" s="6">
        <f t="shared" si="116"/>
        <v>-7550760</v>
      </c>
      <c r="K303" s="805"/>
    </row>
    <row r="304" spans="1:11" x14ac:dyDescent="0.25">
      <c r="A304" s="70"/>
      <c r="B304" s="129" t="s">
        <v>95</v>
      </c>
      <c r="C304" s="807">
        <f>SUM(C300:C303)</f>
        <v>1508450760</v>
      </c>
      <c r="D304" s="271">
        <f>SUM(D300:D302)</f>
        <v>99.499436096939618</v>
      </c>
      <c r="E304" s="134"/>
      <c r="F304" s="134"/>
      <c r="G304" s="181">
        <v>0</v>
      </c>
      <c r="H304" s="134"/>
      <c r="I304" s="134"/>
      <c r="J304" s="56">
        <v>0</v>
      </c>
      <c r="K304" s="130"/>
    </row>
    <row r="305" spans="1:15" x14ac:dyDescent="0.25">
      <c r="A305" s="190"/>
      <c r="B305" s="2"/>
      <c r="C305" s="59"/>
      <c r="D305" s="41"/>
      <c r="E305" s="31"/>
      <c r="F305" s="31"/>
      <c r="G305" s="36"/>
      <c r="H305" s="31"/>
      <c r="I305" s="31"/>
      <c r="J305" s="33"/>
      <c r="K305" s="37"/>
    </row>
    <row r="306" spans="1:15" x14ac:dyDescent="0.25">
      <c r="A306" s="50"/>
      <c r="B306" s="5"/>
      <c r="C306" s="50"/>
      <c r="D306" s="9"/>
      <c r="E306" s="23"/>
      <c r="F306" s="23"/>
      <c r="G306" s="11"/>
      <c r="H306" s="23"/>
      <c r="I306" s="23"/>
      <c r="J306" s="9"/>
      <c r="K306" s="9"/>
    </row>
    <row r="307" spans="1:15" x14ac:dyDescent="0.25">
      <c r="A307" s="1123" t="s">
        <v>2</v>
      </c>
      <c r="B307" s="1126" t="s">
        <v>138</v>
      </c>
      <c r="C307" s="1129" t="s">
        <v>4</v>
      </c>
      <c r="D307" s="1121" t="s">
        <v>5</v>
      </c>
      <c r="E307" s="1132"/>
      <c r="F307" s="1132"/>
      <c r="G307" s="1122" t="s">
        <v>6</v>
      </c>
      <c r="H307" s="1132"/>
      <c r="I307" s="1132"/>
      <c r="J307" s="1123" t="s">
        <v>7</v>
      </c>
      <c r="K307" s="1123" t="s">
        <v>8</v>
      </c>
    </row>
    <row r="308" spans="1:15" x14ac:dyDescent="0.25">
      <c r="A308" s="1124"/>
      <c r="B308" s="1127"/>
      <c r="C308" s="1130"/>
      <c r="D308" s="289" t="s">
        <v>9</v>
      </c>
      <c r="E308" s="308" t="s">
        <v>10</v>
      </c>
      <c r="F308" s="308" t="s">
        <v>11</v>
      </c>
      <c r="G308" s="117" t="s">
        <v>12</v>
      </c>
      <c r="H308" s="116" t="s">
        <v>13</v>
      </c>
      <c r="I308" s="116" t="s">
        <v>11</v>
      </c>
      <c r="J308" s="1124"/>
      <c r="K308" s="1124"/>
    </row>
    <row r="309" spans="1:15" x14ac:dyDescent="0.25">
      <c r="A309" s="1125"/>
      <c r="B309" s="1128"/>
      <c r="C309" s="1131"/>
      <c r="D309" s="115" t="s">
        <v>14</v>
      </c>
      <c r="E309" s="119" t="s">
        <v>14</v>
      </c>
      <c r="F309" s="119" t="s">
        <v>14</v>
      </c>
      <c r="G309" s="120" t="s">
        <v>15</v>
      </c>
      <c r="H309" s="119" t="s">
        <v>14</v>
      </c>
      <c r="I309" s="119" t="s">
        <v>14</v>
      </c>
      <c r="J309" s="118" t="s">
        <v>15</v>
      </c>
      <c r="K309" s="1125"/>
    </row>
    <row r="310" spans="1:15" ht="25.5" x14ac:dyDescent="0.25">
      <c r="A310" s="79" t="s">
        <v>180</v>
      </c>
      <c r="B310" s="696" t="s">
        <v>379</v>
      </c>
      <c r="C310" s="127"/>
      <c r="D310" s="121"/>
      <c r="E310" s="34"/>
      <c r="F310" s="34"/>
      <c r="G310" s="6"/>
      <c r="H310" s="34"/>
      <c r="I310" s="34"/>
      <c r="J310" s="10"/>
      <c r="K310" s="85"/>
    </row>
    <row r="311" spans="1:15" ht="25.5" x14ac:dyDescent="0.25">
      <c r="A311" s="125" t="s">
        <v>181</v>
      </c>
      <c r="B311" s="697" t="s">
        <v>380</v>
      </c>
      <c r="C311" s="88">
        <f>SUM(C312:C329)</f>
        <v>185000000</v>
      </c>
      <c r="D311" s="121"/>
      <c r="E311" s="34"/>
      <c r="F311" s="34"/>
      <c r="G311" s="6"/>
      <c r="H311" s="34"/>
      <c r="I311" s="34"/>
      <c r="J311" s="10"/>
      <c r="K311" s="156"/>
    </row>
    <row r="312" spans="1:15" ht="25.5" x14ac:dyDescent="0.25">
      <c r="A312" s="49" t="s">
        <v>44</v>
      </c>
      <c r="B312" s="707" t="s">
        <v>384</v>
      </c>
      <c r="C312" s="39">
        <v>8730000</v>
      </c>
      <c r="D312" s="727">
        <f>C312/C311*100</f>
        <v>4.7189189189189191</v>
      </c>
      <c r="E312" s="134">
        <f t="shared" ref="E312:E320" si="117">G312/C312*100</f>
        <v>0</v>
      </c>
      <c r="F312" s="134">
        <f t="shared" ref="F312:F320" si="118">(D312*E312)/100</f>
        <v>0</v>
      </c>
      <c r="G312" s="181">
        <v>0</v>
      </c>
      <c r="H312" s="134">
        <f t="shared" ref="H312:H320" si="119">G312/C312*100</f>
        <v>0</v>
      </c>
      <c r="I312" s="134">
        <f t="shared" ref="I312:I320" si="120">(D312*H312)/100</f>
        <v>0</v>
      </c>
      <c r="J312" s="6">
        <f t="shared" ref="J312:J329" si="121">G312-C312</f>
        <v>-8730000</v>
      </c>
      <c r="K312" s="10"/>
      <c r="O312" s="717"/>
    </row>
    <row r="313" spans="1:15" x14ac:dyDescent="0.25">
      <c r="A313" s="49" t="s">
        <v>59</v>
      </c>
      <c r="B313" s="707" t="s">
        <v>197</v>
      </c>
      <c r="C313" s="39">
        <v>13887500</v>
      </c>
      <c r="D313" s="727">
        <f>C313/C311*100</f>
        <v>7.5067567567567561</v>
      </c>
      <c r="E313" s="134">
        <f t="shared" si="117"/>
        <v>36.003600360036003</v>
      </c>
      <c r="F313" s="134">
        <f t="shared" si="118"/>
        <v>2.7027027027027026</v>
      </c>
      <c r="G313" s="181">
        <f>5000000</f>
        <v>5000000</v>
      </c>
      <c r="H313" s="134">
        <f t="shared" si="119"/>
        <v>36.003600360036003</v>
      </c>
      <c r="I313" s="134">
        <f t="shared" si="120"/>
        <v>2.7027027027027026</v>
      </c>
      <c r="J313" s="6">
        <f t="shared" si="121"/>
        <v>-8887500</v>
      </c>
      <c r="K313" s="10"/>
    </row>
    <row r="314" spans="1:15" x14ac:dyDescent="0.25">
      <c r="A314" s="49" t="s">
        <v>62</v>
      </c>
      <c r="B314" s="707" t="s">
        <v>414</v>
      </c>
      <c r="C314" s="39">
        <v>7970500</v>
      </c>
      <c r="D314" s="727"/>
      <c r="E314" s="134"/>
      <c r="F314" s="134"/>
      <c r="G314" s="181">
        <v>0</v>
      </c>
      <c r="H314" s="134"/>
      <c r="I314" s="134"/>
      <c r="J314" s="6">
        <f t="shared" si="121"/>
        <v>-7970500</v>
      </c>
      <c r="K314" s="10"/>
    </row>
    <row r="315" spans="1:15" x14ac:dyDescent="0.25">
      <c r="A315" s="49" t="s">
        <v>54</v>
      </c>
      <c r="B315" s="707" t="s">
        <v>536</v>
      </c>
      <c r="C315" s="39">
        <v>800000</v>
      </c>
      <c r="D315" s="727"/>
      <c r="E315" s="134"/>
      <c r="F315" s="134"/>
      <c r="G315" s="181">
        <f>800000</f>
        <v>800000</v>
      </c>
      <c r="H315" s="134"/>
      <c r="I315" s="134"/>
      <c r="J315" s="6">
        <f t="shared" si="121"/>
        <v>0</v>
      </c>
      <c r="K315" s="10"/>
    </row>
    <row r="316" spans="1:15" ht="25.5" x14ac:dyDescent="0.25">
      <c r="A316" s="49" t="s">
        <v>193</v>
      </c>
      <c r="B316" s="707" t="s">
        <v>537</v>
      </c>
      <c r="C316" s="39">
        <v>8750000</v>
      </c>
      <c r="D316" s="727"/>
      <c r="E316" s="134"/>
      <c r="F316" s="134"/>
      <c r="G316" s="181">
        <f>8750000</f>
        <v>8750000</v>
      </c>
      <c r="H316" s="134"/>
      <c r="I316" s="134"/>
      <c r="J316" s="6">
        <f t="shared" si="121"/>
        <v>0</v>
      </c>
      <c r="K316" s="10"/>
    </row>
    <row r="317" spans="1:15" x14ac:dyDescent="0.25">
      <c r="A317" s="49" t="s">
        <v>148</v>
      </c>
      <c r="B317" s="133" t="s">
        <v>534</v>
      </c>
      <c r="C317" s="39">
        <v>10000000</v>
      </c>
      <c r="D317" s="727"/>
      <c r="E317" s="134"/>
      <c r="F317" s="134"/>
      <c r="G317" s="181">
        <f>10000000</f>
        <v>10000000</v>
      </c>
      <c r="H317" s="134"/>
      <c r="I317" s="134"/>
      <c r="J317" s="6">
        <f t="shared" si="121"/>
        <v>0</v>
      </c>
      <c r="K317" s="10"/>
    </row>
    <row r="318" spans="1:15" x14ac:dyDescent="0.25">
      <c r="A318" s="49" t="s">
        <v>77</v>
      </c>
      <c r="B318" s="49" t="s">
        <v>139</v>
      </c>
      <c r="C318" s="39">
        <v>82680000</v>
      </c>
      <c r="D318" s="727">
        <f>C318/C311*100</f>
        <v>44.691891891891892</v>
      </c>
      <c r="E318" s="134">
        <f t="shared" si="117"/>
        <v>30.551523947750365</v>
      </c>
      <c r="F318" s="134">
        <f t="shared" si="118"/>
        <v>13.654054054054054</v>
      </c>
      <c r="G318" s="181">
        <f>25260000</f>
        <v>25260000</v>
      </c>
      <c r="H318" s="134">
        <f t="shared" si="119"/>
        <v>30.551523947750365</v>
      </c>
      <c r="I318" s="134">
        <f t="shared" si="120"/>
        <v>13.654054054054054</v>
      </c>
      <c r="J318" s="6">
        <f t="shared" si="121"/>
        <v>-57420000</v>
      </c>
      <c r="K318" s="10"/>
    </row>
    <row r="319" spans="1:15" x14ac:dyDescent="0.25">
      <c r="A319" s="49" t="s">
        <v>104</v>
      </c>
      <c r="B319" s="170" t="s">
        <v>418</v>
      </c>
      <c r="C319" s="39">
        <v>7300000</v>
      </c>
      <c r="D319" s="727">
        <f>C319/C311*100</f>
        <v>3.9459459459459461</v>
      </c>
      <c r="E319" s="134">
        <f t="shared" si="117"/>
        <v>0</v>
      </c>
      <c r="F319" s="134">
        <f t="shared" si="118"/>
        <v>0</v>
      </c>
      <c r="G319" s="181">
        <v>0</v>
      </c>
      <c r="H319" s="134">
        <f t="shared" si="119"/>
        <v>0</v>
      </c>
      <c r="I319" s="134">
        <f t="shared" si="120"/>
        <v>0</v>
      </c>
      <c r="J319" s="6">
        <f t="shared" si="121"/>
        <v>-7300000</v>
      </c>
      <c r="K319" s="10"/>
    </row>
    <row r="320" spans="1:15" ht="25.5" x14ac:dyDescent="0.25">
      <c r="A320" s="49" t="s">
        <v>192</v>
      </c>
      <c r="B320" s="316" t="s">
        <v>375</v>
      </c>
      <c r="C320" s="39">
        <v>13050000</v>
      </c>
      <c r="D320" s="727">
        <f>C320/C311*100</f>
        <v>7.0540540540540544</v>
      </c>
      <c r="E320" s="134">
        <f t="shared" si="117"/>
        <v>0</v>
      </c>
      <c r="F320" s="134">
        <f t="shared" si="118"/>
        <v>0</v>
      </c>
      <c r="G320" s="181">
        <v>0</v>
      </c>
      <c r="H320" s="134">
        <f t="shared" si="119"/>
        <v>0</v>
      </c>
      <c r="I320" s="134">
        <f t="shared" si="120"/>
        <v>0</v>
      </c>
      <c r="J320" s="6">
        <f t="shared" si="121"/>
        <v>-13050000</v>
      </c>
      <c r="K320" s="10"/>
    </row>
    <row r="321" spans="1:14" x14ac:dyDescent="0.25">
      <c r="A321" s="749" t="s">
        <v>162</v>
      </c>
      <c r="B321" s="316" t="s">
        <v>538</v>
      </c>
      <c r="C321" s="751">
        <v>2000000</v>
      </c>
      <c r="D321" s="727"/>
      <c r="E321" s="134"/>
      <c r="F321" s="134"/>
      <c r="G321" s="181">
        <f>2000000</f>
        <v>2000000</v>
      </c>
      <c r="H321" s="134"/>
      <c r="I321" s="134"/>
      <c r="J321" s="6">
        <f t="shared" si="121"/>
        <v>0</v>
      </c>
      <c r="K321" s="130"/>
    </row>
    <row r="322" spans="1:14" x14ac:dyDescent="0.25">
      <c r="A322" s="749" t="s">
        <v>527</v>
      </c>
      <c r="B322" s="316" t="s">
        <v>523</v>
      </c>
      <c r="C322" s="751">
        <v>1150000</v>
      </c>
      <c r="D322" s="727"/>
      <c r="E322" s="134"/>
      <c r="F322" s="134"/>
      <c r="G322" s="181">
        <f>1150000</f>
        <v>1150000</v>
      </c>
      <c r="H322" s="134"/>
      <c r="I322" s="134"/>
      <c r="J322" s="6">
        <f t="shared" si="121"/>
        <v>0</v>
      </c>
      <c r="K322" s="130"/>
    </row>
    <row r="323" spans="1:14" x14ac:dyDescent="0.25">
      <c r="A323" s="749" t="s">
        <v>112</v>
      </c>
      <c r="B323" s="316" t="s">
        <v>525</v>
      </c>
      <c r="C323" s="751">
        <v>800000</v>
      </c>
      <c r="D323" s="727"/>
      <c r="E323" s="134"/>
      <c r="F323" s="134"/>
      <c r="G323" s="181">
        <f>800000</f>
        <v>800000</v>
      </c>
      <c r="H323" s="134"/>
      <c r="I323" s="134"/>
      <c r="J323" s="6">
        <f t="shared" si="121"/>
        <v>0</v>
      </c>
      <c r="K323" s="130"/>
    </row>
    <row r="324" spans="1:14" x14ac:dyDescent="0.25">
      <c r="A324" s="749" t="s">
        <v>521</v>
      </c>
      <c r="B324" s="316" t="s">
        <v>539</v>
      </c>
      <c r="C324" s="751">
        <v>1000000</v>
      </c>
      <c r="D324" s="727"/>
      <c r="E324" s="134"/>
      <c r="F324" s="134"/>
      <c r="G324" s="181">
        <f>1000000</f>
        <v>1000000</v>
      </c>
      <c r="H324" s="134"/>
      <c r="I324" s="134"/>
      <c r="J324" s="6">
        <f t="shared" si="121"/>
        <v>0</v>
      </c>
      <c r="K324" s="130"/>
    </row>
    <row r="325" spans="1:14" ht="25.5" x14ac:dyDescent="0.25">
      <c r="A325" s="749" t="s">
        <v>116</v>
      </c>
      <c r="B325" s="316" t="s">
        <v>420</v>
      </c>
      <c r="C325" s="751">
        <v>1382000</v>
      </c>
      <c r="D325" s="727">
        <f>C325/C312*100</f>
        <v>15.830469644902633</v>
      </c>
      <c r="E325" s="134"/>
      <c r="F325" s="134"/>
      <c r="G325" s="181">
        <v>0</v>
      </c>
      <c r="H325" s="134"/>
      <c r="I325" s="134"/>
      <c r="J325" s="6">
        <f t="shared" si="121"/>
        <v>-1382000</v>
      </c>
      <c r="K325" s="130"/>
    </row>
    <row r="326" spans="1:14" x14ac:dyDescent="0.25">
      <c r="A326" s="749" t="s">
        <v>65</v>
      </c>
      <c r="B326" s="754" t="s">
        <v>190</v>
      </c>
      <c r="C326" s="751">
        <v>7000000</v>
      </c>
      <c r="D326" s="727" t="e">
        <f>C326/#REF!*100</f>
        <v>#REF!</v>
      </c>
      <c r="E326" s="134"/>
      <c r="F326" s="134"/>
      <c r="G326" s="181">
        <v>0</v>
      </c>
      <c r="H326" s="134"/>
      <c r="I326" s="134"/>
      <c r="J326" s="6">
        <f t="shared" si="121"/>
        <v>-7000000</v>
      </c>
      <c r="K326" s="130"/>
    </row>
    <row r="327" spans="1:14" x14ac:dyDescent="0.25">
      <c r="A327" s="749" t="s">
        <v>541</v>
      </c>
      <c r="B327" s="754" t="s">
        <v>401</v>
      </c>
      <c r="C327" s="751">
        <v>3900000</v>
      </c>
      <c r="D327" s="727" t="e">
        <f>C327/#REF!*100</f>
        <v>#REF!</v>
      </c>
      <c r="E327" s="134"/>
      <c r="F327" s="134"/>
      <c r="G327" s="181">
        <v>0</v>
      </c>
      <c r="H327" s="134"/>
      <c r="I327" s="134"/>
      <c r="J327" s="6">
        <f t="shared" si="121"/>
        <v>-3900000</v>
      </c>
      <c r="K327" s="130"/>
    </row>
    <row r="328" spans="1:14" x14ac:dyDescent="0.25">
      <c r="A328" s="749" t="s">
        <v>275</v>
      </c>
      <c r="B328" s="754" t="s">
        <v>421</v>
      </c>
      <c r="C328" s="751">
        <v>5000000</v>
      </c>
      <c r="D328" s="727" t="e">
        <f>C328/#REF!*100</f>
        <v>#REF!</v>
      </c>
      <c r="E328" s="134"/>
      <c r="F328" s="134"/>
      <c r="G328" s="181">
        <v>0</v>
      </c>
      <c r="H328" s="134"/>
      <c r="I328" s="134"/>
      <c r="J328" s="6">
        <f t="shared" si="121"/>
        <v>-5000000</v>
      </c>
      <c r="K328" s="130"/>
    </row>
    <row r="329" spans="1:14" x14ac:dyDescent="0.25">
      <c r="A329" s="749" t="s">
        <v>542</v>
      </c>
      <c r="B329" s="316" t="s">
        <v>540</v>
      </c>
      <c r="C329" s="751">
        <v>9600000</v>
      </c>
      <c r="D329" s="752"/>
      <c r="E329" s="134"/>
      <c r="F329" s="134"/>
      <c r="G329" s="181"/>
      <c r="H329" s="134"/>
      <c r="I329" s="134"/>
      <c r="J329" s="6">
        <f t="shared" si="121"/>
        <v>-9600000</v>
      </c>
      <c r="K329" s="130"/>
    </row>
    <row r="330" spans="1:14" x14ac:dyDescent="0.25">
      <c r="A330" s="70"/>
      <c r="B330" s="164" t="s">
        <v>140</v>
      </c>
      <c r="C330" s="165">
        <f>SUM(C312:C329)</f>
        <v>185000000</v>
      </c>
      <c r="D330" s="166">
        <f>SUM(D312:D320)</f>
        <v>67.917567567567559</v>
      </c>
      <c r="E330" s="134"/>
      <c r="F330" s="134"/>
      <c r="G330" s="837">
        <f>SUM(G312:G329)</f>
        <v>54760000</v>
      </c>
      <c r="H330" s="134"/>
      <c r="I330" s="134"/>
      <c r="J330" s="734"/>
      <c r="K330" s="40"/>
    </row>
    <row r="331" spans="1:14" x14ac:dyDescent="0.25">
      <c r="A331" s="53"/>
      <c r="B331" s="5"/>
      <c r="C331" s="191"/>
      <c r="D331" s="41"/>
      <c r="E331" s="30"/>
      <c r="F331" s="31"/>
      <c r="G331" s="36"/>
      <c r="H331" s="23"/>
      <c r="I331" s="23"/>
      <c r="J331" s="33"/>
      <c r="K331" s="37"/>
    </row>
    <row r="332" spans="1:14" ht="31.5" x14ac:dyDescent="0.25">
      <c r="A332" s="55"/>
      <c r="B332" s="46" t="s">
        <v>145</v>
      </c>
      <c r="C332" s="155"/>
      <c r="D332" s="44"/>
      <c r="E332" s="45"/>
      <c r="F332" s="45"/>
      <c r="G332" s="48"/>
      <c r="H332" s="45"/>
      <c r="I332" s="45"/>
      <c r="J332" s="44"/>
      <c r="K332" s="44"/>
      <c r="L332" s="1"/>
      <c r="M332" s="1"/>
      <c r="N332" s="1"/>
    </row>
    <row r="333" spans="1:14" x14ac:dyDescent="0.25">
      <c r="A333" s="1119" t="s">
        <v>2</v>
      </c>
      <c r="B333" s="1120" t="s">
        <v>177</v>
      </c>
      <c r="C333" s="1119" t="s">
        <v>4</v>
      </c>
      <c r="D333" s="1121" t="s">
        <v>5</v>
      </c>
      <c r="E333" s="1121"/>
      <c r="F333" s="1121"/>
      <c r="G333" s="1122" t="s">
        <v>6</v>
      </c>
      <c r="H333" s="1122"/>
      <c r="I333" s="1122"/>
      <c r="J333" s="1119" t="s">
        <v>7</v>
      </c>
      <c r="K333" s="289" t="s">
        <v>8</v>
      </c>
    </row>
    <row r="334" spans="1:14" x14ac:dyDescent="0.25">
      <c r="A334" s="1119"/>
      <c r="B334" s="1120"/>
      <c r="C334" s="1119"/>
      <c r="D334" s="289" t="s">
        <v>9</v>
      </c>
      <c r="E334" s="308" t="s">
        <v>10</v>
      </c>
      <c r="F334" s="308" t="s">
        <v>11</v>
      </c>
      <c r="G334" s="309" t="s">
        <v>12</v>
      </c>
      <c r="H334" s="308" t="s">
        <v>13</v>
      </c>
      <c r="I334" s="308" t="s">
        <v>11</v>
      </c>
      <c r="J334" s="1123"/>
      <c r="K334" s="115"/>
    </row>
    <row r="335" spans="1:14" x14ac:dyDescent="0.25">
      <c r="A335" s="1119"/>
      <c r="B335" s="1120"/>
      <c r="C335" s="1119"/>
      <c r="D335" s="118" t="s">
        <v>14</v>
      </c>
      <c r="E335" s="119" t="s">
        <v>14</v>
      </c>
      <c r="F335" s="119" t="s">
        <v>14</v>
      </c>
      <c r="G335" s="120" t="s">
        <v>15</v>
      </c>
      <c r="H335" s="119" t="s">
        <v>14</v>
      </c>
      <c r="I335" s="119" t="s">
        <v>14</v>
      </c>
      <c r="J335" s="118" t="s">
        <v>15</v>
      </c>
      <c r="K335" s="118"/>
    </row>
    <row r="336" spans="1:14" x14ac:dyDescent="0.25">
      <c r="A336" s="79" t="s">
        <v>185</v>
      </c>
      <c r="B336" s="199" t="s">
        <v>146</v>
      </c>
      <c r="C336" s="260"/>
      <c r="D336" s="10"/>
      <c r="E336" s="34"/>
      <c r="F336" s="34"/>
      <c r="G336" s="6"/>
      <c r="H336" s="34"/>
      <c r="I336" s="34"/>
      <c r="J336" s="10"/>
      <c r="K336" s="10"/>
    </row>
    <row r="337" spans="1:11" x14ac:dyDescent="0.25">
      <c r="A337" s="125" t="s">
        <v>184</v>
      </c>
      <c r="B337" s="280" t="s">
        <v>147</v>
      </c>
      <c r="C337" s="131">
        <f>SUM(C338:C339)</f>
        <v>3395640000</v>
      </c>
      <c r="D337" s="10"/>
      <c r="E337" s="34"/>
      <c r="F337" s="34"/>
      <c r="G337" s="6"/>
      <c r="H337" s="34"/>
      <c r="I337" s="34"/>
      <c r="J337" s="10"/>
      <c r="K337" s="10"/>
    </row>
    <row r="338" spans="1:11" ht="25.5" x14ac:dyDescent="0.25">
      <c r="A338" s="313" t="s">
        <v>44</v>
      </c>
      <c r="B338" s="707" t="s">
        <v>384</v>
      </c>
      <c r="C338" s="253">
        <v>35640000</v>
      </c>
      <c r="D338" s="134">
        <f>C338/C337*100</f>
        <v>1.0495812276919816</v>
      </c>
      <c r="E338" s="134">
        <f t="shared" ref="E338:E339" si="122">G338/C338*100</f>
        <v>0</v>
      </c>
      <c r="F338" s="134">
        <f t="shared" ref="F338:F339" si="123">(D338*E338)/100</f>
        <v>0</v>
      </c>
      <c r="G338" s="181">
        <v>0</v>
      </c>
      <c r="H338" s="134">
        <f t="shared" ref="H338:H339" si="124">G338/C338*100</f>
        <v>0</v>
      </c>
      <c r="I338" s="134">
        <f t="shared" ref="I338:I339" si="125">(D338*H338)/100</f>
        <v>0</v>
      </c>
      <c r="J338" s="6">
        <f t="shared" ref="J338:J339" si="126">G338-C338</f>
        <v>-35640000</v>
      </c>
      <c r="K338" s="10"/>
    </row>
    <row r="339" spans="1:11" x14ac:dyDescent="0.25">
      <c r="A339" s="49" t="s">
        <v>148</v>
      </c>
      <c r="B339" s="133" t="s">
        <v>534</v>
      </c>
      <c r="C339" s="256">
        <v>3360000000</v>
      </c>
      <c r="D339" s="134">
        <f>C339/C337*100</f>
        <v>98.950418772308012</v>
      </c>
      <c r="E339" s="134">
        <f t="shared" si="122"/>
        <v>0</v>
      </c>
      <c r="F339" s="134">
        <f t="shared" si="123"/>
        <v>0</v>
      </c>
      <c r="G339" s="181">
        <v>0</v>
      </c>
      <c r="H339" s="134">
        <f t="shared" si="124"/>
        <v>0</v>
      </c>
      <c r="I339" s="134">
        <f t="shared" si="125"/>
        <v>0</v>
      </c>
      <c r="J339" s="6">
        <f t="shared" si="126"/>
        <v>-3360000000</v>
      </c>
      <c r="K339" s="10"/>
    </row>
    <row r="340" spans="1:11" x14ac:dyDescent="0.25">
      <c r="A340" s="70"/>
      <c r="B340" s="129" t="s">
        <v>95</v>
      </c>
      <c r="C340" s="807">
        <f>SUM(C338:C339)</f>
        <v>3395640000</v>
      </c>
      <c r="D340" s="271">
        <f>SUM(D338:D339)</f>
        <v>100</v>
      </c>
      <c r="E340" s="134"/>
      <c r="F340" s="134"/>
      <c r="G340" s="181">
        <v>0</v>
      </c>
      <c r="H340" s="134"/>
      <c r="I340" s="134"/>
      <c r="J340" s="734"/>
      <c r="K340" s="130"/>
    </row>
    <row r="341" spans="1:11" x14ac:dyDescent="0.25">
      <c r="A341" s="230"/>
      <c r="B341" s="231"/>
      <c r="C341" s="232"/>
      <c r="D341" s="23"/>
      <c r="E341" s="23"/>
      <c r="F341" s="23"/>
      <c r="G341" s="11"/>
      <c r="H341" s="23"/>
      <c r="I341" s="23"/>
      <c r="J341" s="9"/>
      <c r="K341" s="9"/>
    </row>
    <row r="342" spans="1:11" x14ac:dyDescent="0.25">
      <c r="A342" s="1119" t="s">
        <v>2</v>
      </c>
      <c r="B342" s="1120" t="s">
        <v>177</v>
      </c>
      <c r="C342" s="1119" t="s">
        <v>4</v>
      </c>
      <c r="D342" s="1121" t="s">
        <v>5</v>
      </c>
      <c r="E342" s="1121"/>
      <c r="F342" s="1121"/>
      <c r="G342" s="1122" t="s">
        <v>6</v>
      </c>
      <c r="H342" s="1122"/>
      <c r="I342" s="1122"/>
      <c r="J342" s="1119" t="s">
        <v>7</v>
      </c>
      <c r="K342" s="289" t="s">
        <v>8</v>
      </c>
    </row>
    <row r="343" spans="1:11" x14ac:dyDescent="0.25">
      <c r="A343" s="1119"/>
      <c r="B343" s="1120"/>
      <c r="C343" s="1119"/>
      <c r="D343" s="289" t="s">
        <v>9</v>
      </c>
      <c r="E343" s="308" t="s">
        <v>10</v>
      </c>
      <c r="F343" s="308" t="s">
        <v>11</v>
      </c>
      <c r="G343" s="309" t="s">
        <v>12</v>
      </c>
      <c r="H343" s="308" t="s">
        <v>13</v>
      </c>
      <c r="I343" s="308" t="s">
        <v>11</v>
      </c>
      <c r="J343" s="1123"/>
      <c r="K343" s="115"/>
    </row>
    <row r="344" spans="1:11" x14ac:dyDescent="0.25">
      <c r="A344" s="1119"/>
      <c r="B344" s="1120"/>
      <c r="C344" s="1119"/>
      <c r="D344" s="118" t="s">
        <v>14</v>
      </c>
      <c r="E344" s="119" t="s">
        <v>14</v>
      </c>
      <c r="F344" s="119" t="s">
        <v>14</v>
      </c>
      <c r="G344" s="120" t="s">
        <v>15</v>
      </c>
      <c r="H344" s="119" t="s">
        <v>14</v>
      </c>
      <c r="I344" s="119" t="s">
        <v>14</v>
      </c>
      <c r="J344" s="118" t="s">
        <v>15</v>
      </c>
      <c r="K344" s="118"/>
    </row>
    <row r="345" spans="1:11" x14ac:dyDescent="0.25">
      <c r="A345" s="139" t="s">
        <v>185</v>
      </c>
      <c r="B345" s="199" t="s">
        <v>146</v>
      </c>
      <c r="C345" s="24"/>
      <c r="D345" s="10"/>
      <c r="E345" s="34"/>
      <c r="F345" s="34"/>
      <c r="G345" s="6"/>
      <c r="H345" s="34"/>
      <c r="I345" s="34"/>
      <c r="J345" s="10"/>
      <c r="K345" s="10"/>
    </row>
    <row r="346" spans="1:11" x14ac:dyDescent="0.25">
      <c r="A346" s="140" t="s">
        <v>187</v>
      </c>
      <c r="B346" s="280" t="s">
        <v>150</v>
      </c>
      <c r="C346" s="252">
        <f>SUM(C347:C351)</f>
        <v>2057255328</v>
      </c>
      <c r="D346" s="10"/>
      <c r="E346" s="34"/>
      <c r="F346" s="34"/>
      <c r="G346" s="6"/>
      <c r="H346" s="34"/>
      <c r="I346" s="34"/>
      <c r="J346" s="10"/>
      <c r="K346" s="10"/>
    </row>
    <row r="347" spans="1:11" ht="25.5" x14ac:dyDescent="0.25">
      <c r="A347" s="159" t="s">
        <v>44</v>
      </c>
      <c r="B347" s="707" t="s">
        <v>384</v>
      </c>
      <c r="C347" s="253">
        <v>30210000</v>
      </c>
      <c r="D347" s="134">
        <f>C347/C346*100</f>
        <v>1.4684613809880966</v>
      </c>
      <c r="E347" s="134">
        <f t="shared" ref="E347:E350" si="127">G347/C347*100</f>
        <v>0</v>
      </c>
      <c r="F347" s="134">
        <f t="shared" ref="F347:F350" si="128">(D347*E347)/100</f>
        <v>0</v>
      </c>
      <c r="G347" s="181">
        <v>0</v>
      </c>
      <c r="H347" s="134">
        <f t="shared" ref="H347:H350" si="129">G347/C347*100</f>
        <v>0</v>
      </c>
      <c r="I347" s="134">
        <f t="shared" ref="I347:I350" si="130">(D347*H347)/100</f>
        <v>0</v>
      </c>
      <c r="J347" s="6">
        <f t="shared" ref="J347:J351" si="131">G347-C347</f>
        <v>-30210000</v>
      </c>
      <c r="K347" s="10"/>
    </row>
    <row r="348" spans="1:11" x14ac:dyDescent="0.25">
      <c r="A348" s="313" t="s">
        <v>59</v>
      </c>
      <c r="B348" s="707" t="s">
        <v>197</v>
      </c>
      <c r="C348" s="253">
        <v>690000</v>
      </c>
      <c r="D348" s="134">
        <f>C348/C346*100</f>
        <v>3.3539832932200815E-2</v>
      </c>
      <c r="E348" s="134">
        <f t="shared" si="127"/>
        <v>0</v>
      </c>
      <c r="F348" s="134">
        <f t="shared" si="128"/>
        <v>0</v>
      </c>
      <c r="G348" s="181">
        <v>0</v>
      </c>
      <c r="H348" s="134">
        <f t="shared" si="129"/>
        <v>0</v>
      </c>
      <c r="I348" s="134">
        <f t="shared" si="130"/>
        <v>0</v>
      </c>
      <c r="J348" s="6">
        <f t="shared" si="131"/>
        <v>-690000</v>
      </c>
      <c r="K348" s="10"/>
    </row>
    <row r="349" spans="1:11" x14ac:dyDescent="0.25">
      <c r="A349" s="313" t="s">
        <v>62</v>
      </c>
      <c r="B349" s="133" t="s">
        <v>534</v>
      </c>
      <c r="C349" s="253">
        <v>1440000000</v>
      </c>
      <c r="D349" s="134">
        <f>C349/C346*100</f>
        <v>69.99617307589736</v>
      </c>
      <c r="E349" s="134">
        <f t="shared" si="127"/>
        <v>0</v>
      </c>
      <c r="F349" s="134">
        <f t="shared" si="128"/>
        <v>0</v>
      </c>
      <c r="G349" s="181">
        <v>0</v>
      </c>
      <c r="H349" s="134">
        <f t="shared" si="129"/>
        <v>0</v>
      </c>
      <c r="I349" s="134">
        <f t="shared" si="130"/>
        <v>0</v>
      </c>
      <c r="J349" s="6">
        <f t="shared" si="131"/>
        <v>-1440000000</v>
      </c>
      <c r="K349" s="10"/>
    </row>
    <row r="350" spans="1:11" s="725" customFormat="1" ht="25.5" x14ac:dyDescent="0.2">
      <c r="A350" s="723" t="s">
        <v>152</v>
      </c>
      <c r="B350" s="133" t="s">
        <v>153</v>
      </c>
      <c r="C350" s="724">
        <v>576000000</v>
      </c>
      <c r="D350" s="728">
        <f>C350/C346*100</f>
        <v>27.998469230358946</v>
      </c>
      <c r="E350" s="728">
        <f t="shared" si="127"/>
        <v>0</v>
      </c>
      <c r="F350" s="728">
        <f t="shared" si="128"/>
        <v>0</v>
      </c>
      <c r="G350" s="181">
        <v>0</v>
      </c>
      <c r="H350" s="728">
        <f t="shared" si="129"/>
        <v>0</v>
      </c>
      <c r="I350" s="728">
        <f t="shared" si="130"/>
        <v>0</v>
      </c>
      <c r="J350" s="6">
        <f t="shared" si="131"/>
        <v>-576000000</v>
      </c>
      <c r="K350" s="313"/>
    </row>
    <row r="351" spans="1:11" s="725" customFormat="1" x14ac:dyDescent="0.2">
      <c r="A351" s="749" t="s">
        <v>234</v>
      </c>
      <c r="B351" s="133" t="s">
        <v>522</v>
      </c>
      <c r="C351" s="724">
        <v>10355328</v>
      </c>
      <c r="D351" s="820"/>
      <c r="E351" s="728"/>
      <c r="F351" s="728"/>
      <c r="G351" s="181"/>
      <c r="H351" s="728"/>
      <c r="I351" s="728"/>
      <c r="J351" s="6">
        <f t="shared" si="131"/>
        <v>-10355328</v>
      </c>
      <c r="K351" s="821"/>
    </row>
    <row r="352" spans="1:11" x14ac:dyDescent="0.25">
      <c r="A352" s="70"/>
      <c r="B352" s="129" t="s">
        <v>95</v>
      </c>
      <c r="C352" s="807">
        <f>SUM(C347:C351)</f>
        <v>2057255328</v>
      </c>
      <c r="D352" s="271">
        <f>SUM(D347:D350)</f>
        <v>99.496643520176605</v>
      </c>
      <c r="E352" s="134"/>
      <c r="F352" s="134"/>
      <c r="G352" s="181">
        <v>0</v>
      </c>
      <c r="H352" s="134"/>
      <c r="I352" s="134"/>
      <c r="J352" s="734"/>
      <c r="K352" s="130"/>
    </row>
    <row r="353" spans="1:11" x14ac:dyDescent="0.25">
      <c r="A353" s="50"/>
      <c r="B353" s="5"/>
      <c r="C353" s="50"/>
      <c r="D353" s="9"/>
      <c r="E353" s="23"/>
      <c r="F353" s="23"/>
      <c r="G353" s="11"/>
      <c r="H353" s="23"/>
      <c r="I353" s="23"/>
      <c r="J353" s="9"/>
      <c r="K353" s="9"/>
    </row>
    <row r="354" spans="1:11" x14ac:dyDescent="0.25">
      <c r="A354" s="50"/>
      <c r="B354" s="5"/>
      <c r="C354" s="50"/>
      <c r="D354" s="9"/>
      <c r="E354" s="23"/>
      <c r="F354" s="23"/>
      <c r="G354" s="11"/>
      <c r="H354" s="23"/>
      <c r="I354" s="23"/>
      <c r="J354" s="9"/>
      <c r="K354" s="9"/>
    </row>
    <row r="355" spans="1:11" x14ac:dyDescent="0.25">
      <c r="A355" s="1139" t="s">
        <v>2</v>
      </c>
      <c r="B355" s="1142" t="s">
        <v>175</v>
      </c>
      <c r="C355" s="290"/>
      <c r="D355" s="1145" t="s">
        <v>5</v>
      </c>
      <c r="E355" s="1146"/>
      <c r="F355" s="1147"/>
      <c r="G355" s="1148" t="s">
        <v>6</v>
      </c>
      <c r="H355" s="1149"/>
      <c r="I355" s="1150"/>
      <c r="J355" s="1138" t="s">
        <v>7</v>
      </c>
      <c r="K355" s="198" t="s">
        <v>8</v>
      </c>
    </row>
    <row r="356" spans="1:11" x14ac:dyDescent="0.25">
      <c r="A356" s="1140"/>
      <c r="B356" s="1143"/>
      <c r="C356" s="835" t="s">
        <v>4</v>
      </c>
      <c r="D356" s="198" t="s">
        <v>9</v>
      </c>
      <c r="E356" s="310" t="s">
        <v>10</v>
      </c>
      <c r="F356" s="310" t="s">
        <v>11</v>
      </c>
      <c r="G356" s="194" t="s">
        <v>12</v>
      </c>
      <c r="H356" s="193" t="s">
        <v>13</v>
      </c>
      <c r="I356" s="193" t="s">
        <v>11</v>
      </c>
      <c r="J356" s="1151"/>
      <c r="K356" s="192"/>
    </row>
    <row r="357" spans="1:11" x14ac:dyDescent="0.25">
      <c r="A357" s="1141"/>
      <c r="B357" s="1144"/>
      <c r="C357" s="229"/>
      <c r="D357" s="197" t="s">
        <v>14</v>
      </c>
      <c r="E357" s="195" t="s">
        <v>14</v>
      </c>
      <c r="F357" s="195" t="s">
        <v>14</v>
      </c>
      <c r="G357" s="196" t="s">
        <v>15</v>
      </c>
      <c r="H357" s="195" t="s">
        <v>14</v>
      </c>
      <c r="I357" s="195" t="s">
        <v>14</v>
      </c>
      <c r="J357" s="197" t="s">
        <v>15</v>
      </c>
      <c r="K357" s="197"/>
    </row>
    <row r="358" spans="1:11" ht="25.5" x14ac:dyDescent="0.25">
      <c r="A358" s="321" t="s">
        <v>180</v>
      </c>
      <c r="B358" s="696" t="s">
        <v>379</v>
      </c>
      <c r="C358" s="291"/>
      <c r="D358" s="121"/>
      <c r="E358" s="122"/>
      <c r="F358" s="122"/>
      <c r="G358" s="123"/>
      <c r="H358" s="122"/>
      <c r="I358" s="122"/>
      <c r="J358" s="121"/>
      <c r="K358" s="121"/>
    </row>
    <row r="359" spans="1:11" ht="25.5" x14ac:dyDescent="0.25">
      <c r="A359" s="160" t="s">
        <v>181</v>
      </c>
      <c r="B359" s="697" t="s">
        <v>380</v>
      </c>
      <c r="C359" s="261">
        <f>SUM(C360:C375)</f>
        <v>185000000</v>
      </c>
      <c r="D359" s="161"/>
      <c r="E359" s="161"/>
      <c r="F359" s="161"/>
      <c r="G359" s="82"/>
      <c r="H359" s="161"/>
      <c r="I359" s="161"/>
      <c r="J359" s="162"/>
      <c r="K359" s="162"/>
    </row>
    <row r="360" spans="1:11" ht="25.5" x14ac:dyDescent="0.25">
      <c r="A360" s="314" t="s">
        <v>44</v>
      </c>
      <c r="B360" s="707" t="s">
        <v>384</v>
      </c>
      <c r="C360" s="262">
        <v>8580000</v>
      </c>
      <c r="D360" s="134">
        <f>C360/C359*100</f>
        <v>4.6378378378378375</v>
      </c>
      <c r="E360" s="134">
        <f t="shared" ref="E360:E368" si="132">G360/C360*100</f>
        <v>0</v>
      </c>
      <c r="F360" s="134">
        <f t="shared" ref="F360:F368" si="133">(D360*E360)/100</f>
        <v>0</v>
      </c>
      <c r="G360" s="181">
        <v>0</v>
      </c>
      <c r="H360" s="134">
        <f t="shared" ref="H360:H368" si="134">G360/C360*100</f>
        <v>0</v>
      </c>
      <c r="I360" s="134">
        <f t="shared" ref="I360:I368" si="135">(D360*H360)/100</f>
        <v>0</v>
      </c>
      <c r="J360" s="6">
        <f t="shared" ref="J360:J375" si="136">G360-C360</f>
        <v>-8580000</v>
      </c>
      <c r="K360" s="10"/>
    </row>
    <row r="361" spans="1:11" x14ac:dyDescent="0.25">
      <c r="A361" s="314" t="s">
        <v>59</v>
      </c>
      <c r="B361" s="707" t="s">
        <v>197</v>
      </c>
      <c r="C361" s="262">
        <v>12218350</v>
      </c>
      <c r="D361" s="134">
        <f>C361/C359*100</f>
        <v>6.6045135135135133</v>
      </c>
      <c r="E361" s="134">
        <f t="shared" si="132"/>
        <v>49.106466912471816</v>
      </c>
      <c r="F361" s="134">
        <f t="shared" si="133"/>
        <v>3.2432432432432434</v>
      </c>
      <c r="G361" s="181">
        <f>6000000</f>
        <v>6000000</v>
      </c>
      <c r="H361" s="134">
        <f t="shared" si="134"/>
        <v>49.106466912471816</v>
      </c>
      <c r="I361" s="134">
        <f t="shared" si="135"/>
        <v>3.2432432432432434</v>
      </c>
      <c r="J361" s="6">
        <f t="shared" si="136"/>
        <v>-6218350</v>
      </c>
      <c r="K361" s="10"/>
    </row>
    <row r="362" spans="1:11" x14ac:dyDescent="0.25">
      <c r="A362" s="314" t="s">
        <v>62</v>
      </c>
      <c r="B362" s="707" t="s">
        <v>334</v>
      </c>
      <c r="C362" s="262">
        <v>9787450</v>
      </c>
      <c r="D362" s="134">
        <f>C362/C359*100</f>
        <v>5.2905135135135142</v>
      </c>
      <c r="E362" s="134">
        <f t="shared" si="132"/>
        <v>0</v>
      </c>
      <c r="F362" s="134">
        <f t="shared" si="133"/>
        <v>0</v>
      </c>
      <c r="G362" s="181">
        <v>0</v>
      </c>
      <c r="H362" s="134">
        <f t="shared" si="134"/>
        <v>0</v>
      </c>
      <c r="I362" s="134">
        <f t="shared" si="135"/>
        <v>0</v>
      </c>
      <c r="J362" s="6">
        <f t="shared" si="136"/>
        <v>-9787450</v>
      </c>
      <c r="K362" s="10"/>
    </row>
    <row r="363" spans="1:11" x14ac:dyDescent="0.25">
      <c r="A363" s="314" t="s">
        <v>148</v>
      </c>
      <c r="B363" s="133" t="s">
        <v>534</v>
      </c>
      <c r="C363" s="262">
        <v>8000000</v>
      </c>
      <c r="D363" s="134"/>
      <c r="E363" s="134"/>
      <c r="F363" s="134"/>
      <c r="G363" s="181">
        <f>8000000</f>
        <v>8000000</v>
      </c>
      <c r="H363" s="134"/>
      <c r="I363" s="134"/>
      <c r="J363" s="6">
        <f t="shared" si="136"/>
        <v>0</v>
      </c>
      <c r="K363" s="10"/>
    </row>
    <row r="364" spans="1:11" x14ac:dyDescent="0.25">
      <c r="A364" s="314" t="s">
        <v>194</v>
      </c>
      <c r="B364" s="49" t="s">
        <v>139</v>
      </c>
      <c r="C364" s="263">
        <v>42400000</v>
      </c>
      <c r="D364" s="134">
        <f>C364/C359*100</f>
        <v>22.918918918918919</v>
      </c>
      <c r="E364" s="134">
        <f t="shared" si="132"/>
        <v>16.273584905660378</v>
      </c>
      <c r="F364" s="134">
        <f t="shared" si="133"/>
        <v>3.7297297297297303</v>
      </c>
      <c r="G364" s="181">
        <f>6900000</f>
        <v>6900000</v>
      </c>
      <c r="H364" s="134">
        <f t="shared" si="134"/>
        <v>16.273584905660378</v>
      </c>
      <c r="I364" s="134">
        <f t="shared" si="135"/>
        <v>3.7297297297297303</v>
      </c>
      <c r="J364" s="6">
        <f t="shared" si="136"/>
        <v>-35500000</v>
      </c>
      <c r="K364" s="10"/>
    </row>
    <row r="365" spans="1:11" x14ac:dyDescent="0.25">
      <c r="A365" s="314" t="s">
        <v>183</v>
      </c>
      <c r="B365" s="49" t="s">
        <v>417</v>
      </c>
      <c r="C365" s="263">
        <v>4500000</v>
      </c>
      <c r="D365" s="134"/>
      <c r="E365" s="134">
        <f t="shared" si="132"/>
        <v>100</v>
      </c>
      <c r="F365" s="134"/>
      <c r="G365" s="181">
        <f>4500000</f>
        <v>4500000</v>
      </c>
      <c r="H365" s="134">
        <f t="shared" si="134"/>
        <v>100</v>
      </c>
      <c r="I365" s="134"/>
      <c r="J365" s="6">
        <f t="shared" si="136"/>
        <v>0</v>
      </c>
      <c r="K365" s="10"/>
    </row>
    <row r="366" spans="1:11" x14ac:dyDescent="0.25">
      <c r="A366" s="322" t="s">
        <v>195</v>
      </c>
      <c r="B366" s="170" t="s">
        <v>179</v>
      </c>
      <c r="C366" s="178">
        <v>24500000</v>
      </c>
      <c r="D366" s="134">
        <f>C366/C359*100</f>
        <v>13.243243243243244</v>
      </c>
      <c r="E366" s="134">
        <f t="shared" si="132"/>
        <v>100</v>
      </c>
      <c r="F366" s="134">
        <f t="shared" si="133"/>
        <v>13.243243243243244</v>
      </c>
      <c r="G366" s="181">
        <f>24500000</f>
        <v>24500000</v>
      </c>
      <c r="H366" s="134">
        <f t="shared" si="134"/>
        <v>100</v>
      </c>
      <c r="I366" s="134">
        <f t="shared" si="135"/>
        <v>13.243243243243244</v>
      </c>
      <c r="J366" s="6">
        <f t="shared" si="136"/>
        <v>0</v>
      </c>
      <c r="K366" s="10"/>
    </row>
    <row r="367" spans="1:11" x14ac:dyDescent="0.25">
      <c r="A367" s="322" t="s">
        <v>62</v>
      </c>
      <c r="B367" s="170" t="s">
        <v>418</v>
      </c>
      <c r="C367" s="178">
        <v>7500000</v>
      </c>
      <c r="D367" s="134"/>
      <c r="E367" s="134"/>
      <c r="F367" s="134"/>
      <c r="G367" s="181">
        <v>0</v>
      </c>
      <c r="H367" s="134"/>
      <c r="I367" s="134"/>
      <c r="J367" s="6">
        <f t="shared" si="136"/>
        <v>-7500000</v>
      </c>
      <c r="K367" s="10"/>
    </row>
    <row r="368" spans="1:11" ht="25.5" x14ac:dyDescent="0.25">
      <c r="A368" s="314" t="s">
        <v>106</v>
      </c>
      <c r="B368" s="316" t="s">
        <v>375</v>
      </c>
      <c r="C368" s="263">
        <v>16650000</v>
      </c>
      <c r="D368" s="134">
        <f>C368/C359*100</f>
        <v>9</v>
      </c>
      <c r="E368" s="134">
        <f t="shared" si="132"/>
        <v>85.585585585585591</v>
      </c>
      <c r="F368" s="134">
        <f t="shared" si="133"/>
        <v>7.7027027027027035</v>
      </c>
      <c r="G368" s="181">
        <f>14250000</f>
        <v>14250000</v>
      </c>
      <c r="H368" s="134">
        <f t="shared" si="134"/>
        <v>85.585585585585591</v>
      </c>
      <c r="I368" s="134">
        <f t="shared" si="135"/>
        <v>7.7027027027027035</v>
      </c>
      <c r="J368" s="6">
        <f t="shared" si="136"/>
        <v>-2400000</v>
      </c>
      <c r="K368" s="10"/>
    </row>
    <row r="369" spans="1:14" x14ac:dyDescent="0.25">
      <c r="A369" s="745" t="s">
        <v>162</v>
      </c>
      <c r="B369" s="746" t="s">
        <v>538</v>
      </c>
      <c r="C369" s="263">
        <v>3000000</v>
      </c>
      <c r="D369" s="134"/>
      <c r="E369" s="134"/>
      <c r="F369" s="134"/>
      <c r="G369" s="181"/>
      <c r="H369" s="134"/>
      <c r="I369" s="134"/>
      <c r="J369" s="6">
        <f t="shared" si="136"/>
        <v>-3000000</v>
      </c>
      <c r="K369" s="10"/>
    </row>
    <row r="370" spans="1:14" x14ac:dyDescent="0.25">
      <c r="A370" s="745" t="s">
        <v>521</v>
      </c>
      <c r="B370" s="746" t="s">
        <v>539</v>
      </c>
      <c r="C370" s="263">
        <v>3000000</v>
      </c>
      <c r="D370" s="134"/>
      <c r="E370" s="134"/>
      <c r="F370" s="134"/>
      <c r="G370" s="181"/>
      <c r="H370" s="134"/>
      <c r="I370" s="134"/>
      <c r="J370" s="6">
        <f t="shared" si="136"/>
        <v>-3000000</v>
      </c>
      <c r="K370" s="10"/>
    </row>
    <row r="371" spans="1:14" ht="25.5" x14ac:dyDescent="0.25">
      <c r="A371" s="745" t="s">
        <v>116</v>
      </c>
      <c r="B371" s="316" t="s">
        <v>420</v>
      </c>
      <c r="C371" s="263">
        <v>5464200</v>
      </c>
      <c r="D371" s="134"/>
      <c r="E371" s="134"/>
      <c r="F371" s="134"/>
      <c r="G371" s="181">
        <f>3000000</f>
        <v>3000000</v>
      </c>
      <c r="H371" s="134"/>
      <c r="I371" s="134"/>
      <c r="J371" s="6">
        <f t="shared" si="136"/>
        <v>-2464200</v>
      </c>
      <c r="K371" s="10"/>
    </row>
    <row r="372" spans="1:14" x14ac:dyDescent="0.25">
      <c r="A372" s="745" t="s">
        <v>65</v>
      </c>
      <c r="B372" s="754" t="s">
        <v>190</v>
      </c>
      <c r="C372" s="263">
        <v>7000000</v>
      </c>
      <c r="D372" s="134"/>
      <c r="E372" s="134"/>
      <c r="F372" s="134"/>
      <c r="G372" s="181"/>
      <c r="H372" s="134"/>
      <c r="I372" s="134"/>
      <c r="J372" s="6">
        <f t="shared" si="136"/>
        <v>-7000000</v>
      </c>
      <c r="K372" s="10"/>
    </row>
    <row r="373" spans="1:14" x14ac:dyDescent="0.25">
      <c r="A373" s="745" t="s">
        <v>400</v>
      </c>
      <c r="B373" s="754" t="s">
        <v>401</v>
      </c>
      <c r="C373" s="263">
        <v>7000000</v>
      </c>
      <c r="D373" s="134"/>
      <c r="E373" s="134"/>
      <c r="F373" s="134"/>
      <c r="G373" s="181">
        <f>7000000</f>
        <v>7000000</v>
      </c>
      <c r="H373" s="134"/>
      <c r="I373" s="134"/>
      <c r="J373" s="6">
        <f t="shared" si="136"/>
        <v>0</v>
      </c>
      <c r="K373" s="10"/>
    </row>
    <row r="374" spans="1:14" x14ac:dyDescent="0.25">
      <c r="A374" s="745" t="s">
        <v>301</v>
      </c>
      <c r="B374" s="746" t="s">
        <v>409</v>
      </c>
      <c r="C374" s="263">
        <v>20400000</v>
      </c>
      <c r="D374" s="134">
        <f>C374/C360*100</f>
        <v>237.76223776223776</v>
      </c>
      <c r="E374" s="134"/>
      <c r="F374" s="134"/>
      <c r="G374" s="181">
        <f>20400000</f>
        <v>20400000</v>
      </c>
      <c r="H374" s="134"/>
      <c r="I374" s="134"/>
      <c r="J374" s="6">
        <f t="shared" si="136"/>
        <v>0</v>
      </c>
      <c r="K374" s="10"/>
    </row>
    <row r="375" spans="1:14" x14ac:dyDescent="0.25">
      <c r="A375" s="745" t="s">
        <v>275</v>
      </c>
      <c r="B375" s="316" t="s">
        <v>543</v>
      </c>
      <c r="C375" s="263">
        <v>5000000</v>
      </c>
      <c r="D375" s="134"/>
      <c r="E375" s="134"/>
      <c r="F375" s="134"/>
      <c r="G375" s="181">
        <f>5000000</f>
        <v>5000000</v>
      </c>
      <c r="H375" s="134"/>
      <c r="I375" s="134"/>
      <c r="J375" s="6">
        <f t="shared" si="136"/>
        <v>0</v>
      </c>
      <c r="K375" s="10"/>
    </row>
    <row r="376" spans="1:14" x14ac:dyDescent="0.25">
      <c r="A376" s="1152" t="s">
        <v>95</v>
      </c>
      <c r="B376" s="1154"/>
      <c r="C376" s="822">
        <f>SUM(C360:C375)</f>
        <v>185000000</v>
      </c>
      <c r="D376" s="12">
        <f>SUM(D360:D368)</f>
        <v>61.695027027027024</v>
      </c>
      <c r="E376" s="134"/>
      <c r="F376" s="134"/>
      <c r="G376" s="837">
        <f>SUM(G360:G375)</f>
        <v>99550000</v>
      </c>
      <c r="H376" s="134"/>
      <c r="I376" s="134"/>
      <c r="J376" s="56">
        <v>0</v>
      </c>
      <c r="K376" s="3">
        <v>0</v>
      </c>
    </row>
    <row r="377" spans="1:14" x14ac:dyDescent="0.25">
      <c r="A377" s="5"/>
      <c r="B377" s="5"/>
      <c r="C377" s="5"/>
      <c r="D377" s="29"/>
      <c r="E377" s="30"/>
      <c r="F377" s="31"/>
      <c r="G377" s="36"/>
      <c r="H377" s="32"/>
      <c r="I377" s="31"/>
      <c r="J377" s="36"/>
      <c r="K377" s="37"/>
    </row>
    <row r="378" spans="1:14" ht="31.5" x14ac:dyDescent="0.25">
      <c r="A378" s="55"/>
      <c r="B378" s="46" t="s">
        <v>145</v>
      </c>
      <c r="C378" s="155"/>
      <c r="D378" s="44"/>
      <c r="E378" s="45"/>
      <c r="F378" s="45"/>
      <c r="G378" s="48"/>
      <c r="H378" s="45"/>
      <c r="I378" s="45"/>
      <c r="J378" s="44"/>
      <c r="K378" s="44"/>
      <c r="L378" s="1"/>
      <c r="M378" s="1"/>
      <c r="N378" s="1"/>
    </row>
    <row r="379" spans="1:14" x14ac:dyDescent="0.25">
      <c r="A379" s="1133" t="s">
        <v>2</v>
      </c>
      <c r="B379" s="1134" t="s">
        <v>175</v>
      </c>
      <c r="C379" s="1133" t="s">
        <v>4</v>
      </c>
      <c r="D379" s="1135" t="s">
        <v>5</v>
      </c>
      <c r="E379" s="1136"/>
      <c r="F379" s="1136"/>
      <c r="G379" s="1137" t="s">
        <v>6</v>
      </c>
      <c r="H379" s="1136"/>
      <c r="I379" s="1136"/>
      <c r="J379" s="1133" t="s">
        <v>7</v>
      </c>
      <c r="K379" s="198" t="s">
        <v>8</v>
      </c>
    </row>
    <row r="380" spans="1:14" x14ac:dyDescent="0.25">
      <c r="A380" s="1133"/>
      <c r="B380" s="1134"/>
      <c r="C380" s="1133"/>
      <c r="D380" s="198" t="s">
        <v>9</v>
      </c>
      <c r="E380" s="310" t="s">
        <v>10</v>
      </c>
      <c r="F380" s="310" t="s">
        <v>11</v>
      </c>
      <c r="G380" s="311" t="s">
        <v>12</v>
      </c>
      <c r="H380" s="310" t="s">
        <v>13</v>
      </c>
      <c r="I380" s="310" t="s">
        <v>11</v>
      </c>
      <c r="J380" s="1138"/>
      <c r="K380" s="192"/>
    </row>
    <row r="381" spans="1:14" x14ac:dyDescent="0.25">
      <c r="A381" s="1133"/>
      <c r="B381" s="1134"/>
      <c r="C381" s="1133"/>
      <c r="D381" s="197" t="s">
        <v>14</v>
      </c>
      <c r="E381" s="195" t="s">
        <v>14</v>
      </c>
      <c r="F381" s="195" t="s">
        <v>14</v>
      </c>
      <c r="G381" s="196" t="s">
        <v>15</v>
      </c>
      <c r="H381" s="195" t="s">
        <v>14</v>
      </c>
      <c r="I381" s="195" t="s">
        <v>14</v>
      </c>
      <c r="J381" s="197" t="s">
        <v>15</v>
      </c>
      <c r="K381" s="197"/>
    </row>
    <row r="382" spans="1:14" x14ac:dyDescent="0.25">
      <c r="A382" s="79" t="s">
        <v>185</v>
      </c>
      <c r="B382" s="199" t="s">
        <v>146</v>
      </c>
      <c r="C382" s="24"/>
      <c r="D382" s="10"/>
      <c r="E382" s="34"/>
      <c r="F382" s="34"/>
      <c r="G382" s="6"/>
      <c r="H382" s="34"/>
      <c r="I382" s="34"/>
      <c r="J382" s="10"/>
      <c r="K382" s="10"/>
    </row>
    <row r="383" spans="1:14" x14ac:dyDescent="0.25">
      <c r="A383" s="125" t="s">
        <v>184</v>
      </c>
      <c r="B383" s="280" t="s">
        <v>147</v>
      </c>
      <c r="C383" s="252">
        <f>SUM(C384:C385)</f>
        <v>1430900000</v>
      </c>
      <c r="D383" s="10"/>
      <c r="E383" s="34"/>
      <c r="F383" s="34"/>
      <c r="G383" s="6"/>
      <c r="H383" s="34"/>
      <c r="I383" s="34"/>
      <c r="J383" s="10"/>
      <c r="K383" s="10"/>
    </row>
    <row r="384" spans="1:14" ht="25.5" x14ac:dyDescent="0.25">
      <c r="A384" s="154" t="s">
        <v>44</v>
      </c>
      <c r="B384" s="707" t="s">
        <v>384</v>
      </c>
      <c r="C384" s="253">
        <v>30900000</v>
      </c>
      <c r="D384" s="134">
        <f>C384/C383*100</f>
        <v>2.1594800475225382</v>
      </c>
      <c r="E384" s="134">
        <f t="shared" ref="E384:E385" si="137">G384/C384*100</f>
        <v>0</v>
      </c>
      <c r="F384" s="134">
        <f t="shared" ref="F384:F385" si="138">(D384*E384)/100</f>
        <v>0</v>
      </c>
      <c r="G384" s="181">
        <v>0</v>
      </c>
      <c r="H384" s="134">
        <f t="shared" ref="H384:H385" si="139">G384/C384*100</f>
        <v>0</v>
      </c>
      <c r="I384" s="134">
        <f t="shared" ref="I384:I385" si="140">(D384*H384)/100</f>
        <v>0</v>
      </c>
      <c r="J384" s="6">
        <f t="shared" ref="J384:J385" si="141">G384-C384</f>
        <v>-30900000</v>
      </c>
      <c r="K384" s="10"/>
    </row>
    <row r="385" spans="1:11" x14ac:dyDescent="0.25">
      <c r="A385" s="124" t="s">
        <v>148</v>
      </c>
      <c r="B385" s="133" t="s">
        <v>534</v>
      </c>
      <c r="C385" s="256">
        <v>1400000000</v>
      </c>
      <c r="D385" s="134">
        <f>C385/C383*100</f>
        <v>97.840519952477464</v>
      </c>
      <c r="E385" s="134">
        <f t="shared" si="137"/>
        <v>0</v>
      </c>
      <c r="F385" s="134">
        <f t="shared" si="138"/>
        <v>0</v>
      </c>
      <c r="G385" s="181">
        <v>0</v>
      </c>
      <c r="H385" s="134">
        <f t="shared" si="139"/>
        <v>0</v>
      </c>
      <c r="I385" s="134">
        <f t="shared" si="140"/>
        <v>0</v>
      </c>
      <c r="J385" s="6">
        <f t="shared" si="141"/>
        <v>-1400000000</v>
      </c>
      <c r="K385" s="10"/>
    </row>
    <row r="386" spans="1:11" x14ac:dyDescent="0.25">
      <c r="A386" s="70"/>
      <c r="B386" s="129" t="s">
        <v>95</v>
      </c>
      <c r="C386" s="807">
        <f>SUM(C384:C385)</f>
        <v>1430900000</v>
      </c>
      <c r="D386" s="271">
        <f>SUM(D384:D385)</f>
        <v>100</v>
      </c>
      <c r="E386" s="134"/>
      <c r="F386" s="134"/>
      <c r="G386" s="181">
        <v>0</v>
      </c>
      <c r="H386" s="134"/>
      <c r="I386" s="134"/>
      <c r="J386" s="56">
        <v>0</v>
      </c>
      <c r="K386" s="130"/>
    </row>
    <row r="387" spans="1:11" x14ac:dyDescent="0.25">
      <c r="A387" s="5"/>
      <c r="B387" s="5"/>
      <c r="C387" s="5"/>
      <c r="D387" s="29"/>
      <c r="E387" s="30"/>
      <c r="F387" s="31"/>
      <c r="G387" s="36"/>
      <c r="H387" s="32"/>
      <c r="I387" s="31"/>
      <c r="J387" s="36"/>
      <c r="K387" s="37"/>
    </row>
    <row r="388" spans="1:11" x14ac:dyDescent="0.25">
      <c r="A388" s="1133" t="s">
        <v>2</v>
      </c>
      <c r="B388" s="1134" t="s">
        <v>175</v>
      </c>
      <c r="C388" s="1133" t="s">
        <v>4</v>
      </c>
      <c r="D388" s="1135" t="s">
        <v>5</v>
      </c>
      <c r="E388" s="1136"/>
      <c r="F388" s="1136"/>
      <c r="G388" s="1137" t="s">
        <v>6</v>
      </c>
      <c r="H388" s="1136"/>
      <c r="I388" s="1136"/>
      <c r="J388" s="1133" t="s">
        <v>7</v>
      </c>
      <c r="K388" s="198" t="s">
        <v>8</v>
      </c>
    </row>
    <row r="389" spans="1:11" x14ac:dyDescent="0.25">
      <c r="A389" s="1133"/>
      <c r="B389" s="1134"/>
      <c r="C389" s="1133"/>
      <c r="D389" s="198" t="s">
        <v>9</v>
      </c>
      <c r="E389" s="310" t="s">
        <v>10</v>
      </c>
      <c r="F389" s="310" t="s">
        <v>11</v>
      </c>
      <c r="G389" s="311" t="s">
        <v>12</v>
      </c>
      <c r="H389" s="310" t="s">
        <v>13</v>
      </c>
      <c r="I389" s="310" t="s">
        <v>11</v>
      </c>
      <c r="J389" s="1138"/>
      <c r="K389" s="192"/>
    </row>
    <row r="390" spans="1:11" x14ac:dyDescent="0.25">
      <c r="A390" s="1133"/>
      <c r="B390" s="1134"/>
      <c r="C390" s="1133"/>
      <c r="D390" s="197" t="s">
        <v>14</v>
      </c>
      <c r="E390" s="195" t="s">
        <v>14</v>
      </c>
      <c r="F390" s="195" t="s">
        <v>14</v>
      </c>
      <c r="G390" s="196" t="s">
        <v>15</v>
      </c>
      <c r="H390" s="195" t="s">
        <v>14</v>
      </c>
      <c r="I390" s="195" t="s">
        <v>14</v>
      </c>
      <c r="J390" s="197" t="s">
        <v>15</v>
      </c>
      <c r="K390" s="197"/>
    </row>
    <row r="391" spans="1:11" x14ac:dyDescent="0.25">
      <c r="A391" s="79" t="s">
        <v>185</v>
      </c>
      <c r="B391" s="199" t="s">
        <v>146</v>
      </c>
      <c r="C391" s="24"/>
      <c r="D391" s="10"/>
      <c r="E391" s="34"/>
      <c r="F391" s="34"/>
      <c r="G391" s="6"/>
      <c r="H391" s="34"/>
      <c r="I391" s="34"/>
      <c r="J391" s="10"/>
      <c r="K391" s="10"/>
    </row>
    <row r="392" spans="1:11" x14ac:dyDescent="0.25">
      <c r="A392" s="125" t="s">
        <v>187</v>
      </c>
      <c r="B392" s="280" t="s">
        <v>156</v>
      </c>
      <c r="C392" s="252">
        <f>SUM(C393:C396)</f>
        <v>870474720</v>
      </c>
      <c r="D392" s="10"/>
      <c r="E392" s="14"/>
      <c r="F392" s="34"/>
      <c r="G392" s="6"/>
      <c r="H392" s="34"/>
      <c r="I392" s="34"/>
      <c r="J392" s="35"/>
      <c r="K392" s="10"/>
    </row>
    <row r="393" spans="1:11" ht="25.5" x14ac:dyDescent="0.25">
      <c r="A393" s="49" t="s">
        <v>59</v>
      </c>
      <c r="B393" s="707" t="s">
        <v>384</v>
      </c>
      <c r="C393" s="256">
        <v>26160000</v>
      </c>
      <c r="D393" s="34">
        <f>C393/C392*100</f>
        <v>3.0052567178516112</v>
      </c>
      <c r="E393" s="134">
        <f t="shared" ref="E393:E395" si="142">G393/C393*100</f>
        <v>0</v>
      </c>
      <c r="F393" s="134">
        <f t="shared" ref="F393:F395" si="143">(D393*E393)/100</f>
        <v>0</v>
      </c>
      <c r="G393" s="181">
        <v>0</v>
      </c>
      <c r="H393" s="134">
        <f t="shared" ref="H393:H395" si="144">G393/C393*100</f>
        <v>0</v>
      </c>
      <c r="I393" s="134">
        <f t="shared" ref="I393:I395" si="145">(D393*H393)/100</f>
        <v>0</v>
      </c>
      <c r="J393" s="6">
        <f t="shared" ref="J393:J396" si="146">G393-C393</f>
        <v>-26160000</v>
      </c>
      <c r="K393" s="10"/>
    </row>
    <row r="394" spans="1:11" x14ac:dyDescent="0.25">
      <c r="A394" s="49" t="s">
        <v>148</v>
      </c>
      <c r="B394" s="133" t="s">
        <v>534</v>
      </c>
      <c r="C394" s="264">
        <v>600000000</v>
      </c>
      <c r="D394" s="134">
        <f>C394/C392*100</f>
        <v>68.927906372743365</v>
      </c>
      <c r="E394" s="134">
        <f t="shared" si="142"/>
        <v>0</v>
      </c>
      <c r="F394" s="134">
        <f t="shared" si="143"/>
        <v>0</v>
      </c>
      <c r="G394" s="181">
        <v>0</v>
      </c>
      <c r="H394" s="134">
        <f t="shared" si="144"/>
        <v>0</v>
      </c>
      <c r="I394" s="134">
        <f t="shared" si="145"/>
        <v>0</v>
      </c>
      <c r="J394" s="6">
        <f t="shared" si="146"/>
        <v>-600000000</v>
      </c>
      <c r="K394" s="3"/>
    </row>
    <row r="395" spans="1:11" s="84" customFormat="1" ht="25.5" x14ac:dyDescent="0.2">
      <c r="A395" s="723" t="s">
        <v>152</v>
      </c>
      <c r="B395" s="133" t="s">
        <v>153</v>
      </c>
      <c r="C395" s="264">
        <v>240000000</v>
      </c>
      <c r="D395" s="134">
        <f>C395/C392*100</f>
        <v>27.571162549097352</v>
      </c>
      <c r="E395" s="134">
        <f t="shared" si="142"/>
        <v>0</v>
      </c>
      <c r="F395" s="134">
        <f t="shared" si="143"/>
        <v>0</v>
      </c>
      <c r="G395" s="181">
        <v>0</v>
      </c>
      <c r="H395" s="134">
        <f t="shared" si="144"/>
        <v>0</v>
      </c>
      <c r="I395" s="134">
        <f t="shared" si="145"/>
        <v>0</v>
      </c>
      <c r="J395" s="6">
        <f t="shared" si="146"/>
        <v>-240000000</v>
      </c>
      <c r="K395" s="85"/>
    </row>
    <row r="396" spans="1:11" s="84" customFormat="1" x14ac:dyDescent="0.2">
      <c r="A396" s="749" t="s">
        <v>234</v>
      </c>
      <c r="B396" s="133" t="s">
        <v>522</v>
      </c>
      <c r="C396" s="264">
        <v>4314720</v>
      </c>
      <c r="D396" s="804"/>
      <c r="E396" s="134"/>
      <c r="F396" s="134"/>
      <c r="G396" s="181"/>
      <c r="H396" s="134"/>
      <c r="I396" s="134"/>
      <c r="J396" s="6">
        <f t="shared" si="146"/>
        <v>-4314720</v>
      </c>
      <c r="K396" s="823"/>
    </row>
    <row r="397" spans="1:11" x14ac:dyDescent="0.25">
      <c r="A397" s="73"/>
      <c r="B397" s="136" t="s">
        <v>154</v>
      </c>
      <c r="C397" s="824">
        <f>SUM(C393:C396)</f>
        <v>870474720</v>
      </c>
      <c r="D397" s="272">
        <f>SUM(D393:D395)</f>
        <v>99.504325639692325</v>
      </c>
      <c r="E397" s="134"/>
      <c r="F397" s="134"/>
      <c r="G397" s="181">
        <v>0</v>
      </c>
      <c r="H397" s="134"/>
      <c r="I397" s="134"/>
      <c r="J397" s="56">
        <v>0</v>
      </c>
      <c r="K397" s="40"/>
    </row>
    <row r="398" spans="1:11" x14ac:dyDescent="0.25">
      <c r="A398" s="50"/>
      <c r="B398" s="5"/>
      <c r="C398" s="50" t="s">
        <v>141</v>
      </c>
      <c r="D398" s="9"/>
      <c r="E398" s="23"/>
      <c r="F398" s="23"/>
      <c r="G398" s="11"/>
      <c r="H398" s="23"/>
      <c r="I398" s="23"/>
      <c r="J398" s="9"/>
      <c r="K398" s="9"/>
    </row>
    <row r="399" spans="1:11" x14ac:dyDescent="0.25">
      <c r="A399" s="50"/>
      <c r="B399" s="5"/>
      <c r="C399" s="50"/>
      <c r="D399" s="9"/>
      <c r="E399" s="23"/>
      <c r="F399" s="23"/>
      <c r="G399" s="11"/>
      <c r="H399" s="23"/>
      <c r="I399" s="23"/>
      <c r="J399" s="9"/>
      <c r="K399" s="9"/>
    </row>
    <row r="400" spans="1:11" x14ac:dyDescent="0.25">
      <c r="A400" s="1123" t="s">
        <v>2</v>
      </c>
      <c r="B400" s="1126" t="s">
        <v>171</v>
      </c>
      <c r="C400" s="1123" t="s">
        <v>4</v>
      </c>
      <c r="D400" s="1155" t="s">
        <v>5</v>
      </c>
      <c r="E400" s="1156"/>
      <c r="F400" s="1157"/>
      <c r="G400" s="1158" t="s">
        <v>6</v>
      </c>
      <c r="H400" s="1159"/>
      <c r="I400" s="1160"/>
      <c r="J400" s="1123" t="s">
        <v>7</v>
      </c>
      <c r="K400" s="289" t="s">
        <v>8</v>
      </c>
    </row>
    <row r="401" spans="1:14" x14ac:dyDescent="0.25">
      <c r="A401" s="1124"/>
      <c r="B401" s="1127"/>
      <c r="C401" s="1124"/>
      <c r="D401" s="289" t="s">
        <v>9</v>
      </c>
      <c r="E401" s="308" t="s">
        <v>10</v>
      </c>
      <c r="F401" s="308" t="s">
        <v>11</v>
      </c>
      <c r="G401" s="309" t="s">
        <v>12</v>
      </c>
      <c r="H401" s="308" t="s">
        <v>13</v>
      </c>
      <c r="I401" s="308" t="s">
        <v>11</v>
      </c>
      <c r="J401" s="1124"/>
      <c r="K401" s="115"/>
    </row>
    <row r="402" spans="1:14" x14ac:dyDescent="0.25">
      <c r="A402" s="1125"/>
      <c r="B402" s="1128"/>
      <c r="C402" s="1125"/>
      <c r="D402" s="118" t="s">
        <v>14</v>
      </c>
      <c r="E402" s="119" t="s">
        <v>14</v>
      </c>
      <c r="F402" s="119" t="s">
        <v>14</v>
      </c>
      <c r="G402" s="120" t="s">
        <v>15</v>
      </c>
      <c r="H402" s="119" t="s">
        <v>14</v>
      </c>
      <c r="I402" s="119" t="s">
        <v>14</v>
      </c>
      <c r="J402" s="118" t="s">
        <v>15</v>
      </c>
      <c r="K402" s="118"/>
    </row>
    <row r="403" spans="1:14" ht="25.5" x14ac:dyDescent="0.25">
      <c r="A403" s="79" t="s">
        <v>180</v>
      </c>
      <c r="B403" s="696" t="s">
        <v>379</v>
      </c>
      <c r="C403" s="128"/>
      <c r="D403" s="10"/>
      <c r="E403" s="34"/>
      <c r="F403" s="34"/>
      <c r="G403" s="6"/>
      <c r="H403" s="34"/>
      <c r="I403" s="34"/>
      <c r="J403" s="10"/>
      <c r="K403" s="10"/>
    </row>
    <row r="404" spans="1:14" ht="25.5" x14ac:dyDescent="0.25">
      <c r="A404" s="158" t="s">
        <v>181</v>
      </c>
      <c r="B404" s="697" t="s">
        <v>380</v>
      </c>
      <c r="C404" s="265">
        <f>SUM(C405:C416)</f>
        <v>185000000</v>
      </c>
      <c r="D404" s="10"/>
      <c r="E404" s="34"/>
      <c r="F404" s="34"/>
      <c r="G404" s="6"/>
      <c r="H404" s="34"/>
      <c r="I404" s="34"/>
      <c r="J404" s="10"/>
      <c r="K404" s="10"/>
    </row>
    <row r="405" spans="1:14" ht="25.5" x14ac:dyDescent="0.25">
      <c r="A405" s="74" t="s">
        <v>44</v>
      </c>
      <c r="B405" s="707" t="s">
        <v>384</v>
      </c>
      <c r="C405" s="266">
        <v>8580000</v>
      </c>
      <c r="D405" s="134">
        <f>C405/C404*100</f>
        <v>4.6378378378378375</v>
      </c>
      <c r="E405" s="134">
        <f t="shared" ref="E405:E413" si="147">G405/C405*100</f>
        <v>0</v>
      </c>
      <c r="F405" s="134">
        <f t="shared" ref="F405:F413" si="148">(D405*E405)/100</f>
        <v>0</v>
      </c>
      <c r="G405" s="181">
        <v>0</v>
      </c>
      <c r="H405" s="134">
        <f t="shared" ref="H405:H413" si="149">G405/C405*100</f>
        <v>0</v>
      </c>
      <c r="I405" s="134">
        <f t="shared" ref="I405:I413" si="150">(D405*H405)/100</f>
        <v>0</v>
      </c>
      <c r="J405" s="6">
        <f t="shared" ref="J405:J416" si="151">G405-C405</f>
        <v>-8580000</v>
      </c>
      <c r="K405" s="10"/>
      <c r="L405" s="1"/>
      <c r="M405" s="1"/>
      <c r="N405" s="25"/>
    </row>
    <row r="406" spans="1:14" x14ac:dyDescent="0.25">
      <c r="A406" s="74" t="s">
        <v>59</v>
      </c>
      <c r="B406" s="707" t="s">
        <v>197</v>
      </c>
      <c r="C406" s="266">
        <v>12180000</v>
      </c>
      <c r="D406" s="134">
        <f>C406/C404*100</f>
        <v>6.583783783783784</v>
      </c>
      <c r="E406" s="134">
        <f t="shared" si="147"/>
        <v>53.362479474548444</v>
      </c>
      <c r="F406" s="134">
        <f t="shared" si="148"/>
        <v>3.5132702702702705</v>
      </c>
      <c r="G406" s="181">
        <f>6499550</f>
        <v>6499550</v>
      </c>
      <c r="H406" s="134">
        <f t="shared" si="149"/>
        <v>53.362479474548444</v>
      </c>
      <c r="I406" s="134">
        <f t="shared" si="150"/>
        <v>3.5132702702702705</v>
      </c>
      <c r="J406" s="6">
        <f t="shared" si="151"/>
        <v>-5680450</v>
      </c>
      <c r="K406" s="10"/>
      <c r="L406" s="1"/>
      <c r="M406" s="1"/>
      <c r="N406" s="1"/>
    </row>
    <row r="407" spans="1:14" x14ac:dyDescent="0.25">
      <c r="A407" s="74" t="s">
        <v>62</v>
      </c>
      <c r="B407" s="707" t="s">
        <v>334</v>
      </c>
      <c r="C407" s="266">
        <v>9590000</v>
      </c>
      <c r="D407" s="134">
        <f>C407/C404*100</f>
        <v>5.1837837837837837</v>
      </c>
      <c r="E407" s="134">
        <f t="shared" si="147"/>
        <v>40.667361835245046</v>
      </c>
      <c r="F407" s="134">
        <f t="shared" si="148"/>
        <v>2.1081081081081079</v>
      </c>
      <c r="G407" s="181">
        <f>3900000</f>
        <v>3900000</v>
      </c>
      <c r="H407" s="134">
        <f t="shared" si="149"/>
        <v>40.667361835245046</v>
      </c>
      <c r="I407" s="134">
        <f t="shared" si="150"/>
        <v>2.1081081081081079</v>
      </c>
      <c r="J407" s="6">
        <f t="shared" si="151"/>
        <v>-5690000</v>
      </c>
      <c r="K407" s="10"/>
      <c r="L407" s="1"/>
      <c r="M407" s="1"/>
      <c r="N407" s="1"/>
    </row>
    <row r="408" spans="1:14" ht="25.5" x14ac:dyDescent="0.25">
      <c r="A408" s="49" t="s">
        <v>193</v>
      </c>
      <c r="B408" s="707" t="s">
        <v>537</v>
      </c>
      <c r="C408" s="266">
        <v>5250000</v>
      </c>
      <c r="D408" s="134"/>
      <c r="E408" s="134"/>
      <c r="F408" s="134"/>
      <c r="G408" s="181">
        <f>5250000</f>
        <v>5250000</v>
      </c>
      <c r="H408" s="134"/>
      <c r="I408" s="134"/>
      <c r="J408" s="6">
        <f t="shared" si="151"/>
        <v>0</v>
      </c>
      <c r="K408" s="10"/>
      <c r="L408" s="1"/>
      <c r="M408" s="1"/>
      <c r="N408" s="1"/>
    </row>
    <row r="409" spans="1:14" x14ac:dyDescent="0.25">
      <c r="A409" s="49" t="s">
        <v>148</v>
      </c>
      <c r="B409" s="133" t="s">
        <v>534</v>
      </c>
      <c r="C409" s="266">
        <v>8000000</v>
      </c>
      <c r="D409" s="134"/>
      <c r="E409" s="134"/>
      <c r="F409" s="134"/>
      <c r="G409" s="181">
        <f>8000000</f>
        <v>8000000</v>
      </c>
      <c r="H409" s="134"/>
      <c r="I409" s="134"/>
      <c r="J409" s="6">
        <f t="shared" si="151"/>
        <v>0</v>
      </c>
      <c r="K409" s="10"/>
      <c r="L409" s="1"/>
      <c r="M409" s="1"/>
      <c r="N409" s="1"/>
    </row>
    <row r="410" spans="1:14" x14ac:dyDescent="0.25">
      <c r="A410" s="74" t="s">
        <v>77</v>
      </c>
      <c r="B410" s="49" t="s">
        <v>143</v>
      </c>
      <c r="C410" s="266">
        <v>69700000</v>
      </c>
      <c r="D410" s="134">
        <f>C410/C404*100</f>
        <v>37.675675675675677</v>
      </c>
      <c r="E410" s="134">
        <f t="shared" si="147"/>
        <v>6.8866571018651364</v>
      </c>
      <c r="F410" s="134">
        <f t="shared" si="148"/>
        <v>2.5945945945945947</v>
      </c>
      <c r="G410" s="181">
        <f>4800000</f>
        <v>4800000</v>
      </c>
      <c r="H410" s="134">
        <f t="shared" si="149"/>
        <v>6.8866571018651364</v>
      </c>
      <c r="I410" s="134">
        <f t="shared" si="150"/>
        <v>2.5945945945945947</v>
      </c>
      <c r="J410" s="6">
        <f t="shared" si="151"/>
        <v>-64900000</v>
      </c>
      <c r="K410" s="10"/>
      <c r="L410" s="1"/>
      <c r="M410" s="1"/>
      <c r="N410" s="1"/>
    </row>
    <row r="411" spans="1:14" x14ac:dyDescent="0.25">
      <c r="A411" s="314" t="s">
        <v>183</v>
      </c>
      <c r="B411" s="49" t="s">
        <v>417</v>
      </c>
      <c r="C411" s="266">
        <v>14400000</v>
      </c>
      <c r="D411" s="134"/>
      <c r="E411" s="134"/>
      <c r="F411" s="134"/>
      <c r="G411" s="181"/>
      <c r="H411" s="134"/>
      <c r="I411" s="134"/>
      <c r="J411" s="6">
        <f t="shared" si="151"/>
        <v>-14400000</v>
      </c>
      <c r="K411" s="10"/>
      <c r="L411" s="1"/>
      <c r="M411" s="1"/>
      <c r="N411" s="1"/>
    </row>
    <row r="412" spans="1:14" x14ac:dyDescent="0.25">
      <c r="A412" s="74" t="s">
        <v>186</v>
      </c>
      <c r="B412" s="170" t="s">
        <v>182</v>
      </c>
      <c r="C412" s="266">
        <v>31000000</v>
      </c>
      <c r="D412" s="134">
        <f>C412/C404*100</f>
        <v>16.756756756756758</v>
      </c>
      <c r="E412" s="134">
        <f t="shared" si="147"/>
        <v>43.548387096774192</v>
      </c>
      <c r="F412" s="134">
        <f t="shared" si="148"/>
        <v>7.2972972972972983</v>
      </c>
      <c r="G412" s="181">
        <f>13500000</f>
        <v>13500000</v>
      </c>
      <c r="H412" s="134">
        <f t="shared" si="149"/>
        <v>43.548387096774192</v>
      </c>
      <c r="I412" s="134">
        <f t="shared" si="150"/>
        <v>7.2972972972972983</v>
      </c>
      <c r="J412" s="6">
        <f t="shared" si="151"/>
        <v>-17500000</v>
      </c>
      <c r="K412" s="10"/>
      <c r="L412" s="1"/>
      <c r="M412" s="1"/>
      <c r="N412" s="1"/>
    </row>
    <row r="413" spans="1:14" ht="25.5" x14ac:dyDescent="0.25">
      <c r="A413" s="74" t="s">
        <v>106</v>
      </c>
      <c r="B413" s="316" t="s">
        <v>375</v>
      </c>
      <c r="C413" s="266">
        <v>15300000</v>
      </c>
      <c r="D413" s="134">
        <f>C413/C404*100</f>
        <v>8.2702702702702702</v>
      </c>
      <c r="E413" s="134">
        <f t="shared" si="147"/>
        <v>0</v>
      </c>
      <c r="F413" s="134">
        <f t="shared" si="148"/>
        <v>0</v>
      </c>
      <c r="G413" s="181">
        <v>0</v>
      </c>
      <c r="H413" s="134">
        <f t="shared" si="149"/>
        <v>0</v>
      </c>
      <c r="I413" s="134">
        <f t="shared" si="150"/>
        <v>0</v>
      </c>
      <c r="J413" s="6">
        <f t="shared" si="151"/>
        <v>-15300000</v>
      </c>
      <c r="K413" s="10"/>
      <c r="L413" s="1"/>
      <c r="M413" s="1"/>
      <c r="N413" s="1"/>
    </row>
    <row r="414" spans="1:14" x14ac:dyDescent="0.25">
      <c r="A414" s="755" t="s">
        <v>116</v>
      </c>
      <c r="B414" s="316" t="s">
        <v>538</v>
      </c>
      <c r="C414" s="266">
        <v>2000000</v>
      </c>
      <c r="D414" s="134">
        <f>C414/C405*100</f>
        <v>23.310023310023308</v>
      </c>
      <c r="E414" s="134"/>
      <c r="F414" s="134"/>
      <c r="G414" s="181">
        <f>2000000</f>
        <v>2000000</v>
      </c>
      <c r="H414" s="134"/>
      <c r="I414" s="134"/>
      <c r="J414" s="6">
        <f t="shared" si="151"/>
        <v>0</v>
      </c>
      <c r="K414" s="10"/>
      <c r="L414" s="1"/>
      <c r="M414" s="1"/>
      <c r="N414" s="1"/>
    </row>
    <row r="415" spans="1:14" x14ac:dyDescent="0.25">
      <c r="A415" s="755" t="s">
        <v>521</v>
      </c>
      <c r="B415" s="316" t="s">
        <v>539</v>
      </c>
      <c r="C415" s="266">
        <v>2000000</v>
      </c>
      <c r="D415" s="134"/>
      <c r="E415" s="134"/>
      <c r="F415" s="134"/>
      <c r="G415" s="181">
        <f>2000000</f>
        <v>2000000</v>
      </c>
      <c r="H415" s="134"/>
      <c r="I415" s="134"/>
      <c r="J415" s="6">
        <f t="shared" si="151"/>
        <v>0</v>
      </c>
      <c r="K415" s="10"/>
      <c r="L415" s="1"/>
      <c r="M415" s="1"/>
      <c r="N415" s="1"/>
    </row>
    <row r="416" spans="1:14" x14ac:dyDescent="0.25">
      <c r="A416" s="755" t="s">
        <v>65</v>
      </c>
      <c r="B416" s="316" t="s">
        <v>190</v>
      </c>
      <c r="C416" s="266">
        <v>7000000</v>
      </c>
      <c r="D416" s="134"/>
      <c r="E416" s="134"/>
      <c r="F416" s="134"/>
      <c r="G416" s="181"/>
      <c r="H416" s="134"/>
      <c r="I416" s="134"/>
      <c r="J416" s="6">
        <f t="shared" si="151"/>
        <v>-7000000</v>
      </c>
      <c r="K416" s="10"/>
      <c r="L416" s="1"/>
      <c r="M416" s="1"/>
      <c r="N416" s="1"/>
    </row>
    <row r="417" spans="1:14" x14ac:dyDescent="0.25">
      <c r="A417" s="1152" t="s">
        <v>128</v>
      </c>
      <c r="B417" s="1154"/>
      <c r="C417" s="57">
        <f>SUM(C405:C416)</f>
        <v>185000000</v>
      </c>
      <c r="D417" s="273">
        <f>SUM(D405:D413)</f>
        <v>79.108108108108112</v>
      </c>
      <c r="E417" s="134"/>
      <c r="F417" s="134"/>
      <c r="G417" s="13">
        <f>SUM(G405:G416)</f>
        <v>45949550</v>
      </c>
      <c r="H417" s="134"/>
      <c r="I417" s="134"/>
      <c r="J417" s="56">
        <v>0</v>
      </c>
      <c r="K417" s="12"/>
      <c r="L417" s="9"/>
      <c r="M417" s="9"/>
      <c r="N417" s="9"/>
    </row>
    <row r="418" spans="1:14" x14ac:dyDescent="0.25">
      <c r="A418" s="5"/>
      <c r="B418" s="5"/>
      <c r="C418" s="65"/>
      <c r="D418" s="66"/>
      <c r="E418" s="30"/>
      <c r="F418" s="31"/>
      <c r="G418" s="36"/>
      <c r="H418" s="30"/>
      <c r="I418" s="31"/>
      <c r="J418" s="33"/>
      <c r="K418" s="29"/>
      <c r="L418" s="9"/>
      <c r="M418" s="9"/>
      <c r="N418" s="9"/>
    </row>
    <row r="419" spans="1:14" ht="31.5" x14ac:dyDescent="0.25">
      <c r="A419" s="55"/>
      <c r="B419" s="46" t="s">
        <v>145</v>
      </c>
      <c r="C419" s="155"/>
      <c r="D419" s="44"/>
      <c r="E419" s="45"/>
      <c r="F419" s="45"/>
      <c r="G419" s="48"/>
      <c r="H419" s="45"/>
      <c r="I419" s="45"/>
      <c r="J419" s="44"/>
      <c r="K419" s="44"/>
      <c r="L419" s="1"/>
      <c r="M419" s="1"/>
      <c r="N419" s="1"/>
    </row>
    <row r="420" spans="1:14" x14ac:dyDescent="0.25">
      <c r="A420" s="1119" t="s">
        <v>2</v>
      </c>
      <c r="B420" s="1120" t="s">
        <v>171</v>
      </c>
      <c r="C420" s="1119" t="s">
        <v>4</v>
      </c>
      <c r="D420" s="1121" t="s">
        <v>5</v>
      </c>
      <c r="E420" s="1132"/>
      <c r="F420" s="1132"/>
      <c r="G420" s="1122" t="s">
        <v>6</v>
      </c>
      <c r="H420" s="1132"/>
      <c r="I420" s="1132"/>
      <c r="J420" s="1119" t="s">
        <v>7</v>
      </c>
      <c r="K420" s="289" t="s">
        <v>8</v>
      </c>
      <c r="L420" s="1"/>
      <c r="M420" s="1"/>
    </row>
    <row r="421" spans="1:14" x14ac:dyDescent="0.25">
      <c r="A421" s="1119"/>
      <c r="B421" s="1120"/>
      <c r="C421" s="1119"/>
      <c r="D421" s="289" t="s">
        <v>9</v>
      </c>
      <c r="E421" s="308" t="s">
        <v>10</v>
      </c>
      <c r="F421" s="308" t="s">
        <v>11</v>
      </c>
      <c r="G421" s="309" t="s">
        <v>12</v>
      </c>
      <c r="H421" s="308" t="s">
        <v>13</v>
      </c>
      <c r="I421" s="308" t="s">
        <v>11</v>
      </c>
      <c r="J421" s="1123"/>
      <c r="K421" s="115"/>
      <c r="L421" s="1"/>
      <c r="M421" s="1"/>
    </row>
    <row r="422" spans="1:14" x14ac:dyDescent="0.25">
      <c r="A422" s="1119"/>
      <c r="B422" s="1120"/>
      <c r="C422" s="1119"/>
      <c r="D422" s="118" t="s">
        <v>14</v>
      </c>
      <c r="E422" s="119" t="s">
        <v>14</v>
      </c>
      <c r="F422" s="119" t="s">
        <v>14</v>
      </c>
      <c r="G422" s="120" t="s">
        <v>15</v>
      </c>
      <c r="H422" s="119" t="s">
        <v>14</v>
      </c>
      <c r="I422" s="119" t="s">
        <v>14</v>
      </c>
      <c r="J422" s="118" t="s">
        <v>15</v>
      </c>
      <c r="K422" s="118"/>
      <c r="L422" s="1"/>
      <c r="M422" s="1"/>
    </row>
    <row r="423" spans="1:14" x14ac:dyDescent="0.25">
      <c r="A423" s="79" t="s">
        <v>185</v>
      </c>
      <c r="B423" s="199" t="s">
        <v>146</v>
      </c>
      <c r="C423" s="24"/>
      <c r="D423" s="10"/>
      <c r="E423" s="34"/>
      <c r="F423" s="34"/>
      <c r="G423" s="6"/>
      <c r="H423" s="34"/>
      <c r="I423" s="34"/>
      <c r="J423" s="10"/>
      <c r="K423" s="10"/>
      <c r="L423" s="1"/>
      <c r="M423" s="25"/>
    </row>
    <row r="424" spans="1:14" x14ac:dyDescent="0.25">
      <c r="A424" s="125" t="s">
        <v>184</v>
      </c>
      <c r="B424" s="280" t="s">
        <v>147</v>
      </c>
      <c r="C424" s="252">
        <f>SUM(C425:C426)</f>
        <v>5850440000</v>
      </c>
      <c r="D424" s="10"/>
      <c r="E424" s="34"/>
      <c r="F424" s="34"/>
      <c r="G424" s="6"/>
      <c r="H424" s="34"/>
      <c r="I424" s="34"/>
      <c r="J424" s="10"/>
      <c r="K424" s="10"/>
      <c r="L424" s="1"/>
      <c r="M424" s="1"/>
    </row>
    <row r="425" spans="1:14" x14ac:dyDescent="0.25">
      <c r="A425" s="154" t="s">
        <v>413</v>
      </c>
      <c r="B425" s="707" t="s">
        <v>414</v>
      </c>
      <c r="C425" s="253">
        <v>40440000</v>
      </c>
      <c r="D425" s="134" t="e">
        <f>C425/#REF!*100</f>
        <v>#REF!</v>
      </c>
      <c r="E425" s="134"/>
      <c r="F425" s="134"/>
      <c r="G425" s="181">
        <v>0</v>
      </c>
      <c r="H425" s="134"/>
      <c r="I425" s="134"/>
      <c r="J425" s="6">
        <f t="shared" ref="J425:J426" si="152">G425-C425</f>
        <v>-40440000</v>
      </c>
      <c r="K425" s="10"/>
      <c r="L425" s="1"/>
      <c r="M425" s="1"/>
    </row>
    <row r="426" spans="1:14" x14ac:dyDescent="0.25">
      <c r="A426" s="124" t="s">
        <v>148</v>
      </c>
      <c r="B426" s="133" t="s">
        <v>534</v>
      </c>
      <c r="C426" s="256">
        <v>5810000000</v>
      </c>
      <c r="D426" s="134">
        <f>C426/C424*100</f>
        <v>99.308769938671276</v>
      </c>
      <c r="E426" s="134">
        <f t="shared" ref="E426" si="153">G426/C426*100</f>
        <v>0</v>
      </c>
      <c r="F426" s="134">
        <f t="shared" ref="F426" si="154">(D426*E426)/100</f>
        <v>0</v>
      </c>
      <c r="G426" s="181">
        <v>0</v>
      </c>
      <c r="H426" s="134">
        <f t="shared" ref="H426" si="155">G426/C426*100</f>
        <v>0</v>
      </c>
      <c r="I426" s="134">
        <f t="shared" ref="I426" si="156">(D426*H426)/100</f>
        <v>0</v>
      </c>
      <c r="J426" s="6">
        <f t="shared" si="152"/>
        <v>-5810000000</v>
      </c>
      <c r="K426" s="10"/>
      <c r="L426" s="1"/>
      <c r="M426" s="1"/>
    </row>
    <row r="427" spans="1:14" x14ac:dyDescent="0.25">
      <c r="A427" s="72"/>
      <c r="B427" s="136" t="s">
        <v>154</v>
      </c>
      <c r="C427" s="808">
        <f>SUM(C425:C426)</f>
        <v>5850440000</v>
      </c>
      <c r="D427" s="271" t="e">
        <f>SUM(D425:D426)</f>
        <v>#REF!</v>
      </c>
      <c r="E427" s="134"/>
      <c r="F427" s="134"/>
      <c r="G427" s="181">
        <v>0</v>
      </c>
      <c r="H427" s="134"/>
      <c r="I427" s="134"/>
      <c r="J427" s="56">
        <v>0</v>
      </c>
      <c r="K427" s="130"/>
      <c r="L427" s="1"/>
      <c r="M427" s="1"/>
    </row>
    <row r="428" spans="1:14" x14ac:dyDescent="0.25">
      <c r="A428" s="5"/>
      <c r="B428" s="5"/>
      <c r="C428" s="65"/>
      <c r="D428" s="66"/>
      <c r="E428" s="30"/>
      <c r="F428" s="31"/>
      <c r="G428" s="36"/>
      <c r="H428" s="30"/>
      <c r="I428" s="31"/>
      <c r="J428" s="33"/>
      <c r="K428" s="29"/>
      <c r="L428" s="9"/>
      <c r="M428" s="9"/>
      <c r="N428" s="9"/>
    </row>
    <row r="429" spans="1:14" x14ac:dyDescent="0.25">
      <c r="A429" s="1119" t="s">
        <v>2</v>
      </c>
      <c r="B429" s="1120" t="s">
        <v>171</v>
      </c>
      <c r="C429" s="1119" t="s">
        <v>4</v>
      </c>
      <c r="D429" s="1121" t="s">
        <v>5</v>
      </c>
      <c r="E429" s="1132"/>
      <c r="F429" s="1132"/>
      <c r="G429" s="1122" t="s">
        <v>6</v>
      </c>
      <c r="H429" s="1132"/>
      <c r="I429" s="1132"/>
      <c r="J429" s="1119" t="s">
        <v>7</v>
      </c>
      <c r="K429" s="289" t="s">
        <v>8</v>
      </c>
      <c r="L429" s="1"/>
      <c r="M429" s="1"/>
    </row>
    <row r="430" spans="1:14" x14ac:dyDescent="0.25">
      <c r="A430" s="1119"/>
      <c r="B430" s="1120"/>
      <c r="C430" s="1119"/>
      <c r="D430" s="289" t="s">
        <v>9</v>
      </c>
      <c r="E430" s="308" t="s">
        <v>10</v>
      </c>
      <c r="F430" s="308" t="s">
        <v>11</v>
      </c>
      <c r="G430" s="309" t="s">
        <v>12</v>
      </c>
      <c r="H430" s="308" t="s">
        <v>13</v>
      </c>
      <c r="I430" s="308" t="s">
        <v>11</v>
      </c>
      <c r="J430" s="1123"/>
      <c r="K430" s="115"/>
      <c r="L430" s="1"/>
      <c r="M430" s="1"/>
    </row>
    <row r="431" spans="1:14" x14ac:dyDescent="0.25">
      <c r="A431" s="1119"/>
      <c r="B431" s="1120"/>
      <c r="C431" s="1119"/>
      <c r="D431" s="118" t="s">
        <v>14</v>
      </c>
      <c r="E431" s="119" t="s">
        <v>14</v>
      </c>
      <c r="F431" s="119" t="s">
        <v>14</v>
      </c>
      <c r="G431" s="120" t="s">
        <v>15</v>
      </c>
      <c r="H431" s="119" t="s">
        <v>14</v>
      </c>
      <c r="I431" s="119" t="s">
        <v>14</v>
      </c>
      <c r="J431" s="118" t="s">
        <v>15</v>
      </c>
      <c r="K431" s="118"/>
      <c r="L431" s="1"/>
      <c r="M431" s="1"/>
    </row>
    <row r="432" spans="1:14" x14ac:dyDescent="0.25">
      <c r="A432" s="79" t="s">
        <v>185</v>
      </c>
      <c r="B432" s="199" t="s">
        <v>146</v>
      </c>
      <c r="C432" s="24"/>
      <c r="D432" s="10"/>
      <c r="E432" s="34"/>
      <c r="F432" s="34"/>
      <c r="G432" s="6"/>
      <c r="H432" s="34"/>
      <c r="I432" s="34"/>
      <c r="J432" s="10"/>
      <c r="K432" s="10"/>
      <c r="L432" s="1"/>
      <c r="M432" s="1"/>
    </row>
    <row r="433" spans="1:13" x14ac:dyDescent="0.25">
      <c r="A433" s="125" t="s">
        <v>187</v>
      </c>
      <c r="B433" s="280" t="s">
        <v>164</v>
      </c>
      <c r="C433" s="252">
        <f>SUM(C434:C438)</f>
        <v>3539546088</v>
      </c>
      <c r="D433" s="10"/>
      <c r="E433" s="34"/>
      <c r="F433" s="34"/>
      <c r="G433" s="6"/>
      <c r="H433" s="34"/>
      <c r="I433" s="34"/>
      <c r="J433" s="10"/>
      <c r="K433" s="10"/>
      <c r="L433" s="1"/>
      <c r="M433" s="1"/>
    </row>
    <row r="434" spans="1:13" ht="25.5" x14ac:dyDescent="0.25">
      <c r="A434" s="154" t="s">
        <v>44</v>
      </c>
      <c r="B434" s="707" t="s">
        <v>384</v>
      </c>
      <c r="C434" s="253">
        <v>35255000</v>
      </c>
      <c r="D434" s="134">
        <f>C434/C433*100</f>
        <v>0.99603166969696488</v>
      </c>
      <c r="E434" s="134">
        <f t="shared" ref="E434:E437" si="157">G434/C434*100</f>
        <v>0</v>
      </c>
      <c r="F434" s="134">
        <f t="shared" ref="F434:F437" si="158">(D434*E434)/100</f>
        <v>0</v>
      </c>
      <c r="G434" s="181">
        <v>0</v>
      </c>
      <c r="H434" s="134">
        <f t="shared" ref="H434:H437" si="159">G434/C434*100</f>
        <v>0</v>
      </c>
      <c r="I434" s="134">
        <f t="shared" ref="I434:I437" si="160">(D434*H434)/100</f>
        <v>0</v>
      </c>
      <c r="J434" s="6">
        <f t="shared" ref="J434:J438" si="161">G434-C434</f>
        <v>-35255000</v>
      </c>
      <c r="K434" s="10"/>
      <c r="L434" s="1"/>
      <c r="M434" s="1"/>
    </row>
    <row r="435" spans="1:13" x14ac:dyDescent="0.25">
      <c r="A435" s="154" t="s">
        <v>413</v>
      </c>
      <c r="B435" s="707" t="s">
        <v>414</v>
      </c>
      <c r="C435" s="253">
        <v>385000</v>
      </c>
      <c r="D435" s="134"/>
      <c r="E435" s="134"/>
      <c r="F435" s="134"/>
      <c r="G435" s="181">
        <v>0</v>
      </c>
      <c r="H435" s="134"/>
      <c r="I435" s="134"/>
      <c r="J435" s="6">
        <f t="shared" si="161"/>
        <v>-385000</v>
      </c>
      <c r="K435" s="10"/>
      <c r="L435" s="1"/>
      <c r="M435" s="1"/>
    </row>
    <row r="436" spans="1:13" x14ac:dyDescent="0.25">
      <c r="A436" s="124" t="s">
        <v>148</v>
      </c>
      <c r="B436" s="133" t="s">
        <v>534</v>
      </c>
      <c r="C436" s="256">
        <v>2490000000</v>
      </c>
      <c r="D436" s="134">
        <f>C436/C433*100</f>
        <v>70.348003334149553</v>
      </c>
      <c r="E436" s="134">
        <f t="shared" si="157"/>
        <v>0</v>
      </c>
      <c r="F436" s="134">
        <f t="shared" si="158"/>
        <v>0</v>
      </c>
      <c r="G436" s="181">
        <v>0</v>
      </c>
      <c r="H436" s="134">
        <f t="shared" si="159"/>
        <v>0</v>
      </c>
      <c r="I436" s="134">
        <f t="shared" si="160"/>
        <v>0</v>
      </c>
      <c r="J436" s="6">
        <f t="shared" si="161"/>
        <v>-2490000000</v>
      </c>
      <c r="K436" s="10"/>
    </row>
    <row r="437" spans="1:13" s="84" customFormat="1" ht="25.5" x14ac:dyDescent="0.2">
      <c r="A437" s="124" t="s">
        <v>152</v>
      </c>
      <c r="B437" s="133" t="s">
        <v>166</v>
      </c>
      <c r="C437" s="256">
        <v>996000000</v>
      </c>
      <c r="D437" s="134">
        <f>C437/C433*100</f>
        <v>28.13920133365982</v>
      </c>
      <c r="E437" s="134">
        <f t="shared" si="157"/>
        <v>0</v>
      </c>
      <c r="F437" s="134">
        <f t="shared" si="158"/>
        <v>0</v>
      </c>
      <c r="G437" s="181">
        <v>0</v>
      </c>
      <c r="H437" s="134">
        <f t="shared" si="159"/>
        <v>0</v>
      </c>
      <c r="I437" s="134">
        <f t="shared" si="160"/>
        <v>0</v>
      </c>
      <c r="J437" s="6">
        <f t="shared" si="161"/>
        <v>-996000000</v>
      </c>
      <c r="K437" s="38"/>
    </row>
    <row r="438" spans="1:13" s="84" customFormat="1" x14ac:dyDescent="0.2">
      <c r="A438" s="825" t="s">
        <v>234</v>
      </c>
      <c r="B438" s="133" t="s">
        <v>522</v>
      </c>
      <c r="C438" s="256">
        <v>17906088</v>
      </c>
      <c r="D438" s="804"/>
      <c r="E438" s="134"/>
      <c r="F438" s="134"/>
      <c r="G438" s="181"/>
      <c r="H438" s="134"/>
      <c r="I438" s="134"/>
      <c r="J438" s="6">
        <f t="shared" si="161"/>
        <v>-17906088</v>
      </c>
      <c r="K438" s="805"/>
    </row>
    <row r="439" spans="1:13" x14ac:dyDescent="0.25">
      <c r="A439" s="70"/>
      <c r="B439" s="129" t="s">
        <v>95</v>
      </c>
      <c r="C439" s="807">
        <f>SUM(C434:C438)</f>
        <v>3539546088</v>
      </c>
      <c r="D439" s="271">
        <f>SUM(D434:D437)</f>
        <v>99.483236337506327</v>
      </c>
      <c r="E439" s="134"/>
      <c r="F439" s="134"/>
      <c r="G439" s="181">
        <v>0</v>
      </c>
      <c r="H439" s="134"/>
      <c r="I439" s="134"/>
      <c r="J439" s="780"/>
      <c r="K439" s="130"/>
    </row>
    <row r="440" spans="1:13" x14ac:dyDescent="0.25">
      <c r="J440" s="779"/>
    </row>
    <row r="442" spans="1:13" x14ac:dyDescent="0.25">
      <c r="A442" s="50"/>
      <c r="B442" s="5"/>
      <c r="C442" s="50"/>
      <c r="D442" s="29"/>
      <c r="E442" s="30"/>
      <c r="F442" s="31"/>
      <c r="G442" s="36"/>
      <c r="H442" s="32"/>
      <c r="I442" s="31"/>
      <c r="J442" s="36"/>
      <c r="K442" s="37"/>
    </row>
    <row r="443" spans="1:13" x14ac:dyDescent="0.25">
      <c r="A443" s="1"/>
      <c r="B443" s="16" t="s">
        <v>363</v>
      </c>
      <c r="C443" s="61"/>
      <c r="D443" s="1"/>
      <c r="E443" s="1"/>
      <c r="F443" s="1"/>
      <c r="G443" s="1"/>
      <c r="H443" s="1"/>
      <c r="I443" s="18" t="s">
        <v>550</v>
      </c>
      <c r="J443" s="17"/>
      <c r="K443" s="1"/>
    </row>
    <row r="444" spans="1:13" x14ac:dyDescent="0.25">
      <c r="A444" s="1"/>
      <c r="B444" s="19"/>
      <c r="C444" s="62"/>
      <c r="D444" s="1"/>
      <c r="E444" s="1"/>
      <c r="F444" s="1"/>
      <c r="G444" s="1"/>
      <c r="H444" s="1"/>
      <c r="I444" s="63"/>
      <c r="J444" s="16"/>
      <c r="K444" s="1"/>
    </row>
    <row r="445" spans="1:13" x14ac:dyDescent="0.25">
      <c r="A445" s="1"/>
      <c r="B445" s="19"/>
      <c r="C445" s="62"/>
      <c r="D445" s="1"/>
      <c r="E445" s="1"/>
      <c r="F445" s="1"/>
      <c r="G445" s="1"/>
      <c r="H445" s="1"/>
      <c r="I445" s="63"/>
      <c r="J445" s="16"/>
      <c r="K445" s="1"/>
    </row>
    <row r="446" spans="1:13" x14ac:dyDescent="0.25">
      <c r="A446" s="1"/>
      <c r="B446" s="19"/>
      <c r="C446" s="62"/>
      <c r="D446" s="1"/>
      <c r="E446" s="1"/>
      <c r="F446" s="1"/>
      <c r="G446" s="1"/>
      <c r="H446" s="1"/>
      <c r="I446" s="18"/>
      <c r="J446" s="19"/>
      <c r="K446" s="1"/>
    </row>
    <row r="447" spans="1:13" x14ac:dyDescent="0.25">
      <c r="A447" s="1"/>
      <c r="B447" s="75" t="s">
        <v>440</v>
      </c>
      <c r="C447" s="21"/>
      <c r="D447" s="1"/>
      <c r="E447" s="1"/>
      <c r="F447" s="1"/>
      <c r="G447" s="1"/>
      <c r="H447" s="1"/>
      <c r="I447" s="20"/>
      <c r="J447" s="21"/>
      <c r="K447" s="1"/>
    </row>
    <row r="448" spans="1:13" x14ac:dyDescent="0.25">
      <c r="A448" s="1"/>
      <c r="B448" s="739" t="s">
        <v>441</v>
      </c>
      <c r="C448" s="19"/>
      <c r="D448" s="1"/>
      <c r="E448" s="1"/>
      <c r="F448" s="1"/>
      <c r="G448" s="1"/>
      <c r="H448" s="1"/>
      <c r="I448" s="22"/>
      <c r="J448" s="19"/>
      <c r="K448" s="1"/>
    </row>
    <row r="449" spans="1:14" x14ac:dyDescent="0.25">
      <c r="A449" s="5"/>
      <c r="B449" s="5"/>
      <c r="C449" s="65"/>
      <c r="D449" s="66"/>
      <c r="E449" s="30"/>
      <c r="F449" s="31"/>
      <c r="G449" s="36"/>
      <c r="H449" s="30"/>
      <c r="I449" s="31"/>
      <c r="J449" s="33"/>
      <c r="K449" s="29"/>
      <c r="L449" s="9"/>
      <c r="M449" s="9"/>
      <c r="N449" s="9"/>
    </row>
  </sheetData>
  <mergeCells count="149">
    <mergeCell ref="A1:K1"/>
    <mergeCell ref="A2:K2"/>
    <mergeCell ref="A3:K3"/>
    <mergeCell ref="A5:A7"/>
    <mergeCell ref="B5:B7"/>
    <mergeCell ref="C5:C7"/>
    <mergeCell ref="D5:F5"/>
    <mergeCell ref="G5:I5"/>
    <mergeCell ref="J5:J6"/>
    <mergeCell ref="A96:C96"/>
    <mergeCell ref="A98:K98"/>
    <mergeCell ref="A99:K99"/>
    <mergeCell ref="A100:K100"/>
    <mergeCell ref="A101:A103"/>
    <mergeCell ref="B101:B103"/>
    <mergeCell ref="C101:C103"/>
    <mergeCell ref="D101:F101"/>
    <mergeCell ref="G101:I101"/>
    <mergeCell ref="J101:J102"/>
    <mergeCell ref="K132:K134"/>
    <mergeCell ref="A150:B150"/>
    <mergeCell ref="A153:A155"/>
    <mergeCell ref="B153:B155"/>
    <mergeCell ref="C153:C155"/>
    <mergeCell ref="D153:F153"/>
    <mergeCell ref="G153:I153"/>
    <mergeCell ref="J153:J154"/>
    <mergeCell ref="A129:C129"/>
    <mergeCell ref="A132:A134"/>
    <mergeCell ref="B132:B134"/>
    <mergeCell ref="D132:F132"/>
    <mergeCell ref="G132:I132"/>
    <mergeCell ref="J132:J133"/>
    <mergeCell ref="A175:A177"/>
    <mergeCell ref="B175:B177"/>
    <mergeCell ref="C175:C177"/>
    <mergeCell ref="D175:F175"/>
    <mergeCell ref="G175:I175"/>
    <mergeCell ref="J175:J176"/>
    <mergeCell ref="A163:A165"/>
    <mergeCell ref="B163:B165"/>
    <mergeCell ref="C163:C165"/>
    <mergeCell ref="D163:F163"/>
    <mergeCell ref="G163:I163"/>
    <mergeCell ref="J163:J164"/>
    <mergeCell ref="A209:A211"/>
    <mergeCell ref="B209:B211"/>
    <mergeCell ref="C209:C211"/>
    <mergeCell ref="D209:F209"/>
    <mergeCell ref="G209:I209"/>
    <mergeCell ref="J209:J210"/>
    <mergeCell ref="A199:A201"/>
    <mergeCell ref="B199:B201"/>
    <mergeCell ref="C199:C201"/>
    <mergeCell ref="D199:F199"/>
    <mergeCell ref="G199:I199"/>
    <mergeCell ref="J199:J200"/>
    <mergeCell ref="J242:J243"/>
    <mergeCell ref="A251:A253"/>
    <mergeCell ref="B251:B253"/>
    <mergeCell ref="C251:C253"/>
    <mergeCell ref="D251:F251"/>
    <mergeCell ref="G251:I251"/>
    <mergeCell ref="J251:J252"/>
    <mergeCell ref="A222:A224"/>
    <mergeCell ref="B222:B224"/>
    <mergeCell ref="D222:F222"/>
    <mergeCell ref="G222:I222"/>
    <mergeCell ref="J222:J223"/>
    <mergeCell ref="A242:A244"/>
    <mergeCell ref="B242:B244"/>
    <mergeCell ref="C242:C244"/>
    <mergeCell ref="D242:F242"/>
    <mergeCell ref="G242:I242"/>
    <mergeCell ref="A295:A297"/>
    <mergeCell ref="B295:B297"/>
    <mergeCell ref="C295:C297"/>
    <mergeCell ref="D295:F295"/>
    <mergeCell ref="G295:I295"/>
    <mergeCell ref="J295:J296"/>
    <mergeCell ref="K265:K267"/>
    <mergeCell ref="A286:A288"/>
    <mergeCell ref="B286:B288"/>
    <mergeCell ref="C286:C288"/>
    <mergeCell ref="D286:F286"/>
    <mergeCell ref="G286:I286"/>
    <mergeCell ref="J286:J287"/>
    <mergeCell ref="A265:A267"/>
    <mergeCell ref="B265:B267"/>
    <mergeCell ref="C265:C267"/>
    <mergeCell ref="D265:F265"/>
    <mergeCell ref="G265:I265"/>
    <mergeCell ref="J265:J266"/>
    <mergeCell ref="A342:A344"/>
    <mergeCell ref="B342:B344"/>
    <mergeCell ref="C342:C344"/>
    <mergeCell ref="D342:F342"/>
    <mergeCell ref="G342:I342"/>
    <mergeCell ref="J342:J343"/>
    <mergeCell ref="K307:K309"/>
    <mergeCell ref="A333:A335"/>
    <mergeCell ref="B333:B335"/>
    <mergeCell ref="C333:C335"/>
    <mergeCell ref="D333:F333"/>
    <mergeCell ref="G333:I333"/>
    <mergeCell ref="J333:J334"/>
    <mergeCell ref="A307:A309"/>
    <mergeCell ref="B307:B309"/>
    <mergeCell ref="C307:C309"/>
    <mergeCell ref="D307:F307"/>
    <mergeCell ref="G307:I307"/>
    <mergeCell ref="J307:J308"/>
    <mergeCell ref="A379:A381"/>
    <mergeCell ref="B379:B381"/>
    <mergeCell ref="C379:C381"/>
    <mergeCell ref="D379:F379"/>
    <mergeCell ref="G379:I379"/>
    <mergeCell ref="J379:J380"/>
    <mergeCell ref="A355:A357"/>
    <mergeCell ref="B355:B357"/>
    <mergeCell ref="D355:F355"/>
    <mergeCell ref="G355:I355"/>
    <mergeCell ref="J355:J356"/>
    <mergeCell ref="A376:B376"/>
    <mergeCell ref="A400:A402"/>
    <mergeCell ref="B400:B402"/>
    <mergeCell ref="C400:C402"/>
    <mergeCell ref="D400:F400"/>
    <mergeCell ref="G400:I400"/>
    <mergeCell ref="J400:J401"/>
    <mergeCell ref="A388:A390"/>
    <mergeCell ref="B388:B390"/>
    <mergeCell ref="C388:C390"/>
    <mergeCell ref="D388:F388"/>
    <mergeCell ref="G388:I388"/>
    <mergeCell ref="J388:J389"/>
    <mergeCell ref="J420:J421"/>
    <mergeCell ref="A429:A431"/>
    <mergeCell ref="B429:B431"/>
    <mergeCell ref="C429:C431"/>
    <mergeCell ref="D429:F429"/>
    <mergeCell ref="G429:I429"/>
    <mergeCell ref="J429:J430"/>
    <mergeCell ref="A417:B417"/>
    <mergeCell ref="A420:A422"/>
    <mergeCell ref="B420:B422"/>
    <mergeCell ref="C420:C422"/>
    <mergeCell ref="D420:F420"/>
    <mergeCell ref="G420:I420"/>
  </mergeCells>
  <printOptions horizontalCentered="1"/>
  <pageMargins left="0" right="0" top="0.75" bottom="0.75" header="0.3" footer="0.3"/>
  <pageSetup paperSize="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51"/>
  <sheetViews>
    <sheetView topLeftCell="B33" zoomScaleNormal="100" workbookViewId="0">
      <selection activeCell="N47" sqref="N47"/>
    </sheetView>
  </sheetViews>
  <sheetFormatPr defaultRowHeight="15" x14ac:dyDescent="0.25"/>
  <cols>
    <col min="1" max="1" width="14" customWidth="1"/>
    <col min="2" max="2" width="50.85546875" customWidth="1"/>
    <col min="3" max="3" width="13" customWidth="1"/>
    <col min="4" max="5" width="6.42578125" customWidth="1"/>
    <col min="6" max="6" width="8.7109375" customWidth="1"/>
    <col min="7" max="7" width="13.28515625" customWidth="1"/>
    <col min="8" max="8" width="7.28515625" customWidth="1"/>
    <col min="9" max="9" width="9.140625" customWidth="1"/>
    <col min="10" max="10" width="14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551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846" t="s">
        <v>1</v>
      </c>
      <c r="B4" s="846"/>
      <c r="C4" s="846"/>
      <c r="D4" s="846"/>
      <c r="E4" s="847"/>
      <c r="F4" s="847"/>
      <c r="G4" s="47"/>
      <c r="H4" s="847"/>
      <c r="I4" s="847"/>
      <c r="J4" s="846"/>
      <c r="K4" s="846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C11+C16+C21+C29+C40+C45+C53+C55+C58+C63+C65+C69+C73+C77+C80+C86+C90+C92</f>
        <v>14557351544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ht="25.5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/>
      <c r="H12" s="161"/>
      <c r="I12" s="161"/>
      <c r="J12" s="6">
        <f>G12-C12</f>
        <v>-1150000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0</v>
      </c>
      <c r="F13" s="134">
        <f>(D13*E13)/100</f>
        <v>0</v>
      </c>
      <c r="G13" s="6">
        <v>0</v>
      </c>
      <c r="H13" s="134">
        <f>G13/C13*100</f>
        <v>0</v>
      </c>
      <c r="I13" s="134">
        <f>(D13*H13)/100</f>
        <v>0</v>
      </c>
      <c r="J13" s="6">
        <f t="shared" ref="J13:J15" si="0">G13-C13</f>
        <v>-4430000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v>0</v>
      </c>
      <c r="H14" s="134"/>
      <c r="I14" s="134"/>
      <c r="J14" s="6">
        <f t="shared" si="0"/>
        <v>-4320000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v>0</v>
      </c>
      <c r="H15" s="134"/>
      <c r="I15" s="134"/>
      <c r="J15" s="6">
        <f t="shared" si="0"/>
        <v>-20100000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ht="25.5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v>0</v>
      </c>
      <c r="H18" s="134"/>
      <c r="I18" s="134"/>
      <c r="J18" s="6">
        <f t="shared" si="1"/>
        <v>-4720000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v>0</v>
      </c>
      <c r="H19" s="134"/>
      <c r="I19" s="134"/>
      <c r="J19" s="6">
        <f t="shared" si="1"/>
        <v>-5730000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v>0</v>
      </c>
      <c r="H20" s="134"/>
      <c r="I20" s="134"/>
      <c r="J20" s="6">
        <f t="shared" si="1"/>
        <v>-9380000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ht="25.5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0</v>
      </c>
      <c r="F24" s="134">
        <f t="shared" ref="F24:F26" si="3">(D24*E24)/100</f>
        <v>0</v>
      </c>
      <c r="G24" s="6">
        <v>0</v>
      </c>
      <c r="H24" s="134">
        <f t="shared" ref="H24:H26" si="4">G24/C24*100</f>
        <v>0</v>
      </c>
      <c r="I24" s="134">
        <f t="shared" ref="I24:I26" si="5">(D24*H24)/100</f>
        <v>0</v>
      </c>
      <c r="J24" s="6">
        <f t="shared" si="2"/>
        <v>-5459000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0</v>
      </c>
      <c r="F25" s="134">
        <f t="shared" si="3"/>
        <v>0</v>
      </c>
      <c r="G25" s="6">
        <v>0</v>
      </c>
      <c r="H25" s="134">
        <f t="shared" si="4"/>
        <v>0</v>
      </c>
      <c r="I25" s="134">
        <f t="shared" si="5"/>
        <v>0</v>
      </c>
      <c r="J25" s="6">
        <f t="shared" si="2"/>
        <v>-9661000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0</v>
      </c>
      <c r="F26" s="134">
        <f t="shared" si="3"/>
        <v>0</v>
      </c>
      <c r="G26" s="6">
        <v>0</v>
      </c>
      <c r="H26" s="134">
        <f t="shared" si="4"/>
        <v>0</v>
      </c>
      <c r="I26" s="134">
        <f t="shared" si="5"/>
        <v>0</v>
      </c>
      <c r="J26" s="6">
        <f t="shared" si="2"/>
        <v>-14400000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v>0</v>
      </c>
      <c r="H27" s="134"/>
      <c r="I27" s="134"/>
      <c r="J27" s="6">
        <f t="shared" si="2"/>
        <v>-18000000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4245540345</v>
      </c>
      <c r="D30" s="200">
        <f>C30/C29*100</f>
        <v>36.245950350934478</v>
      </c>
      <c r="E30" s="134">
        <f>G30/C30*100</f>
        <v>38.373164959288594</v>
      </c>
      <c r="F30" s="134">
        <f t="shared" ref="F30:F38" si="6">(D30*E30)/100</f>
        <v>13.908718319225931</v>
      </c>
      <c r="G30" s="6">
        <f>1629148200</f>
        <v>1629148200</v>
      </c>
      <c r="H30" s="134">
        <f>G30/C30*100</f>
        <v>38.373164959288594</v>
      </c>
      <c r="I30" s="134">
        <f t="shared" ref="I30:I38" si="7">(D30*H30)/100</f>
        <v>13.908718319225931</v>
      </c>
      <c r="J30" s="6">
        <f t="shared" ref="J30:J39" si="8">G30-C30</f>
        <v>-2616392145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9" si="9">G31/C31*100</f>
        <v>22.104447417268265</v>
      </c>
      <c r="F31" s="134">
        <f t="shared" si="6"/>
        <v>1.3301178787304653</v>
      </c>
      <c r="G31" s="6">
        <f>155798622</f>
        <v>155798622</v>
      </c>
      <c r="H31" s="134">
        <f t="shared" ref="H31:H39" si="10">G31/C31*100</f>
        <v>22.104447417268265</v>
      </c>
      <c r="I31" s="134">
        <f t="shared" si="7"/>
        <v>1.3301178787304653</v>
      </c>
      <c r="J31" s="6">
        <f t="shared" si="8"/>
        <v>-549030678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29.124885959845621</v>
      </c>
      <c r="F32" s="134">
        <f t="shared" si="6"/>
        <v>0.97463157944920686</v>
      </c>
      <c r="G32" s="6">
        <f>114160000</f>
        <v>114160000</v>
      </c>
      <c r="H32" s="134">
        <f t="shared" si="10"/>
        <v>29.124885959845621</v>
      </c>
      <c r="I32" s="134">
        <f t="shared" si="7"/>
        <v>0.97463157944920686</v>
      </c>
      <c r="J32" s="6">
        <f t="shared" si="8"/>
        <v>-277807200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14.25339366515837</v>
      </c>
      <c r="F33" s="134">
        <f t="shared" si="6"/>
        <v>5.3785730120269812E-2</v>
      </c>
      <c r="G33" s="6">
        <f>6300000</f>
        <v>6300000</v>
      </c>
      <c r="H33" s="134">
        <f t="shared" si="10"/>
        <v>14.25339366515837</v>
      </c>
      <c r="I33" s="134">
        <f t="shared" si="7"/>
        <v>5.3785730120269812E-2</v>
      </c>
      <c r="J33" s="6">
        <f t="shared" si="8"/>
        <v>-37900000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35.922000952064771</v>
      </c>
      <c r="F34" s="134">
        <f t="shared" si="6"/>
        <v>0.34918037490778353</v>
      </c>
      <c r="G34" s="6">
        <f>40900000</f>
        <v>40900000</v>
      </c>
      <c r="H34" s="134">
        <f>G34/C34*100</f>
        <v>35.922000952064771</v>
      </c>
      <c r="I34" s="134">
        <f t="shared" si="7"/>
        <v>0.34918037490778353</v>
      </c>
      <c r="J34" s="6">
        <f t="shared" si="8"/>
        <v>-72957800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35.846560846560848</v>
      </c>
      <c r="F35" s="134">
        <f t="shared" si="6"/>
        <v>0.83776909357856666</v>
      </c>
      <c r="G35" s="6">
        <f>98129100</f>
        <v>98129100</v>
      </c>
      <c r="H35" s="134">
        <f t="shared" si="10"/>
        <v>35.846560846560848</v>
      </c>
      <c r="I35" s="134">
        <f t="shared" si="7"/>
        <v>0.83776909357856666</v>
      </c>
      <c r="J35" s="6">
        <f t="shared" si="8"/>
        <v>-175618500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23.431013333333333</v>
      </c>
      <c r="F36" s="134">
        <f t="shared" si="6"/>
        <v>3.0006051418835965E-2</v>
      </c>
      <c r="G36" s="6">
        <f>3514652</f>
        <v>3514652</v>
      </c>
      <c r="H36" s="134">
        <f t="shared" si="10"/>
        <v>23.431013333333333</v>
      </c>
      <c r="I36" s="134">
        <f t="shared" si="7"/>
        <v>3.0006051418835965E-2</v>
      </c>
      <c r="J36" s="6">
        <f t="shared" si="8"/>
        <v>-11485348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3.7226290097629011</v>
      </c>
      <c r="F37" s="134">
        <f t="shared" si="6"/>
        <v>1.8229947543779704E-4</v>
      </c>
      <c r="G37" s="6">
        <f>21353</f>
        <v>21353</v>
      </c>
      <c r="H37" s="134">
        <f>G37/C37*100</f>
        <v>3.7226290097629011</v>
      </c>
      <c r="I37" s="134">
        <f t="shared" si="7"/>
        <v>1.8229947543779704E-4</v>
      </c>
      <c r="J37" s="6">
        <f t="shared" si="8"/>
        <v>-552247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5647177786</v>
      </c>
      <c r="D38" s="200">
        <f>C38/C29*100</f>
        <v>48.212314339520454</v>
      </c>
      <c r="E38" s="134">
        <f t="shared" si="9"/>
        <v>26.609115950365087</v>
      </c>
      <c r="F38" s="134">
        <f t="shared" si="6"/>
        <v>12.828870624957492</v>
      </c>
      <c r="G38" s="6">
        <f>1502664085</f>
        <v>1502664085</v>
      </c>
      <c r="H38" s="134">
        <f t="shared" si="10"/>
        <v>26.609115950365087</v>
      </c>
      <c r="I38" s="134">
        <f t="shared" si="7"/>
        <v>12.828870624957492</v>
      </c>
      <c r="J38" s="6">
        <f t="shared" si="8"/>
        <v>-4144513701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276250331</v>
      </c>
      <c r="D39" s="200"/>
      <c r="E39" s="134">
        <f t="shared" si="9"/>
        <v>29.166666953242494</v>
      </c>
      <c r="F39" s="134"/>
      <c r="G39" s="6">
        <f>80573014</f>
        <v>80573014</v>
      </c>
      <c r="H39" s="134">
        <f t="shared" si="10"/>
        <v>29.166666953242494</v>
      </c>
      <c r="I39" s="134"/>
      <c r="J39" s="6">
        <f t="shared" si="8"/>
        <v>-195677317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1853928000</v>
      </c>
      <c r="D40" s="241"/>
      <c r="E40" s="242"/>
      <c r="F40" s="242"/>
      <c r="G40" s="791">
        <v>0</v>
      </c>
      <c r="H40" s="242"/>
      <c r="I40" s="242"/>
      <c r="J40" s="791">
        <v>0</v>
      </c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1723250000</v>
      </c>
      <c r="D41" s="200">
        <f>C41/C40*100</f>
        <v>92.95129044925153</v>
      </c>
      <c r="E41" s="134">
        <f>G41/C41*100</f>
        <v>33.013201798926445</v>
      </c>
      <c r="F41" s="134">
        <f t="shared" ref="F41:F44" si="11">(D41*E41)/100</f>
        <v>30.686197090717652</v>
      </c>
      <c r="G41" s="6">
        <f>568900000</f>
        <v>568900000</v>
      </c>
      <c r="H41" s="134">
        <f t="shared" ref="H41:H44" si="12">G41/C41*100</f>
        <v>33.013201798926445</v>
      </c>
      <c r="I41" s="134">
        <f t="shared" ref="I41:I44" si="13">(D41*H41)/100</f>
        <v>30.686197090717652</v>
      </c>
      <c r="J41" s="6">
        <f t="shared" ref="J41:J44" si="14">G41-C41</f>
        <v>-1154350000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122730550</v>
      </c>
      <c r="D42" s="200">
        <f>C42/C40*100</f>
        <v>6.6200278543719069</v>
      </c>
      <c r="E42" s="134">
        <f t="shared" ref="E42:E44" si="15">G42/C42*100</f>
        <v>23.044998168752603</v>
      </c>
      <c r="F42" s="134">
        <f t="shared" si="11"/>
        <v>1.5255852978109181</v>
      </c>
      <c r="G42" s="6">
        <f>28283253</f>
        <v>28283253</v>
      </c>
      <c r="H42" s="134">
        <f t="shared" si="12"/>
        <v>23.044998168752603</v>
      </c>
      <c r="I42" s="134">
        <f t="shared" si="13"/>
        <v>1.5255852978109181</v>
      </c>
      <c r="J42" s="6">
        <f t="shared" si="14"/>
        <v>-94447297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3532200</v>
      </c>
      <c r="D43" s="200">
        <f>C43/C40*100</f>
        <v>0.19052519838958148</v>
      </c>
      <c r="E43" s="134">
        <f t="shared" si="15"/>
        <v>82.791319857312729</v>
      </c>
      <c r="F43" s="134">
        <f t="shared" si="11"/>
        <v>0.15773832640749805</v>
      </c>
      <c r="G43" s="6">
        <f>2924355</f>
        <v>2924355</v>
      </c>
      <c r="H43" s="134">
        <f t="shared" si="12"/>
        <v>82.791319857312729</v>
      </c>
      <c r="I43" s="134">
        <f t="shared" si="13"/>
        <v>0.15773832640749805</v>
      </c>
      <c r="J43" s="6">
        <f t="shared" si="14"/>
        <v>-607845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4415250</v>
      </c>
      <c r="D44" s="200">
        <f>C44/C40*100</f>
        <v>0.23815649798697683</v>
      </c>
      <c r="E44" s="134">
        <f t="shared" si="15"/>
        <v>82.791574656021737</v>
      </c>
      <c r="F44" s="134">
        <f t="shared" si="11"/>
        <v>0.19717351482905482</v>
      </c>
      <c r="G44" s="6">
        <f>3655455</f>
        <v>3655455</v>
      </c>
      <c r="H44" s="134">
        <f t="shared" si="12"/>
        <v>82.791574656021737</v>
      </c>
      <c r="I44" s="134">
        <f t="shared" si="13"/>
        <v>0.19717351482905482</v>
      </c>
      <c r="J44" s="6">
        <f t="shared" si="14"/>
        <v>-759795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</v>
      </c>
      <c r="D47" s="741"/>
      <c r="E47" s="742"/>
      <c r="F47" s="742"/>
      <c r="G47" s="6">
        <v>0</v>
      </c>
      <c r="H47" s="742"/>
      <c r="I47" s="742"/>
      <c r="J47" s="6">
        <f t="shared" si="16"/>
        <v>-170000</v>
      </c>
      <c r="K47" s="744"/>
      <c r="L47" s="737"/>
      <c r="M47" s="737"/>
      <c r="N47" s="737"/>
      <c r="O47" s="737"/>
      <c r="P47" s="737"/>
      <c r="Q47" s="737"/>
      <c r="R47" s="782"/>
    </row>
    <row r="48" spans="1:18" ht="25.5" x14ac:dyDescent="0.25">
      <c r="A48" s="49" t="s">
        <v>415</v>
      </c>
      <c r="B48" s="707" t="s">
        <v>197</v>
      </c>
      <c r="C48" s="56">
        <v>8775400</v>
      </c>
      <c r="D48" s="200">
        <f>C48/C45*100</f>
        <v>17.550799999999999</v>
      </c>
      <c r="E48" s="134">
        <f t="shared" ref="E48:E50" si="17">G48/C48*100</f>
        <v>55.287223374433069</v>
      </c>
      <c r="F48" s="134">
        <f t="shared" ref="F48:F50" si="18">(D48*E48)/100</f>
        <v>9.7033499999999986</v>
      </c>
      <c r="G48" s="6">
        <f>4851675</f>
        <v>4851675</v>
      </c>
      <c r="H48" s="134">
        <f t="shared" ref="H48:H50" si="19">G48/C48*100</f>
        <v>55.287223374433069</v>
      </c>
      <c r="I48" s="134">
        <f t="shared" ref="I48:I50" si="20">(D48*H48)/100</f>
        <v>9.7033499999999986</v>
      </c>
      <c r="J48" s="6">
        <f t="shared" si="16"/>
        <v>-3923725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0</v>
      </c>
      <c r="F49" s="134">
        <f t="shared" si="18"/>
        <v>0</v>
      </c>
      <c r="G49" s="6">
        <v>0</v>
      </c>
      <c r="H49" s="134">
        <f t="shared" si="19"/>
        <v>0</v>
      </c>
      <c r="I49" s="134">
        <f t="shared" si="20"/>
        <v>0</v>
      </c>
      <c r="J49" s="6">
        <f t="shared" si="16"/>
        <v>-4124600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14520000</v>
      </c>
      <c r="D50" s="200">
        <f>C50/C45*100</f>
        <v>29.04</v>
      </c>
      <c r="E50" s="134">
        <f t="shared" si="17"/>
        <v>34.380165289256198</v>
      </c>
      <c r="F50" s="134">
        <f t="shared" si="18"/>
        <v>9.984</v>
      </c>
      <c r="G50" s="6">
        <f>4992000</f>
        <v>4992000</v>
      </c>
      <c r="H50" s="134">
        <f t="shared" si="19"/>
        <v>34.380165289256198</v>
      </c>
      <c r="I50" s="134">
        <f t="shared" si="20"/>
        <v>9.984</v>
      </c>
      <c r="J50" s="6">
        <f t="shared" si="16"/>
        <v>-9528000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v>0</v>
      </c>
      <c r="H51" s="134"/>
      <c r="I51" s="134"/>
      <c r="J51" s="6">
        <f t="shared" si="16"/>
        <v>-20100000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6.8081475160464517</v>
      </c>
      <c r="F54" s="134">
        <f t="shared" ref="F54:F57" si="21">(D54*E54)/100</f>
        <v>6.8081475160464517</v>
      </c>
      <c r="G54" s="6">
        <f>917500</f>
        <v>917500</v>
      </c>
      <c r="H54" s="134">
        <f>G54/C54*100</f>
        <v>6.8081475160464517</v>
      </c>
      <c r="I54" s="134">
        <f>(D54*H54)/100</f>
        <v>6.8081475160464517</v>
      </c>
      <c r="J54" s="6">
        <f>G54-C54</f>
        <v>-12559000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SUM(C56:C57)</f>
        <v>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2.5342874180083479</v>
      </c>
      <c r="E56" s="134">
        <f t="shared" ref="E56:E57" si="22">G56/C56*100</f>
        <v>0</v>
      </c>
      <c r="F56" s="134">
        <f t="shared" si="21"/>
        <v>0</v>
      </c>
      <c r="G56" s="6">
        <v>0</v>
      </c>
      <c r="H56" s="134">
        <f t="shared" ref="H56:H58" si="23">G56/C56*100</f>
        <v>0</v>
      </c>
      <c r="I56" s="134">
        <f t="shared" ref="I56:I57" si="24">(D56*H56)/100</f>
        <v>0</v>
      </c>
      <c r="J56" s="6">
        <f t="shared" ref="J56:J57" si="25">G56-C56</f>
        <v>-170000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6538000</v>
      </c>
      <c r="D57" s="200">
        <f>C57/C55*100</f>
        <v>97.465712581991653</v>
      </c>
      <c r="E57" s="134">
        <f t="shared" si="22"/>
        <v>24.602324869990824</v>
      </c>
      <c r="F57" s="134">
        <f t="shared" si="21"/>
        <v>23.978831246273106</v>
      </c>
      <c r="G57" s="6">
        <f>1608500</f>
        <v>1608500</v>
      </c>
      <c r="H57" s="134">
        <f t="shared" si="23"/>
        <v>24.602324869990824</v>
      </c>
      <c r="I57" s="134">
        <f t="shared" si="24"/>
        <v>23.978831246273106</v>
      </c>
      <c r="J57" s="6">
        <f t="shared" si="25"/>
        <v>-4929500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238" t="s">
        <v>503</v>
      </c>
      <c r="B58" s="238" t="s">
        <v>61</v>
      </c>
      <c r="C58" s="239">
        <f>SUM(C59:C62)</f>
        <v>62599600</v>
      </c>
      <c r="D58" s="241"/>
      <c r="E58" s="242"/>
      <c r="F58" s="242"/>
      <c r="G58" s="791">
        <v>0</v>
      </c>
      <c r="H58" s="242">
        <f t="shared" si="23"/>
        <v>0</v>
      </c>
      <c r="I58" s="242"/>
      <c r="J58" s="791">
        <v>0</v>
      </c>
      <c r="K58" s="237"/>
      <c r="L58" s="4"/>
      <c r="M58" s="4"/>
      <c r="N58" s="4"/>
      <c r="O58" s="4"/>
      <c r="P58" s="4"/>
      <c r="Q58" s="4"/>
      <c r="R58" s="9"/>
    </row>
    <row r="59" spans="1:18" ht="22.5" customHeight="1" x14ac:dyDescent="0.25">
      <c r="A59" s="49" t="s">
        <v>450</v>
      </c>
      <c r="B59" s="707" t="s">
        <v>384</v>
      </c>
      <c r="C59" s="56">
        <v>3090000</v>
      </c>
      <c r="D59" s="200">
        <f>C59/C58*100</f>
        <v>4.9361337772126337</v>
      </c>
      <c r="E59" s="134">
        <f>G59/C59*100</f>
        <v>100</v>
      </c>
      <c r="F59" s="134">
        <f t="shared" ref="F59:F71" si="26">(D59*E59)/100</f>
        <v>4.9361337772126337</v>
      </c>
      <c r="G59" s="6">
        <f>3090000</f>
        <v>3090000</v>
      </c>
      <c r="H59" s="134">
        <f>G59/C59*100</f>
        <v>100</v>
      </c>
      <c r="I59" s="134">
        <f>(D59*H59)/100</f>
        <v>4.9361337772126337</v>
      </c>
      <c r="J59" s="6">
        <f t="shared" ref="J59:J62" si="27">G59-C59</f>
        <v>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448</v>
      </c>
      <c r="B60" s="707" t="s">
        <v>445</v>
      </c>
      <c r="C60" s="56">
        <v>170000</v>
      </c>
      <c r="D60" s="200"/>
      <c r="E60" s="134"/>
      <c r="F60" s="134"/>
      <c r="G60" s="6">
        <v>0</v>
      </c>
      <c r="H60" s="134"/>
      <c r="I60" s="134"/>
      <c r="J60" s="6">
        <f t="shared" si="27"/>
        <v>-170000</v>
      </c>
      <c r="K60" s="163"/>
      <c r="L60" s="4"/>
      <c r="M60" s="4"/>
      <c r="N60" s="4"/>
      <c r="O60" s="4"/>
      <c r="P60" s="4"/>
      <c r="Q60" s="4"/>
      <c r="R60" s="9"/>
    </row>
    <row r="61" spans="1:18" ht="25.5" x14ac:dyDescent="0.25">
      <c r="A61" s="49" t="s">
        <v>415</v>
      </c>
      <c r="B61" s="707" t="s">
        <v>197</v>
      </c>
      <c r="C61" s="56">
        <v>7993000</v>
      </c>
      <c r="D61" s="200"/>
      <c r="E61" s="134"/>
      <c r="F61" s="134"/>
      <c r="G61" s="6">
        <f>4891500+302500</f>
        <v>5194000</v>
      </c>
      <c r="H61" s="134"/>
      <c r="I61" s="134"/>
      <c r="J61" s="6">
        <f t="shared" si="27"/>
        <v>-2799000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413</v>
      </c>
      <c r="B62" s="707" t="s">
        <v>334</v>
      </c>
      <c r="C62" s="56">
        <v>51346600</v>
      </c>
      <c r="D62" s="200"/>
      <c r="E62" s="134"/>
      <c r="F62" s="134"/>
      <c r="G62" s="6">
        <f>7200000+8265800</f>
        <v>15465800</v>
      </c>
      <c r="H62" s="134"/>
      <c r="I62" s="134"/>
      <c r="J62" s="6">
        <f t="shared" si="27"/>
        <v>-35880800</v>
      </c>
      <c r="K62" s="163"/>
      <c r="L62" s="4"/>
      <c r="M62" s="4"/>
      <c r="N62" s="4"/>
      <c r="O62" s="4"/>
      <c r="P62" s="4"/>
      <c r="Q62" s="4"/>
      <c r="R62" s="9"/>
    </row>
    <row r="63" spans="1:18" s="796" customFormat="1" ht="25.5" x14ac:dyDescent="0.25">
      <c r="A63" s="799" t="s">
        <v>468</v>
      </c>
      <c r="B63" s="736" t="s">
        <v>467</v>
      </c>
      <c r="C63" s="800">
        <v>3000000</v>
      </c>
      <c r="D63" s="789"/>
      <c r="E63" s="790"/>
      <c r="F63" s="790"/>
      <c r="G63" s="791">
        <v>0</v>
      </c>
      <c r="H63" s="790"/>
      <c r="I63" s="790"/>
      <c r="J63" s="791">
        <v>0</v>
      </c>
      <c r="K63" s="793"/>
      <c r="L63" s="794"/>
      <c r="M63" s="794"/>
      <c r="N63" s="794"/>
      <c r="O63" s="794"/>
      <c r="P63" s="794"/>
      <c r="Q63" s="794"/>
      <c r="R63" s="795"/>
    </row>
    <row r="64" spans="1:18" x14ac:dyDescent="0.25">
      <c r="A64" s="49" t="s">
        <v>413</v>
      </c>
      <c r="B64" s="707" t="s">
        <v>334</v>
      </c>
      <c r="C64" s="56">
        <v>3000000</v>
      </c>
      <c r="D64" s="200"/>
      <c r="E64" s="134"/>
      <c r="F64" s="134"/>
      <c r="G64" s="6">
        <v>0</v>
      </c>
      <c r="H64" s="134"/>
      <c r="I64" s="134"/>
      <c r="J64" s="6">
        <f>G64-C64</f>
        <v>-3000000</v>
      </c>
      <c r="K64" s="163"/>
      <c r="L64" s="4"/>
      <c r="M64" s="4"/>
      <c r="N64" s="4"/>
      <c r="O64" s="4"/>
      <c r="P64" s="4"/>
      <c r="Q64" s="4"/>
      <c r="R64" s="9"/>
    </row>
    <row r="65" spans="1:18" s="796" customFormat="1" x14ac:dyDescent="0.25">
      <c r="A65" s="799" t="s">
        <v>469</v>
      </c>
      <c r="B65" s="736" t="s">
        <v>470</v>
      </c>
      <c r="C65" s="800">
        <f>SUM(C66:C68)</f>
        <v>12000000</v>
      </c>
      <c r="D65" s="789"/>
      <c r="E65" s="790"/>
      <c r="F65" s="790"/>
      <c r="G65" s="791">
        <v>0</v>
      </c>
      <c r="H65" s="790"/>
      <c r="I65" s="790"/>
      <c r="J65" s="791">
        <v>0</v>
      </c>
      <c r="K65" s="793"/>
      <c r="L65" s="794"/>
      <c r="M65" s="794"/>
      <c r="N65" s="794"/>
      <c r="O65" s="794"/>
      <c r="P65" s="794"/>
      <c r="Q65" s="794"/>
      <c r="R65" s="795"/>
    </row>
    <row r="66" spans="1:18" x14ac:dyDescent="0.25">
      <c r="A66" s="49" t="s">
        <v>448</v>
      </c>
      <c r="B66" s="707" t="s">
        <v>445</v>
      </c>
      <c r="C66" s="56">
        <v>170000</v>
      </c>
      <c r="D66" s="200"/>
      <c r="E66" s="134"/>
      <c r="F66" s="134"/>
      <c r="G66" s="6">
        <v>0</v>
      </c>
      <c r="H66" s="134"/>
      <c r="I66" s="134"/>
      <c r="J66" s="6">
        <f t="shared" ref="J66:J68" si="28">G66-C66</f>
        <v>-170000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413</v>
      </c>
      <c r="B67" s="707" t="s">
        <v>334</v>
      </c>
      <c r="C67" s="56">
        <v>820000</v>
      </c>
      <c r="D67" s="200"/>
      <c r="E67" s="134"/>
      <c r="F67" s="134"/>
      <c r="G67" s="6">
        <v>0</v>
      </c>
      <c r="H67" s="134"/>
      <c r="I67" s="134"/>
      <c r="J67" s="6">
        <f t="shared" si="28"/>
        <v>-820000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391</v>
      </c>
      <c r="B68" s="218" t="s">
        <v>198</v>
      </c>
      <c r="C68" s="56">
        <v>11010000</v>
      </c>
      <c r="D68" s="200"/>
      <c r="E68" s="134"/>
      <c r="F68" s="134"/>
      <c r="G68" s="6">
        <v>0</v>
      </c>
      <c r="H68" s="134"/>
      <c r="I68" s="134"/>
      <c r="J68" s="6">
        <f t="shared" si="28"/>
        <v>-11010000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238" t="s">
        <v>504</v>
      </c>
      <c r="B69" s="238" t="s">
        <v>64</v>
      </c>
      <c r="C69" s="239">
        <f>SUM(C70:C71)</f>
        <v>148714000</v>
      </c>
      <c r="D69" s="241"/>
      <c r="E69" s="242"/>
      <c r="F69" s="242"/>
      <c r="G69" s="791">
        <v>0</v>
      </c>
      <c r="H69" s="242"/>
      <c r="I69" s="242"/>
      <c r="J69" s="791">
        <v>0</v>
      </c>
      <c r="K69" s="237"/>
      <c r="L69" s="4"/>
      <c r="M69" s="4"/>
      <c r="N69" s="4"/>
      <c r="O69" s="4"/>
      <c r="P69" s="4"/>
      <c r="Q69" s="4"/>
      <c r="R69" s="9"/>
    </row>
    <row r="70" spans="1:18" ht="21" customHeight="1" x14ac:dyDescent="0.25">
      <c r="A70" s="49" t="s">
        <v>450</v>
      </c>
      <c r="B70" s="707" t="s">
        <v>384</v>
      </c>
      <c r="C70" s="56">
        <v>3480000</v>
      </c>
      <c r="D70" s="200">
        <f>C70/C69*100</f>
        <v>2.3400621326842126</v>
      </c>
      <c r="E70" s="134">
        <f t="shared" ref="E70:E71" si="29">G70/C70*100</f>
        <v>0</v>
      </c>
      <c r="F70" s="134">
        <f t="shared" si="26"/>
        <v>0</v>
      </c>
      <c r="G70" s="6">
        <v>0</v>
      </c>
      <c r="H70" s="134">
        <f t="shared" ref="H70:H71" si="30">G70/C70*100</f>
        <v>0</v>
      </c>
      <c r="I70" s="134">
        <f t="shared" ref="I70:I71" si="31">(D70*H70)/100</f>
        <v>0</v>
      </c>
      <c r="J70" s="6">
        <f t="shared" ref="J70:J71" si="32">G70-C70</f>
        <v>-3480000</v>
      </c>
      <c r="K70" s="163"/>
      <c r="L70" s="4"/>
      <c r="M70" s="4"/>
      <c r="N70" s="4"/>
      <c r="O70" s="4"/>
      <c r="P70" s="4"/>
      <c r="Q70" s="4"/>
      <c r="R70" s="9"/>
    </row>
    <row r="71" spans="1:18" ht="15.75" thickBot="1" x14ac:dyDescent="0.3">
      <c r="A71" s="217" t="s">
        <v>449</v>
      </c>
      <c r="B71" s="78" t="s">
        <v>23</v>
      </c>
      <c r="C71" s="219">
        <v>145234000</v>
      </c>
      <c r="D71" s="200">
        <f>C71/C69*100</f>
        <v>97.659937867315776</v>
      </c>
      <c r="E71" s="134">
        <f t="shared" si="29"/>
        <v>10.197605243951141</v>
      </c>
      <c r="F71" s="134">
        <f t="shared" si="26"/>
        <v>9.9589749451968199</v>
      </c>
      <c r="G71" s="6">
        <f>14810390</f>
        <v>14810390</v>
      </c>
      <c r="H71" s="134">
        <f t="shared" si="30"/>
        <v>10.197605243951141</v>
      </c>
      <c r="I71" s="134">
        <f t="shared" si="31"/>
        <v>9.9589749451968199</v>
      </c>
      <c r="J71" s="6">
        <f t="shared" si="32"/>
        <v>-130423610</v>
      </c>
      <c r="K71" s="163"/>
      <c r="L71" s="4"/>
      <c r="M71" s="4"/>
      <c r="N71" s="4"/>
      <c r="O71" s="694"/>
      <c r="P71" s="4"/>
      <c r="Q71" s="4"/>
      <c r="R71" s="9"/>
    </row>
    <row r="72" spans="1:18" ht="15.75" thickBot="1" x14ac:dyDescent="0.3">
      <c r="A72" s="689" t="s">
        <v>248</v>
      </c>
      <c r="B72" s="708" t="s">
        <v>68</v>
      </c>
      <c r="C72" s="690"/>
      <c r="D72" s="216"/>
      <c r="E72" s="134"/>
      <c r="F72" s="134"/>
      <c r="G72" s="6">
        <v>0</v>
      </c>
      <c r="H72" s="134"/>
      <c r="I72" s="134"/>
      <c r="J72" s="6">
        <v>0</v>
      </c>
      <c r="K72" s="163"/>
      <c r="L72" s="4"/>
      <c r="M72" s="4"/>
      <c r="N72" s="4"/>
      <c r="O72" s="4"/>
      <c r="P72" s="4"/>
      <c r="Q72" s="4"/>
      <c r="R72" s="9"/>
    </row>
    <row r="73" spans="1:18" x14ac:dyDescent="0.25">
      <c r="A73" s="233" t="s">
        <v>249</v>
      </c>
      <c r="B73" s="696" t="s">
        <v>387</v>
      </c>
      <c r="C73" s="234">
        <f>SUM(C74:C76)</f>
        <v>237367500</v>
      </c>
      <c r="D73" s="241"/>
      <c r="E73" s="242"/>
      <c r="F73" s="242"/>
      <c r="G73" s="791">
        <v>0</v>
      </c>
      <c r="H73" s="242"/>
      <c r="I73" s="242"/>
      <c r="J73" s="791">
        <v>0</v>
      </c>
      <c r="K73" s="237"/>
      <c r="L73" s="4"/>
      <c r="M73" s="4"/>
      <c r="N73" s="4"/>
      <c r="O73" s="713"/>
      <c r="P73" s="4"/>
      <c r="Q73" s="4"/>
      <c r="R73" s="9"/>
    </row>
    <row r="74" spans="1:18" x14ac:dyDescent="0.25">
      <c r="A74" s="49" t="s">
        <v>471</v>
      </c>
      <c r="B74" s="78" t="s">
        <v>388</v>
      </c>
      <c r="C74" s="56">
        <v>54000000</v>
      </c>
      <c r="D74" s="200">
        <f>C74/C73*100</f>
        <v>22.749533950519762</v>
      </c>
      <c r="E74" s="134">
        <f t="shared" ref="E74:E76" si="33">G74/C74*100</f>
        <v>26.429025925925924</v>
      </c>
      <c r="F74" s="134">
        <f t="shared" ref="F74:F76" si="34">(D74*E74)/100</f>
        <v>6.0124802258101875</v>
      </c>
      <c r="G74" s="6">
        <f>14271674</f>
        <v>14271674</v>
      </c>
      <c r="H74" s="134">
        <f t="shared" ref="H74:H78" si="35">G74/C74*100</f>
        <v>26.429025925925924</v>
      </c>
      <c r="I74" s="134">
        <f t="shared" ref="I74:I76" si="36">(D74*H74)/100</f>
        <v>6.0124802258101875</v>
      </c>
      <c r="J74" s="6">
        <f t="shared" ref="J74:J76" si="37">G74-C74</f>
        <v>-39728326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472</v>
      </c>
      <c r="B75" s="78" t="s">
        <v>73</v>
      </c>
      <c r="C75" s="56">
        <v>39000000</v>
      </c>
      <c r="D75" s="200">
        <f>C75/C73*100</f>
        <v>16.430218964264274</v>
      </c>
      <c r="E75" s="134">
        <f t="shared" si="33"/>
        <v>20.441943589743587</v>
      </c>
      <c r="F75" s="134">
        <f t="shared" si="34"/>
        <v>3.3586560923462558</v>
      </c>
      <c r="G75" s="6">
        <f>7972358</f>
        <v>7972358</v>
      </c>
      <c r="H75" s="134">
        <f t="shared" si="35"/>
        <v>20.441943589743587</v>
      </c>
      <c r="I75" s="134">
        <f t="shared" si="36"/>
        <v>3.3586560923462558</v>
      </c>
      <c r="J75" s="6">
        <f t="shared" si="37"/>
        <v>-31027642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473</v>
      </c>
      <c r="B76" s="78" t="s">
        <v>75</v>
      </c>
      <c r="C76" s="56">
        <v>144367500</v>
      </c>
      <c r="D76" s="200">
        <f>C76/C73*100</f>
        <v>60.820247085215961</v>
      </c>
      <c r="E76" s="134">
        <f t="shared" si="33"/>
        <v>33.101662077683692</v>
      </c>
      <c r="F76" s="134">
        <f t="shared" si="34"/>
        <v>20.132512664960451</v>
      </c>
      <c r="G76" s="6">
        <f>47788042</f>
        <v>47788042</v>
      </c>
      <c r="H76" s="134">
        <f t="shared" si="35"/>
        <v>33.101662077683692</v>
      </c>
      <c r="I76" s="134">
        <f t="shared" si="36"/>
        <v>20.132512664960451</v>
      </c>
      <c r="J76" s="6">
        <f t="shared" si="37"/>
        <v>-96579458</v>
      </c>
      <c r="K76" s="163"/>
      <c r="L76" s="4"/>
      <c r="M76" s="4"/>
      <c r="N76" s="4"/>
      <c r="O76" s="4"/>
      <c r="P76" s="4"/>
      <c r="Q76" s="4"/>
      <c r="R76" s="9"/>
    </row>
    <row r="77" spans="1:18" x14ac:dyDescent="0.25">
      <c r="A77" s="238" t="s">
        <v>505</v>
      </c>
      <c r="B77" s="238" t="s">
        <v>76</v>
      </c>
      <c r="C77" s="239">
        <f>SUM(C78:C78)</f>
        <v>20000000</v>
      </c>
      <c r="D77" s="241"/>
      <c r="E77" s="242"/>
      <c r="F77" s="242"/>
      <c r="G77" s="791">
        <v>0</v>
      </c>
      <c r="H77" s="242"/>
      <c r="I77" s="242"/>
      <c r="J77" s="791">
        <v>0</v>
      </c>
      <c r="K77" s="237"/>
      <c r="L77" s="4"/>
      <c r="M77" s="4"/>
      <c r="N77" s="4"/>
      <c r="O77" s="4"/>
      <c r="P77" s="4"/>
      <c r="Q77" s="4"/>
      <c r="R77" s="9"/>
    </row>
    <row r="78" spans="1:18" ht="14.25" customHeight="1" thickBot="1" x14ac:dyDescent="0.3">
      <c r="A78" s="49" t="s">
        <v>450</v>
      </c>
      <c r="B78" s="707" t="s">
        <v>384</v>
      </c>
      <c r="C78" s="56">
        <v>20000000</v>
      </c>
      <c r="D78" s="200">
        <f>C78/C77*100</f>
        <v>100</v>
      </c>
      <c r="E78" s="134">
        <f t="shared" ref="E78" si="38">G78/C78*100</f>
        <v>0</v>
      </c>
      <c r="F78" s="134">
        <f t="shared" ref="F78" si="39">(D78*E78)/100</f>
        <v>0</v>
      </c>
      <c r="G78" s="6">
        <v>0</v>
      </c>
      <c r="H78" s="134">
        <f t="shared" si="35"/>
        <v>0</v>
      </c>
      <c r="I78" s="134">
        <f t="shared" ref="I78" si="40">(D78*H78)/100</f>
        <v>0</v>
      </c>
      <c r="J78" s="6">
        <f>G78-C78</f>
        <v>-20000000</v>
      </c>
      <c r="K78" s="163"/>
      <c r="L78" s="4"/>
      <c r="M78" s="4"/>
      <c r="N78" s="4"/>
      <c r="O78" s="4"/>
      <c r="P78" s="4"/>
      <c r="Q78" s="4"/>
      <c r="R78" s="9"/>
    </row>
    <row r="79" spans="1:18" ht="26.25" thickBot="1" x14ac:dyDescent="0.3">
      <c r="A79" s="689" t="s">
        <v>506</v>
      </c>
      <c r="B79" s="692" t="s">
        <v>377</v>
      </c>
      <c r="C79" s="690"/>
      <c r="D79" s="216"/>
      <c r="E79" s="134"/>
      <c r="F79" s="134"/>
      <c r="G79" s="6">
        <v>0</v>
      </c>
      <c r="H79" s="134"/>
      <c r="I79" s="134"/>
      <c r="J79" s="6">
        <v>0</v>
      </c>
      <c r="K79" s="163"/>
      <c r="L79" s="4"/>
      <c r="M79" s="4"/>
      <c r="N79" s="4"/>
      <c r="O79" s="694"/>
      <c r="P79" s="4"/>
      <c r="Q79" s="4"/>
      <c r="R79" s="9"/>
    </row>
    <row r="80" spans="1:18" ht="26.25" x14ac:dyDescent="0.25">
      <c r="A80" s="693" t="s">
        <v>507</v>
      </c>
      <c r="B80" s="691" t="s">
        <v>474</v>
      </c>
      <c r="C80" s="234">
        <f>SUM(C81:C85)</f>
        <v>151843982</v>
      </c>
      <c r="D80" s="241"/>
      <c r="E80" s="242"/>
      <c r="F80" s="242"/>
      <c r="G80" s="791">
        <v>0</v>
      </c>
      <c r="H80" s="242"/>
      <c r="I80" s="242"/>
      <c r="J80" s="791">
        <v>0</v>
      </c>
      <c r="K80" s="244"/>
      <c r="L80" s="4"/>
      <c r="M80" s="4"/>
      <c r="N80" s="4"/>
      <c r="O80" s="4"/>
      <c r="P80" s="4"/>
      <c r="Q80" s="4"/>
      <c r="R80" s="9"/>
    </row>
    <row r="81" spans="1:18" s="783" customFormat="1" ht="25.5" x14ac:dyDescent="0.25">
      <c r="A81" s="801" t="s">
        <v>450</v>
      </c>
      <c r="B81" s="707" t="s">
        <v>384</v>
      </c>
      <c r="C81" s="788">
        <v>7330000</v>
      </c>
      <c r="D81" s="741"/>
      <c r="E81" s="742"/>
      <c r="F81" s="742"/>
      <c r="G81" s="6">
        <v>0</v>
      </c>
      <c r="H81" s="742"/>
      <c r="I81" s="742"/>
      <c r="J81" s="6">
        <f t="shared" ref="J81:J85" si="41">G81-C81</f>
        <v>-7330000</v>
      </c>
      <c r="K81" s="743"/>
      <c r="L81" s="737"/>
      <c r="M81" s="737"/>
      <c r="N81" s="737"/>
      <c r="O81" s="737"/>
      <c r="P81" s="737"/>
      <c r="Q81" s="737"/>
      <c r="R81" s="782"/>
    </row>
    <row r="82" spans="1:18" x14ac:dyDescent="0.25">
      <c r="A82" s="224" t="s">
        <v>475</v>
      </c>
      <c r="B82" s="78" t="s">
        <v>81</v>
      </c>
      <c r="C82" s="56">
        <v>79356018</v>
      </c>
      <c r="D82" s="200">
        <f>C82/C80*100</f>
        <v>52.261549621373874</v>
      </c>
      <c r="E82" s="134">
        <f t="shared" ref="E82:E85" si="42">G82/C82*100</f>
        <v>33.451779296687995</v>
      </c>
      <c r="F82" s="134">
        <f t="shared" ref="F82:F85" si="43">(D82*E82)/100</f>
        <v>17.482418236371068</v>
      </c>
      <c r="G82" s="6">
        <f>26546000</f>
        <v>26546000</v>
      </c>
      <c r="H82" s="134">
        <f t="shared" ref="H82:H85" si="44">G82/C82*100</f>
        <v>33.451779296687995</v>
      </c>
      <c r="I82" s="134">
        <f t="shared" ref="I82:I85" si="45">(D82*H82)/100</f>
        <v>17.482418236371068</v>
      </c>
      <c r="J82" s="6">
        <f t="shared" si="41"/>
        <v>-52810018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476</v>
      </c>
      <c r="B83" s="78" t="s">
        <v>83</v>
      </c>
      <c r="C83" s="56">
        <v>22600000</v>
      </c>
      <c r="D83" s="200">
        <f>C83/C80*100</f>
        <v>14.883698189632566</v>
      </c>
      <c r="E83" s="134">
        <f t="shared" si="42"/>
        <v>12.407079646017699</v>
      </c>
      <c r="F83" s="134">
        <f t="shared" si="43"/>
        <v>1.846632288660607</v>
      </c>
      <c r="G83" s="6">
        <f>2804000</f>
        <v>2804000</v>
      </c>
      <c r="H83" s="134">
        <f t="shared" si="44"/>
        <v>12.407079646017699</v>
      </c>
      <c r="I83" s="134">
        <f t="shared" si="45"/>
        <v>1.846632288660607</v>
      </c>
      <c r="J83" s="6">
        <f t="shared" si="41"/>
        <v>-19796000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477</v>
      </c>
      <c r="B84" s="78" t="s">
        <v>85</v>
      </c>
      <c r="C84" s="56">
        <v>13307964</v>
      </c>
      <c r="D84" s="200">
        <f>C84/C80*100</f>
        <v>8.7642353847121832</v>
      </c>
      <c r="E84" s="134">
        <f t="shared" si="42"/>
        <v>2.6856099099757107</v>
      </c>
      <c r="F84" s="134">
        <f t="shared" si="43"/>
        <v>0.23537317402542826</v>
      </c>
      <c r="G84" s="6">
        <f>357400</f>
        <v>357400</v>
      </c>
      <c r="H84" s="134">
        <f t="shared" si="44"/>
        <v>2.6856099099757107</v>
      </c>
      <c r="I84" s="134">
        <f t="shared" si="45"/>
        <v>0.23537317402542826</v>
      </c>
      <c r="J84" s="6">
        <f t="shared" si="41"/>
        <v>-12950564</v>
      </c>
      <c r="K84" s="56"/>
      <c r="L84" s="4"/>
      <c r="M84" s="4"/>
      <c r="N84" s="4"/>
      <c r="O84" s="713"/>
      <c r="P84" s="4"/>
      <c r="Q84" s="4"/>
      <c r="R84" s="9"/>
    </row>
    <row r="85" spans="1:18" ht="25.5" x14ac:dyDescent="0.25">
      <c r="A85" s="49" t="s">
        <v>478</v>
      </c>
      <c r="B85" s="77" t="s">
        <v>87</v>
      </c>
      <c r="C85" s="56">
        <v>29250000</v>
      </c>
      <c r="D85" s="200">
        <f>C85/C80*100</f>
        <v>19.263193453396134</v>
      </c>
      <c r="E85" s="134">
        <f t="shared" si="42"/>
        <v>5.0940170940170937</v>
      </c>
      <c r="F85" s="134">
        <f t="shared" si="43"/>
        <v>0.98127036736958073</v>
      </c>
      <c r="G85" s="6">
        <f>1490000</f>
        <v>1490000</v>
      </c>
      <c r="H85" s="134">
        <f t="shared" si="44"/>
        <v>5.0940170940170937</v>
      </c>
      <c r="I85" s="134">
        <f t="shared" si="45"/>
        <v>0.98127036736958073</v>
      </c>
      <c r="J85" s="6">
        <f t="shared" si="41"/>
        <v>-27760000</v>
      </c>
      <c r="K85" s="56"/>
      <c r="L85" s="4"/>
      <c r="M85" s="4"/>
      <c r="N85" s="4"/>
      <c r="O85" s="4"/>
      <c r="P85" s="4"/>
      <c r="Q85" s="4"/>
      <c r="R85" s="9"/>
    </row>
    <row r="86" spans="1:18" s="796" customFormat="1" x14ac:dyDescent="0.25">
      <c r="A86" s="799" t="s">
        <v>483</v>
      </c>
      <c r="B86" s="691" t="s">
        <v>479</v>
      </c>
      <c r="C86" s="800">
        <f>SUM(C87:C89)</f>
        <v>30280000</v>
      </c>
      <c r="D86" s="789"/>
      <c r="E86" s="790"/>
      <c r="F86" s="790"/>
      <c r="G86" s="791">
        <v>0</v>
      </c>
      <c r="H86" s="790"/>
      <c r="I86" s="790"/>
      <c r="J86" s="791">
        <v>0</v>
      </c>
      <c r="K86" s="792"/>
      <c r="L86" s="794"/>
      <c r="M86" s="794"/>
      <c r="N86" s="794"/>
      <c r="O86" s="794"/>
      <c r="P86" s="794"/>
      <c r="Q86" s="794"/>
      <c r="R86" s="795"/>
    </row>
    <row r="87" spans="1:18" ht="25.5" x14ac:dyDescent="0.25">
      <c r="A87" s="49" t="s">
        <v>484</v>
      </c>
      <c r="B87" s="77" t="s">
        <v>480</v>
      </c>
      <c r="C87" s="56">
        <v>4110000</v>
      </c>
      <c r="D87" s="200"/>
      <c r="E87" s="134"/>
      <c r="F87" s="134"/>
      <c r="G87" s="132">
        <f>1400000</f>
        <v>1400000</v>
      </c>
      <c r="H87" s="134"/>
      <c r="I87" s="134"/>
      <c r="J87" s="6">
        <f t="shared" ref="J87:J89" si="46">G87-C87</f>
        <v>-2710000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485</v>
      </c>
      <c r="B88" s="77" t="s">
        <v>481</v>
      </c>
      <c r="C88" s="56">
        <v>14490000</v>
      </c>
      <c r="D88" s="200"/>
      <c r="E88" s="134"/>
      <c r="F88" s="134"/>
      <c r="G88" s="6">
        <f>2750000</f>
        <v>2750000</v>
      </c>
      <c r="H88" s="134"/>
      <c r="I88" s="134"/>
      <c r="J88" s="6">
        <f t="shared" si="46"/>
        <v>-11740000</v>
      </c>
      <c r="K88" s="56"/>
      <c r="L88" s="4"/>
      <c r="M88" s="4"/>
      <c r="N88" s="4"/>
      <c r="O88" s="4"/>
      <c r="P88" s="4"/>
      <c r="Q88" s="4"/>
      <c r="R88" s="9"/>
    </row>
    <row r="89" spans="1:18" ht="25.5" x14ac:dyDescent="0.25">
      <c r="A89" s="49" t="s">
        <v>486</v>
      </c>
      <c r="B89" s="77" t="s">
        <v>482</v>
      </c>
      <c r="C89" s="56">
        <v>11680000</v>
      </c>
      <c r="D89" s="200"/>
      <c r="E89" s="134"/>
      <c r="F89" s="134"/>
      <c r="G89" s="132">
        <f>5565000</f>
        <v>5565000</v>
      </c>
      <c r="H89" s="134"/>
      <c r="I89" s="134"/>
      <c r="J89" s="6">
        <f t="shared" si="46"/>
        <v>-6115000</v>
      </c>
      <c r="K89" s="56"/>
      <c r="L89" s="4"/>
      <c r="M89" s="4"/>
      <c r="N89" s="4"/>
      <c r="O89" s="4"/>
      <c r="P89" s="4"/>
      <c r="Q89" s="4"/>
      <c r="R89" s="9"/>
    </row>
    <row r="90" spans="1:18" s="796" customFormat="1" ht="25.5" x14ac:dyDescent="0.25">
      <c r="A90" s="799" t="s">
        <v>508</v>
      </c>
      <c r="B90" s="802" t="s">
        <v>90</v>
      </c>
      <c r="C90" s="800">
        <v>107280000</v>
      </c>
      <c r="D90" s="789"/>
      <c r="E90" s="790"/>
      <c r="F90" s="790"/>
      <c r="G90" s="791"/>
      <c r="H90" s="790"/>
      <c r="I90" s="790"/>
      <c r="J90" s="791"/>
      <c r="K90" s="792"/>
      <c r="L90" s="794"/>
      <c r="M90" s="794"/>
      <c r="N90" s="794"/>
      <c r="O90" s="794"/>
      <c r="P90" s="794"/>
      <c r="Q90" s="794"/>
      <c r="R90" s="795"/>
    </row>
    <row r="91" spans="1:18" ht="25.5" x14ac:dyDescent="0.25">
      <c r="A91" s="49" t="s">
        <v>487</v>
      </c>
      <c r="B91" s="77" t="s">
        <v>509</v>
      </c>
      <c r="C91" s="56">
        <v>107280000</v>
      </c>
      <c r="D91" s="200"/>
      <c r="E91" s="134"/>
      <c r="F91" s="134"/>
      <c r="G91" s="132">
        <f>1093000</f>
        <v>1093000</v>
      </c>
      <c r="H91" s="134"/>
      <c r="I91" s="134"/>
      <c r="J91" s="6">
        <f>G91-C91</f>
        <v>-106187000</v>
      </c>
      <c r="K91" s="56"/>
      <c r="L91" s="4"/>
      <c r="M91" s="4"/>
      <c r="N91" s="4"/>
      <c r="O91" s="4"/>
      <c r="P91" s="4"/>
      <c r="Q91" s="4"/>
      <c r="R91" s="9"/>
    </row>
    <row r="92" spans="1:18" ht="25.5" x14ac:dyDescent="0.25">
      <c r="A92" s="238" t="s">
        <v>510</v>
      </c>
      <c r="B92" s="240" t="s">
        <v>90</v>
      </c>
      <c r="C92" s="239">
        <v>47010000</v>
      </c>
      <c r="D92" s="241"/>
      <c r="E92" s="242"/>
      <c r="F92" s="242"/>
      <c r="G92" s="791">
        <v>0</v>
      </c>
      <c r="H92" s="242"/>
      <c r="I92" s="242"/>
      <c r="J92" s="791">
        <v>0</v>
      </c>
      <c r="K92" s="244"/>
      <c r="L92" s="4"/>
      <c r="M92" s="4"/>
      <c r="N92" s="4"/>
      <c r="O92" s="4"/>
      <c r="P92" s="4"/>
      <c r="Q92" s="4"/>
      <c r="R92" s="9"/>
    </row>
    <row r="93" spans="1:18" s="783" customFormat="1" x14ac:dyDescent="0.25">
      <c r="A93" s="124" t="s">
        <v>448</v>
      </c>
      <c r="B93" s="707" t="s">
        <v>445</v>
      </c>
      <c r="C93" s="743">
        <v>170000</v>
      </c>
      <c r="D93" s="741"/>
      <c r="E93" s="742"/>
      <c r="F93" s="742"/>
      <c r="G93" s="6">
        <v>0</v>
      </c>
      <c r="H93" s="742"/>
      <c r="I93" s="742"/>
      <c r="J93" s="6">
        <f t="shared" ref="J93:J95" si="47">G93-C93</f>
        <v>-170000</v>
      </c>
      <c r="K93" s="743"/>
      <c r="L93" s="737"/>
      <c r="M93" s="737"/>
      <c r="N93" s="737"/>
      <c r="O93" s="737"/>
      <c r="P93" s="737"/>
      <c r="Q93" s="737"/>
      <c r="R93" s="782"/>
    </row>
    <row r="94" spans="1:18" x14ac:dyDescent="0.25">
      <c r="A94" s="49" t="s">
        <v>490</v>
      </c>
      <c r="B94" s="316" t="s">
        <v>488</v>
      </c>
      <c r="C94" s="56">
        <v>8500000</v>
      </c>
      <c r="D94" s="200">
        <f>C94/C92*100</f>
        <v>18.081259306530526</v>
      </c>
      <c r="E94" s="134">
        <f t="shared" ref="E94:E95" si="48">G94/C94*100</f>
        <v>0</v>
      </c>
      <c r="F94" s="134">
        <f t="shared" ref="F94:F95" si="49">(D94*E94)/100</f>
        <v>0</v>
      </c>
      <c r="G94" s="6">
        <v>0</v>
      </c>
      <c r="H94" s="134">
        <f t="shared" ref="H94:H95" si="50">G94/C94*100</f>
        <v>0</v>
      </c>
      <c r="I94" s="134">
        <f t="shared" ref="I94:I95" si="51">(D94*H94)/100</f>
        <v>0</v>
      </c>
      <c r="J94" s="6">
        <f t="shared" si="47"/>
        <v>-8500000</v>
      </c>
      <c r="K94" s="56"/>
      <c r="L94" s="4"/>
      <c r="M94" s="4"/>
      <c r="N94" s="4"/>
      <c r="O94" s="4"/>
      <c r="P94" s="4"/>
      <c r="Q94" s="4"/>
      <c r="R94" s="9"/>
    </row>
    <row r="95" spans="1:18" ht="25.5" x14ac:dyDescent="0.25">
      <c r="A95" s="49" t="s">
        <v>491</v>
      </c>
      <c r="B95" s="77" t="s">
        <v>489</v>
      </c>
      <c r="C95" s="56">
        <v>38340000</v>
      </c>
      <c r="D95" s="200">
        <f>C95/C92*100</f>
        <v>81.557115507338864</v>
      </c>
      <c r="E95" s="134">
        <f t="shared" si="48"/>
        <v>15.476851851851853</v>
      </c>
      <c r="F95" s="134">
        <f t="shared" si="49"/>
        <v>12.62247394171453</v>
      </c>
      <c r="G95" s="138">
        <f>2380925+3552900</f>
        <v>5933825</v>
      </c>
      <c r="H95" s="134">
        <f t="shared" si="50"/>
        <v>15.476851851851853</v>
      </c>
      <c r="I95" s="134">
        <f t="shared" si="51"/>
        <v>12.62247394171453</v>
      </c>
      <c r="J95" s="6">
        <f t="shared" si="47"/>
        <v>-32406175</v>
      </c>
      <c r="K95" s="56"/>
      <c r="L95" s="4"/>
      <c r="M95" s="695"/>
      <c r="N95" s="4"/>
      <c r="O95" s="4"/>
      <c r="P95" s="4"/>
      <c r="Q95" s="4"/>
      <c r="R95" s="9"/>
    </row>
    <row r="96" spans="1:18" x14ac:dyDescent="0.25">
      <c r="A96" s="1045" t="s">
        <v>95</v>
      </c>
      <c r="B96" s="1046"/>
      <c r="C96" s="1047"/>
      <c r="D96" s="81"/>
      <c r="E96" s="134"/>
      <c r="F96" s="134"/>
      <c r="G96" s="768">
        <f>SUM(G12:G95)</f>
        <v>4408493253</v>
      </c>
      <c r="H96" s="134"/>
      <c r="I96" s="134"/>
      <c r="J96" s="781">
        <v>0</v>
      </c>
      <c r="K96" s="130"/>
      <c r="L96" s="1"/>
      <c r="M96" s="1"/>
      <c r="N96" s="1"/>
      <c r="O96" s="1"/>
      <c r="P96" s="1"/>
      <c r="Q96" s="1"/>
      <c r="R96" s="1"/>
    </row>
    <row r="97" spans="1:18" x14ac:dyDescent="0.25">
      <c r="A97" s="50"/>
      <c r="B97" s="5"/>
      <c r="C97" s="50"/>
      <c r="D97" s="9"/>
      <c r="E97" s="23"/>
      <c r="F97" s="23"/>
      <c r="G97" s="11"/>
      <c r="H97" s="23"/>
      <c r="I97" s="23"/>
      <c r="J97" s="4"/>
      <c r="K97" s="9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0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1"/>
      <c r="M98" s="1"/>
      <c r="N98" s="1"/>
      <c r="O98" s="1"/>
      <c r="P98" s="1"/>
      <c r="Q98" s="1"/>
      <c r="R98" s="1"/>
    </row>
    <row r="99" spans="1:18" x14ac:dyDescent="0.25">
      <c r="A99" s="1036" t="s">
        <v>511</v>
      </c>
      <c r="B99" s="1036"/>
      <c r="C99" s="1036"/>
      <c r="D99" s="1036"/>
      <c r="E99" s="1037"/>
      <c r="F99" s="1037"/>
      <c r="G99" s="1038"/>
      <c r="H99" s="1037"/>
      <c r="I99" s="1037"/>
      <c r="J99" s="1036"/>
      <c r="K99" s="1036"/>
      <c r="L99" s="9"/>
      <c r="M99" s="9"/>
      <c r="N99" s="9"/>
      <c r="O99" s="9"/>
      <c r="P99" s="9"/>
      <c r="Q99" s="9"/>
      <c r="R99" s="9"/>
    </row>
    <row r="100" spans="1:18" x14ac:dyDescent="0.25">
      <c r="A100" s="1161" t="s">
        <v>551</v>
      </c>
      <c r="B100" s="1161"/>
      <c r="C100" s="1161"/>
      <c r="D100" s="1161"/>
      <c r="E100" s="1161"/>
      <c r="F100" s="1161"/>
      <c r="G100" s="1161"/>
      <c r="H100" s="1161"/>
      <c r="I100" s="1161"/>
      <c r="J100" s="1161"/>
      <c r="K100" s="1161"/>
      <c r="L100" s="9"/>
      <c r="M100" s="9"/>
      <c r="N100" s="9"/>
      <c r="O100" s="9"/>
      <c r="P100" s="9"/>
      <c r="Q100" s="9"/>
      <c r="R100" s="9"/>
    </row>
    <row r="101" spans="1:18" x14ac:dyDescent="0.25">
      <c r="A101" s="1048" t="s">
        <v>2</v>
      </c>
      <c r="B101" s="1051" t="s">
        <v>3</v>
      </c>
      <c r="C101" s="1048" t="s">
        <v>4</v>
      </c>
      <c r="D101" s="1054" t="s">
        <v>5</v>
      </c>
      <c r="E101" s="1055"/>
      <c r="F101" s="1055"/>
      <c r="G101" s="1044" t="s">
        <v>6</v>
      </c>
      <c r="H101" s="1055"/>
      <c r="I101" s="1055"/>
      <c r="J101" s="1048" t="s">
        <v>7</v>
      </c>
      <c r="K101" s="213" t="s">
        <v>8</v>
      </c>
      <c r="L101" s="9"/>
      <c r="M101" s="9"/>
      <c r="N101" s="9"/>
      <c r="O101" s="9"/>
      <c r="P101" s="9"/>
      <c r="Q101" s="9"/>
      <c r="R101" s="9"/>
    </row>
    <row r="102" spans="1:18" x14ac:dyDescent="0.25">
      <c r="A102" s="1049"/>
      <c r="B102" s="1052"/>
      <c r="C102" s="1049"/>
      <c r="D102" s="209" t="s">
        <v>9</v>
      </c>
      <c r="E102" s="214" t="s">
        <v>10</v>
      </c>
      <c r="F102" s="214" t="s">
        <v>11</v>
      </c>
      <c r="G102" s="209" t="s">
        <v>12</v>
      </c>
      <c r="H102" s="214" t="s">
        <v>13</v>
      </c>
      <c r="I102" s="214" t="s">
        <v>11</v>
      </c>
      <c r="J102" s="1049"/>
      <c r="K102" s="209"/>
      <c r="L102" s="1"/>
      <c r="M102" s="1"/>
      <c r="N102" s="1"/>
      <c r="O102" s="1"/>
      <c r="P102" s="1"/>
      <c r="Q102" s="1"/>
      <c r="R102" s="1"/>
    </row>
    <row r="103" spans="1:18" x14ac:dyDescent="0.25">
      <c r="A103" s="1050"/>
      <c r="B103" s="1053"/>
      <c r="C103" s="1050"/>
      <c r="D103" s="212" t="s">
        <v>14</v>
      </c>
      <c r="E103" s="215" t="s">
        <v>14</v>
      </c>
      <c r="F103" s="215" t="s">
        <v>14</v>
      </c>
      <c r="G103" s="212" t="s">
        <v>15</v>
      </c>
      <c r="H103" s="215" t="s">
        <v>14</v>
      </c>
      <c r="I103" s="215" t="s">
        <v>14</v>
      </c>
      <c r="J103" s="212" t="s">
        <v>15</v>
      </c>
      <c r="K103" s="212"/>
      <c r="L103" s="1"/>
      <c r="M103" s="1"/>
      <c r="N103" s="1"/>
      <c r="O103" s="1"/>
      <c r="P103" s="1"/>
      <c r="Q103" s="1"/>
      <c r="R103" s="1"/>
    </row>
    <row r="104" spans="1:18" ht="26.25" thickBot="1" x14ac:dyDescent="0.3">
      <c r="A104" s="227" t="s">
        <v>220</v>
      </c>
      <c r="B104" s="704" t="s">
        <v>212</v>
      </c>
      <c r="C104" s="245">
        <f>SUM(C105:C105)</f>
        <v>1071720000</v>
      </c>
      <c r="D104" s="6"/>
      <c r="E104" s="203"/>
      <c r="F104" s="204"/>
      <c r="G104" s="6"/>
      <c r="H104" s="204"/>
      <c r="I104" s="204"/>
      <c r="J104" s="6"/>
      <c r="K104" s="6"/>
      <c r="L104" s="1"/>
      <c r="M104" s="1"/>
      <c r="N104" s="1"/>
      <c r="O104" s="714"/>
      <c r="P104" s="1"/>
      <c r="Q104" s="1"/>
      <c r="R104" s="1"/>
    </row>
    <row r="105" spans="1:18" ht="26.25" thickBot="1" x14ac:dyDescent="0.3">
      <c r="A105" s="703" t="s">
        <v>180</v>
      </c>
      <c r="B105" s="705" t="s">
        <v>379</v>
      </c>
      <c r="C105" s="246">
        <f>SUM(C106:C106)</f>
        <v>1071720000</v>
      </c>
      <c r="D105" s="226"/>
      <c r="E105" s="204"/>
      <c r="F105" s="204"/>
      <c r="G105" s="6"/>
      <c r="H105" s="204"/>
      <c r="I105" s="204"/>
      <c r="J105" s="6"/>
      <c r="K105" s="6"/>
      <c r="L105" s="1"/>
      <c r="M105" s="1"/>
      <c r="N105" s="1"/>
      <c r="O105" s="1"/>
      <c r="P105" s="1"/>
      <c r="Q105" s="1"/>
      <c r="R105" s="1"/>
    </row>
    <row r="106" spans="1:18" ht="25.5" x14ac:dyDescent="0.25">
      <c r="A106" s="698" t="s">
        <v>181</v>
      </c>
      <c r="B106" s="706" t="s">
        <v>380</v>
      </c>
      <c r="C106" s="246">
        <f>SUM(C107:C128)</f>
        <v>1071720000</v>
      </c>
      <c r="D106" s="236"/>
      <c r="E106" s="278"/>
      <c r="F106" s="278"/>
      <c r="G106" s="236"/>
      <c r="H106" s="278"/>
      <c r="I106" s="278"/>
      <c r="J106" s="236"/>
      <c r="K106" s="236"/>
      <c r="L106" s="1"/>
      <c r="M106" s="1"/>
      <c r="N106" s="1"/>
      <c r="O106" s="715"/>
      <c r="P106" s="1"/>
      <c r="Q106" s="1"/>
      <c r="R106" s="1"/>
    </row>
    <row r="107" spans="1:18" ht="15" customHeight="1" x14ac:dyDescent="0.25">
      <c r="A107" s="315" t="s">
        <v>44</v>
      </c>
      <c r="B107" s="707" t="s">
        <v>384</v>
      </c>
      <c r="C107" s="722">
        <v>53020000</v>
      </c>
      <c r="D107" s="722">
        <f>C107/C105*100</f>
        <v>4.947187698279401</v>
      </c>
      <c r="E107" s="134">
        <f t="shared" ref="E107:E127" si="52">G107/C107*100</f>
        <v>34.458694832138818</v>
      </c>
      <c r="F107" s="134">
        <f t="shared" ref="F107:F127" si="53">(D107*E107)/100</f>
        <v>1.7047363117232113</v>
      </c>
      <c r="G107" s="6">
        <f>18270000</f>
        <v>18270000</v>
      </c>
      <c r="H107" s="134">
        <f t="shared" ref="H107:H127" si="54">G107/C107*100</f>
        <v>34.458694832138818</v>
      </c>
      <c r="I107" s="134">
        <f t="shared" ref="I107:I127" si="55">(D107*H107)/100</f>
        <v>1.7047363117232113</v>
      </c>
      <c r="J107" s="6">
        <f t="shared" ref="J107:J128" si="56">G107-C107</f>
        <v>-34750000</v>
      </c>
      <c r="K107" s="6"/>
      <c r="L107" s="1"/>
      <c r="M107" s="1"/>
      <c r="N107" s="1"/>
      <c r="O107" s="1"/>
      <c r="P107" s="1"/>
      <c r="Q107" s="1"/>
      <c r="R107" s="1"/>
    </row>
    <row r="108" spans="1:18" ht="15" customHeight="1" x14ac:dyDescent="0.25">
      <c r="A108" s="315" t="s">
        <v>518</v>
      </c>
      <c r="B108" s="707" t="s">
        <v>512</v>
      </c>
      <c r="C108" s="722">
        <v>1500000</v>
      </c>
      <c r="D108" s="722"/>
      <c r="E108" s="134"/>
      <c r="F108" s="134"/>
      <c r="G108" s="6"/>
      <c r="H108" s="134"/>
      <c r="I108" s="134"/>
      <c r="J108" s="6">
        <f t="shared" si="56"/>
        <v>-1500000</v>
      </c>
      <c r="K108" s="6"/>
      <c r="L108" s="1"/>
      <c r="M108" s="1"/>
      <c r="N108" s="1"/>
      <c r="O108" s="1"/>
      <c r="P108" s="1"/>
      <c r="Q108" s="1"/>
      <c r="R108" s="1"/>
    </row>
    <row r="109" spans="1:18" ht="25.5" x14ac:dyDescent="0.25">
      <c r="A109" s="315" t="s">
        <v>59</v>
      </c>
      <c r="B109" s="707" t="s">
        <v>197</v>
      </c>
      <c r="C109" s="247">
        <v>24044000</v>
      </c>
      <c r="D109" s="279">
        <f>C109/C105*100</f>
        <v>2.2434964356361737</v>
      </c>
      <c r="E109" s="134">
        <f t="shared" si="52"/>
        <v>49.67767426384961</v>
      </c>
      <c r="F109" s="134">
        <f t="shared" si="53"/>
        <v>1.1145168514164148</v>
      </c>
      <c r="G109" s="6">
        <f>11944500</f>
        <v>11944500</v>
      </c>
      <c r="H109" s="134">
        <f t="shared" si="54"/>
        <v>49.67767426384961</v>
      </c>
      <c r="I109" s="134">
        <f t="shared" si="55"/>
        <v>1.1145168514164148</v>
      </c>
      <c r="J109" s="6">
        <f t="shared" si="56"/>
        <v>-12099500</v>
      </c>
      <c r="K109" s="6"/>
      <c r="L109" s="1"/>
      <c r="M109" s="25"/>
    </row>
    <row r="110" spans="1:18" x14ac:dyDescent="0.25">
      <c r="A110" s="228" t="s">
        <v>62</v>
      </c>
      <c r="B110" s="707" t="s">
        <v>334</v>
      </c>
      <c r="C110" s="247">
        <v>25150000</v>
      </c>
      <c r="D110" s="279">
        <f>C110/C105*100</f>
        <v>2.3466950322845519</v>
      </c>
      <c r="E110" s="134">
        <f t="shared" si="52"/>
        <v>41.427833001988077</v>
      </c>
      <c r="F110" s="134">
        <f t="shared" si="53"/>
        <v>0.9721848990407943</v>
      </c>
      <c r="G110" s="6">
        <f>10419100</f>
        <v>10419100</v>
      </c>
      <c r="H110" s="134">
        <f t="shared" si="54"/>
        <v>41.427833001988077</v>
      </c>
      <c r="I110" s="134">
        <f t="shared" si="55"/>
        <v>0.9721848990407943</v>
      </c>
      <c r="J110" s="6">
        <f t="shared" si="56"/>
        <v>-14730900</v>
      </c>
      <c r="K110" s="6"/>
      <c r="L110" s="1"/>
      <c r="M110" s="1"/>
      <c r="O110" s="716"/>
    </row>
    <row r="111" spans="1:18" x14ac:dyDescent="0.25">
      <c r="A111" s="315" t="s">
        <v>54</v>
      </c>
      <c r="B111" s="707" t="s">
        <v>386</v>
      </c>
      <c r="C111" s="248">
        <v>6000000</v>
      </c>
      <c r="D111" s="279">
        <f>C111/C105*100</f>
        <v>0.55984772141977379</v>
      </c>
      <c r="E111" s="134">
        <f t="shared" si="52"/>
        <v>0</v>
      </c>
      <c r="F111" s="134">
        <f t="shared" si="53"/>
        <v>0</v>
      </c>
      <c r="G111" s="6">
        <v>0</v>
      </c>
      <c r="H111" s="134">
        <f t="shared" si="54"/>
        <v>0</v>
      </c>
      <c r="I111" s="134">
        <f t="shared" si="55"/>
        <v>0</v>
      </c>
      <c r="J111" s="6">
        <f t="shared" si="56"/>
        <v>-6000000</v>
      </c>
      <c r="K111" s="6"/>
      <c r="L111" s="1"/>
      <c r="M111" s="1"/>
    </row>
    <row r="112" spans="1:18" ht="25.5" x14ac:dyDescent="0.25">
      <c r="A112" s="315" t="s">
        <v>86</v>
      </c>
      <c r="B112" s="707" t="s">
        <v>545</v>
      </c>
      <c r="C112" s="732">
        <v>6000000</v>
      </c>
      <c r="D112" s="279"/>
      <c r="E112" s="134"/>
      <c r="F112" s="134"/>
      <c r="G112" s="6"/>
      <c r="H112" s="134"/>
      <c r="I112" s="134"/>
      <c r="J112" s="6">
        <f t="shared" si="56"/>
        <v>-6000000</v>
      </c>
      <c r="K112" s="6"/>
      <c r="L112" s="1"/>
      <c r="M112" s="1"/>
    </row>
    <row r="113" spans="1:13" ht="25.5" x14ac:dyDescent="0.25">
      <c r="A113" s="315" t="s">
        <v>193</v>
      </c>
      <c r="B113" s="316" t="s">
        <v>372</v>
      </c>
      <c r="C113" s="732">
        <v>20000000</v>
      </c>
      <c r="D113" s="279">
        <f>C113/C105*100</f>
        <v>1.8661590713992462</v>
      </c>
      <c r="E113" s="134">
        <f t="shared" si="52"/>
        <v>0</v>
      </c>
      <c r="F113" s="134">
        <f t="shared" si="53"/>
        <v>0</v>
      </c>
      <c r="G113" s="6">
        <v>0</v>
      </c>
      <c r="H113" s="134">
        <f t="shared" si="54"/>
        <v>0</v>
      </c>
      <c r="I113" s="134">
        <f t="shared" si="55"/>
        <v>0</v>
      </c>
      <c r="J113" s="6">
        <f t="shared" si="56"/>
        <v>-20000000</v>
      </c>
      <c r="K113" s="6"/>
      <c r="L113" s="1"/>
      <c r="M113" s="716"/>
    </row>
    <row r="114" spans="1:13" x14ac:dyDescent="0.25">
      <c r="A114" s="315" t="s">
        <v>519</v>
      </c>
      <c r="B114" s="315" t="s">
        <v>513</v>
      </c>
      <c r="C114" s="248">
        <v>2292000</v>
      </c>
      <c r="D114" s="279">
        <f>C114/C105*100</f>
        <v>0.21386182958235359</v>
      </c>
      <c r="E114" s="134">
        <v>0</v>
      </c>
      <c r="F114" s="134">
        <f t="shared" si="53"/>
        <v>0</v>
      </c>
      <c r="G114" s="6">
        <v>0</v>
      </c>
      <c r="H114" s="134">
        <v>0</v>
      </c>
      <c r="I114" s="134">
        <f t="shared" si="55"/>
        <v>0</v>
      </c>
      <c r="J114" s="6">
        <f t="shared" si="56"/>
        <v>-2292000</v>
      </c>
      <c r="K114" s="6"/>
      <c r="L114" s="1"/>
      <c r="M114" s="1"/>
    </row>
    <row r="115" spans="1:13" x14ac:dyDescent="0.25">
      <c r="A115" s="228" t="s">
        <v>77</v>
      </c>
      <c r="B115" s="315" t="s">
        <v>103</v>
      </c>
      <c r="C115" s="247">
        <v>325910000</v>
      </c>
      <c r="D115" s="279">
        <f>C115/C105*100</f>
        <v>30.409995147986415</v>
      </c>
      <c r="E115" s="134">
        <f t="shared" si="52"/>
        <v>27.110245159706668</v>
      </c>
      <c r="F115" s="134">
        <f t="shared" si="53"/>
        <v>8.24422423767402</v>
      </c>
      <c r="G115" s="6">
        <f>88355000</f>
        <v>88355000</v>
      </c>
      <c r="H115" s="134">
        <f t="shared" si="54"/>
        <v>27.110245159706668</v>
      </c>
      <c r="I115" s="134">
        <f t="shared" si="55"/>
        <v>8.24422423767402</v>
      </c>
      <c r="J115" s="6">
        <f t="shared" si="56"/>
        <v>-237555000</v>
      </c>
      <c r="K115" s="6"/>
      <c r="L115" s="1"/>
      <c r="M115" s="1"/>
    </row>
    <row r="116" spans="1:13" x14ac:dyDescent="0.25">
      <c r="A116" s="228" t="s">
        <v>225</v>
      </c>
      <c r="B116" s="315" t="s">
        <v>217</v>
      </c>
      <c r="C116" s="247">
        <v>600000</v>
      </c>
      <c r="D116" s="279">
        <f>C116/C105*100</f>
        <v>5.5984772141977376E-2</v>
      </c>
      <c r="E116" s="134">
        <f t="shared" si="52"/>
        <v>100</v>
      </c>
      <c r="F116" s="134">
        <f t="shared" si="53"/>
        <v>5.5984772141977376E-2</v>
      </c>
      <c r="G116" s="6">
        <f>600000</f>
        <v>600000</v>
      </c>
      <c r="H116" s="134">
        <f t="shared" si="54"/>
        <v>100</v>
      </c>
      <c r="I116" s="134">
        <f t="shared" si="55"/>
        <v>5.5984772141977376E-2</v>
      </c>
      <c r="J116" s="6">
        <f t="shared" si="56"/>
        <v>0</v>
      </c>
      <c r="K116" s="6"/>
      <c r="L116" s="1"/>
      <c r="M116" s="1"/>
    </row>
    <row r="117" spans="1:13" x14ac:dyDescent="0.25">
      <c r="A117" s="228" t="s">
        <v>283</v>
      </c>
      <c r="B117" s="315" t="s">
        <v>514</v>
      </c>
      <c r="C117" s="247">
        <v>5000000</v>
      </c>
      <c r="D117" s="279">
        <f>C117/C105*100</f>
        <v>0.46653976784981155</v>
      </c>
      <c r="E117" s="134">
        <f t="shared" si="52"/>
        <v>100</v>
      </c>
      <c r="F117" s="134">
        <f t="shared" si="53"/>
        <v>0.46653976784981155</v>
      </c>
      <c r="G117" s="6">
        <f>5000000</f>
        <v>5000000</v>
      </c>
      <c r="H117" s="134">
        <f t="shared" si="54"/>
        <v>100</v>
      </c>
      <c r="I117" s="134">
        <f t="shared" si="55"/>
        <v>0.46653976784981155</v>
      </c>
      <c r="J117" s="6">
        <f t="shared" si="56"/>
        <v>0</v>
      </c>
      <c r="K117" s="6"/>
      <c r="L117" s="1"/>
      <c r="M117" s="1"/>
    </row>
    <row r="118" spans="1:13" x14ac:dyDescent="0.25">
      <c r="A118" s="228" t="s">
        <v>104</v>
      </c>
      <c r="B118" s="315" t="s">
        <v>105</v>
      </c>
      <c r="C118" s="249">
        <v>76700000</v>
      </c>
      <c r="D118" s="279">
        <f>C118/C105*100</f>
        <v>7.1567200388161085</v>
      </c>
      <c r="E118" s="134">
        <f t="shared" si="52"/>
        <v>22.816166883963493</v>
      </c>
      <c r="F118" s="134">
        <f t="shared" si="53"/>
        <v>1.6328891874743403</v>
      </c>
      <c r="G118" s="6">
        <f>17500000</f>
        <v>17500000</v>
      </c>
      <c r="H118" s="134">
        <f t="shared" si="54"/>
        <v>22.816166883963493</v>
      </c>
      <c r="I118" s="134">
        <f t="shared" si="55"/>
        <v>1.6328891874743403</v>
      </c>
      <c r="J118" s="6">
        <f t="shared" si="56"/>
        <v>-59200000</v>
      </c>
      <c r="K118" s="6"/>
      <c r="L118" s="1"/>
      <c r="M118" s="1"/>
    </row>
    <row r="119" spans="1:13" x14ac:dyDescent="0.25">
      <c r="A119" s="228" t="s">
        <v>130</v>
      </c>
      <c r="B119" s="315" t="s">
        <v>392</v>
      </c>
      <c r="C119" s="249">
        <v>28200000</v>
      </c>
      <c r="D119" s="279"/>
      <c r="E119" s="134"/>
      <c r="F119" s="134"/>
      <c r="G119" s="6">
        <f>18200000</f>
        <v>18200000</v>
      </c>
      <c r="H119" s="134"/>
      <c r="I119" s="134"/>
      <c r="J119" s="6">
        <f t="shared" si="56"/>
        <v>-10000000</v>
      </c>
      <c r="K119" s="6"/>
      <c r="L119" s="1"/>
      <c r="M119" s="1"/>
    </row>
    <row r="120" spans="1:13" ht="25.5" x14ac:dyDescent="0.25">
      <c r="A120" s="228" t="s">
        <v>106</v>
      </c>
      <c r="B120" s="316" t="s">
        <v>107</v>
      </c>
      <c r="C120" s="251">
        <v>139200000</v>
      </c>
      <c r="D120" s="279">
        <f>C120/C105*100</f>
        <v>12.988467136938752</v>
      </c>
      <c r="E120" s="134">
        <f t="shared" si="52"/>
        <v>35.560344827586206</v>
      </c>
      <c r="F120" s="134">
        <f t="shared" si="53"/>
        <v>4.6187437017131341</v>
      </c>
      <c r="G120" s="135">
        <f>49500000</f>
        <v>49500000</v>
      </c>
      <c r="H120" s="134">
        <f t="shared" si="54"/>
        <v>35.560344827586206</v>
      </c>
      <c r="I120" s="134">
        <f t="shared" si="55"/>
        <v>4.6187437017131341</v>
      </c>
      <c r="J120" s="6">
        <f t="shared" si="56"/>
        <v>-89700000</v>
      </c>
      <c r="K120" s="6"/>
      <c r="L120" s="1"/>
      <c r="M120" s="1"/>
    </row>
    <row r="121" spans="1:13" x14ac:dyDescent="0.25">
      <c r="A121" s="228" t="s">
        <v>227</v>
      </c>
      <c r="B121" s="315" t="s">
        <v>218</v>
      </c>
      <c r="C121" s="250">
        <v>219000000</v>
      </c>
      <c r="D121" s="279">
        <f>C121/C105*100</f>
        <v>20.434441831821744</v>
      </c>
      <c r="E121" s="134">
        <f t="shared" si="52"/>
        <v>10</v>
      </c>
      <c r="F121" s="134">
        <f t="shared" si="53"/>
        <v>2.0434441831821744</v>
      </c>
      <c r="G121" s="6">
        <f>21900000</f>
        <v>21900000</v>
      </c>
      <c r="H121" s="134">
        <f t="shared" si="54"/>
        <v>10</v>
      </c>
      <c r="I121" s="134">
        <f t="shared" si="55"/>
        <v>2.0434441831821744</v>
      </c>
      <c r="J121" s="6">
        <f t="shared" si="56"/>
        <v>-197100000</v>
      </c>
      <c r="K121" s="6"/>
      <c r="L121" s="1"/>
      <c r="M121" s="1"/>
    </row>
    <row r="122" spans="1:13" x14ac:dyDescent="0.25">
      <c r="A122" s="315" t="s">
        <v>108</v>
      </c>
      <c r="B122" s="315" t="s">
        <v>109</v>
      </c>
      <c r="C122" s="250">
        <v>1200000</v>
      </c>
      <c r="D122" s="279">
        <f>C122/C105*100</f>
        <v>0.11196954428395475</v>
      </c>
      <c r="E122" s="134">
        <f t="shared" si="52"/>
        <v>0</v>
      </c>
      <c r="F122" s="134">
        <f t="shared" si="53"/>
        <v>0</v>
      </c>
      <c r="G122" s="6">
        <v>0</v>
      </c>
      <c r="H122" s="134">
        <f t="shared" si="54"/>
        <v>0</v>
      </c>
      <c r="I122" s="134">
        <f t="shared" si="55"/>
        <v>0</v>
      </c>
      <c r="J122" s="6">
        <f t="shared" si="56"/>
        <v>-1200000</v>
      </c>
      <c r="K122" s="6"/>
      <c r="L122" s="1"/>
      <c r="M122" s="1"/>
    </row>
    <row r="123" spans="1:13" x14ac:dyDescent="0.25">
      <c r="A123" s="83" t="s">
        <v>162</v>
      </c>
      <c r="B123" s="315" t="s">
        <v>515</v>
      </c>
      <c r="C123" s="250">
        <v>3000000</v>
      </c>
      <c r="D123" s="279">
        <f>C123/C105*100</f>
        <v>0.2799238607098869</v>
      </c>
      <c r="E123" s="134">
        <f t="shared" si="52"/>
        <v>0</v>
      </c>
      <c r="F123" s="134">
        <f t="shared" si="53"/>
        <v>0</v>
      </c>
      <c r="G123" s="6">
        <v>0</v>
      </c>
      <c r="H123" s="134">
        <f t="shared" si="54"/>
        <v>0</v>
      </c>
      <c r="I123" s="134">
        <f t="shared" si="55"/>
        <v>0</v>
      </c>
      <c r="J123" s="6">
        <f t="shared" si="56"/>
        <v>-3000000</v>
      </c>
      <c r="K123" s="6"/>
      <c r="L123" s="1"/>
      <c r="M123" s="1"/>
    </row>
    <row r="124" spans="1:13" ht="25.5" x14ac:dyDescent="0.25">
      <c r="A124" s="315" t="s">
        <v>116</v>
      </c>
      <c r="B124" s="316" t="s">
        <v>516</v>
      </c>
      <c r="C124" s="250">
        <v>7603000</v>
      </c>
      <c r="D124" s="279">
        <f>C124/C105*100</f>
        <v>0.70942037099242339</v>
      </c>
      <c r="E124" s="134">
        <f t="shared" si="52"/>
        <v>0</v>
      </c>
      <c r="F124" s="134">
        <f t="shared" si="53"/>
        <v>0</v>
      </c>
      <c r="G124" s="6">
        <v>0</v>
      </c>
      <c r="H124" s="134">
        <f t="shared" si="54"/>
        <v>0</v>
      </c>
      <c r="I124" s="134">
        <f t="shared" si="55"/>
        <v>0</v>
      </c>
      <c r="J124" s="6">
        <f t="shared" si="56"/>
        <v>-7603000</v>
      </c>
      <c r="K124" s="6"/>
      <c r="L124" s="1"/>
      <c r="M124" s="1"/>
    </row>
    <row r="125" spans="1:13" x14ac:dyDescent="0.25">
      <c r="A125" s="228" t="s">
        <v>65</v>
      </c>
      <c r="B125" s="315" t="s">
        <v>393</v>
      </c>
      <c r="C125" s="251">
        <v>43666000</v>
      </c>
      <c r="D125" s="279">
        <f>C125/C106*100</f>
        <v>4.0743851005859737</v>
      </c>
      <c r="E125" s="134">
        <f t="shared" si="52"/>
        <v>0</v>
      </c>
      <c r="F125" s="134">
        <f t="shared" si="53"/>
        <v>0</v>
      </c>
      <c r="G125" s="6">
        <v>0</v>
      </c>
      <c r="H125" s="134">
        <f t="shared" si="54"/>
        <v>0</v>
      </c>
      <c r="I125" s="134">
        <f t="shared" si="55"/>
        <v>0</v>
      </c>
      <c r="J125" s="6">
        <f t="shared" si="56"/>
        <v>-43666000</v>
      </c>
      <c r="K125" s="6"/>
    </row>
    <row r="126" spans="1:13" x14ac:dyDescent="0.25">
      <c r="A126" s="228" t="s">
        <v>66</v>
      </c>
      <c r="B126" s="315" t="s">
        <v>120</v>
      </c>
      <c r="C126" s="251">
        <v>38885000</v>
      </c>
      <c r="D126" s="279">
        <f>C126/C107*100</f>
        <v>73.340248962655593</v>
      </c>
      <c r="E126" s="134">
        <f t="shared" si="52"/>
        <v>70.875658994470882</v>
      </c>
      <c r="F126" s="134">
        <f t="shared" si="53"/>
        <v>51.98038476046775</v>
      </c>
      <c r="G126" s="6">
        <f>25760000+1800000</f>
        <v>27560000</v>
      </c>
      <c r="H126" s="134">
        <v>0</v>
      </c>
      <c r="I126" s="134">
        <v>0</v>
      </c>
      <c r="J126" s="6">
        <f t="shared" si="56"/>
        <v>-11325000</v>
      </c>
      <c r="K126" s="6"/>
    </row>
    <row r="127" spans="1:13" x14ac:dyDescent="0.25">
      <c r="A127" s="315" t="s">
        <v>287</v>
      </c>
      <c r="B127" s="315" t="s">
        <v>191</v>
      </c>
      <c r="C127" s="250">
        <v>15000000</v>
      </c>
      <c r="D127" s="279">
        <f>C127/C105*100</f>
        <v>1.3996193035494346</v>
      </c>
      <c r="E127" s="134">
        <f t="shared" si="52"/>
        <v>0</v>
      </c>
      <c r="F127" s="134">
        <f t="shared" si="53"/>
        <v>0</v>
      </c>
      <c r="G127" s="6">
        <v>0</v>
      </c>
      <c r="H127" s="134">
        <f t="shared" si="54"/>
        <v>0</v>
      </c>
      <c r="I127" s="134">
        <f t="shared" si="55"/>
        <v>0</v>
      </c>
      <c r="J127" s="6">
        <f t="shared" si="56"/>
        <v>-15000000</v>
      </c>
      <c r="K127" s="6"/>
    </row>
    <row r="128" spans="1:13" x14ac:dyDescent="0.25">
      <c r="A128" s="803" t="s">
        <v>520</v>
      </c>
      <c r="B128" s="315" t="s">
        <v>517</v>
      </c>
      <c r="C128" s="250">
        <v>29750000</v>
      </c>
      <c r="D128" s="279"/>
      <c r="E128" s="134"/>
      <c r="F128" s="134"/>
      <c r="G128" s="6">
        <f>29750000</f>
        <v>29750000</v>
      </c>
      <c r="H128" s="134"/>
      <c r="I128" s="134"/>
      <c r="J128" s="6">
        <f t="shared" si="56"/>
        <v>0</v>
      </c>
      <c r="K128" s="6"/>
    </row>
    <row r="129" spans="1:15" x14ac:dyDescent="0.25">
      <c r="A129" s="1066" t="s">
        <v>95</v>
      </c>
      <c r="B129" s="1067"/>
      <c r="C129" s="1068"/>
      <c r="D129" s="277"/>
      <c r="E129" s="134"/>
      <c r="F129" s="134"/>
      <c r="G129" s="26">
        <f>SUM(G107:G128)</f>
        <v>298998600</v>
      </c>
      <c r="H129" s="134"/>
      <c r="I129" s="134"/>
      <c r="J129" s="734"/>
      <c r="K129" s="26">
        <v>0</v>
      </c>
    </row>
    <row r="130" spans="1:15" x14ac:dyDescent="0.25">
      <c r="A130" s="52"/>
      <c r="B130" s="8"/>
      <c r="C130" s="52"/>
      <c r="D130" s="27"/>
      <c r="E130" s="28"/>
      <c r="F130" s="23"/>
      <c r="G130" s="11"/>
      <c r="H130" s="23"/>
      <c r="I130" s="23"/>
      <c r="J130" s="9"/>
      <c r="K130" s="9"/>
    </row>
    <row r="131" spans="1:15" x14ac:dyDescent="0.25">
      <c r="A131" s="50"/>
      <c r="B131" s="5"/>
      <c r="C131" s="50"/>
      <c r="D131" s="9"/>
      <c r="E131" s="23"/>
      <c r="F131" s="23"/>
      <c r="G131" s="11"/>
      <c r="H131" s="23"/>
      <c r="I131" s="23"/>
      <c r="J131" s="9"/>
      <c r="K131" s="9"/>
    </row>
    <row r="132" spans="1:15" x14ac:dyDescent="0.25">
      <c r="A132" s="1069" t="s">
        <v>2</v>
      </c>
      <c r="B132" s="1069" t="s">
        <v>123</v>
      </c>
      <c r="C132" s="843"/>
      <c r="D132" s="1063" t="s">
        <v>5</v>
      </c>
      <c r="E132" s="1064"/>
      <c r="F132" s="1064"/>
      <c r="G132" s="1065" t="s">
        <v>6</v>
      </c>
      <c r="H132" s="1064"/>
      <c r="I132" s="1064"/>
      <c r="J132" s="1056" t="s">
        <v>7</v>
      </c>
      <c r="K132" s="1056" t="s">
        <v>8</v>
      </c>
    </row>
    <row r="133" spans="1:15" x14ac:dyDescent="0.25">
      <c r="A133" s="1070"/>
      <c r="B133" s="1070"/>
      <c r="C133" s="844" t="s">
        <v>124</v>
      </c>
      <c r="D133" s="89" t="s">
        <v>9</v>
      </c>
      <c r="E133" s="90" t="s">
        <v>10</v>
      </c>
      <c r="F133" s="90" t="s">
        <v>11</v>
      </c>
      <c r="G133" s="91" t="s">
        <v>12</v>
      </c>
      <c r="H133" s="90" t="s">
        <v>13</v>
      </c>
      <c r="I133" s="90" t="s">
        <v>11</v>
      </c>
      <c r="J133" s="1057"/>
      <c r="K133" s="1057"/>
      <c r="O133" s="713"/>
    </row>
    <row r="134" spans="1:15" x14ac:dyDescent="0.25">
      <c r="A134" s="1071"/>
      <c r="B134" s="1071"/>
      <c r="C134" s="844"/>
      <c r="D134" s="92" t="s">
        <v>14</v>
      </c>
      <c r="E134" s="93" t="s">
        <v>14</v>
      </c>
      <c r="F134" s="93" t="s">
        <v>14</v>
      </c>
      <c r="G134" s="94" t="s">
        <v>15</v>
      </c>
      <c r="H134" s="93" t="s">
        <v>14</v>
      </c>
      <c r="I134" s="93" t="s">
        <v>14</v>
      </c>
      <c r="J134" s="92" t="s">
        <v>15</v>
      </c>
      <c r="K134" s="1058"/>
    </row>
    <row r="135" spans="1:15" ht="25.5" x14ac:dyDescent="0.25">
      <c r="A135" s="139" t="s">
        <v>180</v>
      </c>
      <c r="B135" s="696" t="s">
        <v>379</v>
      </c>
      <c r="C135" s="58"/>
      <c r="D135" s="38"/>
      <c r="E135" s="134"/>
      <c r="F135" s="134"/>
      <c r="G135" s="135"/>
      <c r="H135" s="134"/>
      <c r="I135" s="134"/>
      <c r="J135" s="38"/>
      <c r="K135" s="10"/>
    </row>
    <row r="136" spans="1:15" ht="25.5" x14ac:dyDescent="0.25">
      <c r="A136" s="176" t="s">
        <v>181</v>
      </c>
      <c r="B136" s="697" t="s">
        <v>380</v>
      </c>
      <c r="C136" s="86">
        <f>SUM(C137:C149)</f>
        <v>185000000</v>
      </c>
      <c r="D136" s="179"/>
      <c r="E136" s="180"/>
      <c r="F136" s="180"/>
      <c r="G136" s="181"/>
      <c r="H136" s="180"/>
      <c r="I136" s="180"/>
      <c r="J136" s="179"/>
      <c r="K136" s="167"/>
    </row>
    <row r="137" spans="1:15" ht="25.5" x14ac:dyDescent="0.25">
      <c r="A137" s="170" t="s">
        <v>44</v>
      </c>
      <c r="B137" s="707" t="s">
        <v>384</v>
      </c>
      <c r="C137" s="58">
        <v>8580000</v>
      </c>
      <c r="D137" s="180">
        <f>C137/C136*100</f>
        <v>4.6378378378378375</v>
      </c>
      <c r="E137" s="134">
        <f t="shared" ref="E137:E144" si="57">G137/C137*100</f>
        <v>89.16083916083916</v>
      </c>
      <c r="F137" s="134">
        <f t="shared" ref="F137:F144" si="58">(D137*E137)/100</f>
        <v>4.1351351351351351</v>
      </c>
      <c r="G137" s="181">
        <f>7650000</f>
        <v>7650000</v>
      </c>
      <c r="H137" s="134">
        <f t="shared" ref="H137:H144" si="59">G137/C137*100</f>
        <v>89.16083916083916</v>
      </c>
      <c r="I137" s="134">
        <f t="shared" ref="I137:I144" si="60">(D137*H137)/100</f>
        <v>4.1351351351351351</v>
      </c>
      <c r="J137" s="6">
        <f t="shared" ref="J137:J149" si="61">G137-C137</f>
        <v>-930000</v>
      </c>
      <c r="K137" s="167"/>
    </row>
    <row r="138" spans="1:15" ht="25.5" x14ac:dyDescent="0.25">
      <c r="A138" s="170" t="s">
        <v>59</v>
      </c>
      <c r="B138" s="707" t="s">
        <v>197</v>
      </c>
      <c r="C138" s="58">
        <v>13390000</v>
      </c>
      <c r="D138" s="180">
        <f>C138/C136*100</f>
        <v>7.2378378378378381</v>
      </c>
      <c r="E138" s="134">
        <f t="shared" si="57"/>
        <v>66.691560866318142</v>
      </c>
      <c r="F138" s="134">
        <f t="shared" si="58"/>
        <v>4.8270270270270261</v>
      </c>
      <c r="G138" s="181">
        <f>8930000</f>
        <v>8930000</v>
      </c>
      <c r="H138" s="134">
        <f t="shared" si="59"/>
        <v>66.691560866318142</v>
      </c>
      <c r="I138" s="134">
        <f t="shared" si="60"/>
        <v>4.8270270270270261</v>
      </c>
      <c r="J138" s="6">
        <f t="shared" si="61"/>
        <v>-4460000</v>
      </c>
      <c r="K138" s="167"/>
    </row>
    <row r="139" spans="1:15" x14ac:dyDescent="0.25">
      <c r="A139" s="170" t="s">
        <v>62</v>
      </c>
      <c r="B139" s="707" t="s">
        <v>334</v>
      </c>
      <c r="C139" s="58">
        <v>8840000</v>
      </c>
      <c r="D139" s="180">
        <v>2.34</v>
      </c>
      <c r="E139" s="134">
        <f t="shared" si="57"/>
        <v>54.751131221719461</v>
      </c>
      <c r="F139" s="134">
        <f t="shared" si="58"/>
        <v>1.2811764705882354</v>
      </c>
      <c r="G139" s="181">
        <f>4840000</f>
        <v>4840000</v>
      </c>
      <c r="H139" s="134">
        <f t="shared" si="59"/>
        <v>54.751131221719461</v>
      </c>
      <c r="I139" s="134">
        <f t="shared" si="60"/>
        <v>1.2811764705882354</v>
      </c>
      <c r="J139" s="6">
        <f t="shared" si="61"/>
        <v>-4000000</v>
      </c>
      <c r="K139" s="167"/>
    </row>
    <row r="140" spans="1:15" ht="25.5" x14ac:dyDescent="0.25">
      <c r="A140" s="170" t="s">
        <v>193</v>
      </c>
      <c r="B140" s="316" t="s">
        <v>372</v>
      </c>
      <c r="C140" s="58">
        <v>6300000</v>
      </c>
      <c r="D140" s="180"/>
      <c r="E140" s="134"/>
      <c r="F140" s="134"/>
      <c r="G140" s="181">
        <f>6300000</f>
        <v>6300000</v>
      </c>
      <c r="H140" s="134"/>
      <c r="I140" s="134"/>
      <c r="J140" s="6">
        <f t="shared" si="61"/>
        <v>0</v>
      </c>
      <c r="K140" s="167"/>
    </row>
    <row r="141" spans="1:15" x14ac:dyDescent="0.25">
      <c r="A141" s="170" t="s">
        <v>148</v>
      </c>
      <c r="B141" s="133" t="s">
        <v>531</v>
      </c>
      <c r="C141" s="58">
        <v>10000000</v>
      </c>
      <c r="D141" s="180"/>
      <c r="E141" s="134"/>
      <c r="F141" s="134"/>
      <c r="G141" s="181">
        <f>10000000</f>
        <v>10000000</v>
      </c>
      <c r="H141" s="134"/>
      <c r="I141" s="134"/>
      <c r="J141" s="6">
        <f t="shared" si="61"/>
        <v>0</v>
      </c>
      <c r="K141" s="167"/>
    </row>
    <row r="142" spans="1:15" x14ac:dyDescent="0.25">
      <c r="A142" s="170" t="s">
        <v>77</v>
      </c>
      <c r="B142" s="170" t="s">
        <v>127</v>
      </c>
      <c r="C142" s="58">
        <v>67741000</v>
      </c>
      <c r="D142" s="180">
        <f>C142/C136*100</f>
        <v>36.616756756756757</v>
      </c>
      <c r="E142" s="134">
        <f t="shared" si="57"/>
        <v>33.871658227661236</v>
      </c>
      <c r="F142" s="134">
        <f t="shared" si="58"/>
        <v>12.402702702702703</v>
      </c>
      <c r="G142" s="181">
        <f>22945000</f>
        <v>22945000</v>
      </c>
      <c r="H142" s="134">
        <f t="shared" si="59"/>
        <v>33.871658227661236</v>
      </c>
      <c r="I142" s="134">
        <f t="shared" si="60"/>
        <v>12.402702702702703</v>
      </c>
      <c r="J142" s="6">
        <f t="shared" si="61"/>
        <v>-44796000</v>
      </c>
      <c r="K142" s="167"/>
    </row>
    <row r="143" spans="1:15" x14ac:dyDescent="0.25">
      <c r="A143" s="170" t="s">
        <v>183</v>
      </c>
      <c r="B143" s="170" t="s">
        <v>178</v>
      </c>
      <c r="C143" s="58">
        <v>12000000</v>
      </c>
      <c r="D143" s="180">
        <f>C143/C136*100</f>
        <v>6.4864864864864868</v>
      </c>
      <c r="E143" s="134">
        <f t="shared" si="57"/>
        <v>58.333333333333336</v>
      </c>
      <c r="F143" s="134">
        <f t="shared" si="58"/>
        <v>3.7837837837837842</v>
      </c>
      <c r="G143" s="181">
        <f>7000000</f>
        <v>7000000</v>
      </c>
      <c r="H143" s="134">
        <f t="shared" si="59"/>
        <v>58.333333333333336</v>
      </c>
      <c r="I143" s="134">
        <f t="shared" si="60"/>
        <v>3.7837837837837842</v>
      </c>
      <c r="J143" s="6">
        <f t="shared" si="61"/>
        <v>-5000000</v>
      </c>
      <c r="K143" s="167"/>
    </row>
    <row r="144" spans="1:15" x14ac:dyDescent="0.25">
      <c r="A144" s="170" t="s">
        <v>104</v>
      </c>
      <c r="B144" s="170" t="s">
        <v>182</v>
      </c>
      <c r="C144" s="58">
        <v>23200000</v>
      </c>
      <c r="D144" s="180">
        <f>C144/C136*100</f>
        <v>12.54054054054054</v>
      </c>
      <c r="E144" s="134">
        <f t="shared" si="57"/>
        <v>48.275862068965516</v>
      </c>
      <c r="F144" s="134">
        <f t="shared" si="58"/>
        <v>6.0540540540540544</v>
      </c>
      <c r="G144" s="181">
        <f>11200000</f>
        <v>11200000</v>
      </c>
      <c r="H144" s="134">
        <f t="shared" si="59"/>
        <v>48.275862068965516</v>
      </c>
      <c r="I144" s="134">
        <f t="shared" si="60"/>
        <v>6.0540540540540544</v>
      </c>
      <c r="J144" s="6">
        <f t="shared" si="61"/>
        <v>-12000000</v>
      </c>
      <c r="K144" s="167"/>
    </row>
    <row r="145" spans="1:14" ht="25.5" x14ac:dyDescent="0.25">
      <c r="A145" s="170" t="s">
        <v>106</v>
      </c>
      <c r="B145" s="316" t="s">
        <v>107</v>
      </c>
      <c r="C145" s="58">
        <v>22200000</v>
      </c>
      <c r="D145" s="180"/>
      <c r="E145" s="134"/>
      <c r="F145" s="134"/>
      <c r="G145" s="181">
        <f>17400000</f>
        <v>17400000</v>
      </c>
      <c r="H145" s="134"/>
      <c r="I145" s="134"/>
      <c r="J145" s="6">
        <f t="shared" si="61"/>
        <v>-4800000</v>
      </c>
      <c r="K145" s="167"/>
    </row>
    <row r="146" spans="1:14" x14ac:dyDescent="0.25">
      <c r="A146" s="170" t="s">
        <v>162</v>
      </c>
      <c r="B146" s="315" t="s">
        <v>515</v>
      </c>
      <c r="C146" s="58">
        <v>2000000</v>
      </c>
      <c r="D146" s="180"/>
      <c r="E146" s="134"/>
      <c r="F146" s="134"/>
      <c r="G146" s="181">
        <f>2000000</f>
        <v>2000000</v>
      </c>
      <c r="H146" s="134"/>
      <c r="I146" s="134"/>
      <c r="J146" s="6">
        <f t="shared" si="61"/>
        <v>0</v>
      </c>
      <c r="K146" s="167"/>
    </row>
    <row r="147" spans="1:14" x14ac:dyDescent="0.25">
      <c r="A147" s="170" t="s">
        <v>521</v>
      </c>
      <c r="B147" s="316" t="s">
        <v>526</v>
      </c>
      <c r="C147" s="58">
        <v>1000000</v>
      </c>
      <c r="D147" s="180"/>
      <c r="E147" s="134"/>
      <c r="F147" s="134"/>
      <c r="G147" s="181">
        <f>1000000</f>
        <v>1000000</v>
      </c>
      <c r="H147" s="134"/>
      <c r="I147" s="134"/>
      <c r="J147" s="6">
        <f t="shared" si="61"/>
        <v>0</v>
      </c>
      <c r="K147" s="167"/>
    </row>
    <row r="148" spans="1:14" ht="25.5" x14ac:dyDescent="0.25">
      <c r="A148" s="747" t="s">
        <v>116</v>
      </c>
      <c r="B148" s="316" t="s">
        <v>420</v>
      </c>
      <c r="C148" s="58">
        <v>2749000</v>
      </c>
      <c r="D148" s="180"/>
      <c r="E148" s="134"/>
      <c r="F148" s="134"/>
      <c r="G148" s="181">
        <f>2749000</f>
        <v>2749000</v>
      </c>
      <c r="H148" s="134"/>
      <c r="I148" s="134"/>
      <c r="J148" s="6">
        <f t="shared" si="61"/>
        <v>0</v>
      </c>
      <c r="K148" s="167"/>
    </row>
    <row r="149" spans="1:14" x14ac:dyDescent="0.25">
      <c r="A149" s="747" t="s">
        <v>65</v>
      </c>
      <c r="B149" s="315" t="s">
        <v>393</v>
      </c>
      <c r="C149" s="58">
        <v>7000000</v>
      </c>
      <c r="D149" s="180"/>
      <c r="E149" s="134"/>
      <c r="F149" s="134"/>
      <c r="G149" s="181">
        <v>0</v>
      </c>
      <c r="H149" s="134"/>
      <c r="I149" s="134"/>
      <c r="J149" s="6">
        <f t="shared" si="61"/>
        <v>-7000000</v>
      </c>
      <c r="K149" s="167"/>
    </row>
    <row r="150" spans="1:14" x14ac:dyDescent="0.25">
      <c r="A150" s="1059" t="s">
        <v>128</v>
      </c>
      <c r="B150" s="1060"/>
      <c r="C150" s="60">
        <f>SUM(C137:C149)</f>
        <v>185000000</v>
      </c>
      <c r="D150" s="276">
        <f>SUM(D137:D147)</f>
        <v>69.859459459459458</v>
      </c>
      <c r="E150" s="134"/>
      <c r="F150" s="134"/>
      <c r="G150" s="837">
        <f>SUM(G137:G149)</f>
        <v>102014000</v>
      </c>
      <c r="H150" s="134"/>
      <c r="I150" s="134"/>
      <c r="J150" s="56">
        <v>0</v>
      </c>
      <c r="K150" s="3"/>
    </row>
    <row r="151" spans="1:14" x14ac:dyDescent="0.25">
      <c r="A151" s="54"/>
      <c r="B151" s="54"/>
      <c r="C151" s="59"/>
      <c r="D151" s="182"/>
      <c r="E151" s="183"/>
      <c r="F151" s="183"/>
      <c r="G151" s="184"/>
      <c r="H151" s="183"/>
      <c r="I151" s="183"/>
      <c r="J151" s="185"/>
      <c r="K151" s="37"/>
    </row>
    <row r="152" spans="1:14" ht="31.5" x14ac:dyDescent="0.25">
      <c r="A152" s="55"/>
      <c r="B152" s="46" t="s">
        <v>145</v>
      </c>
      <c r="C152" s="155"/>
      <c r="D152" s="44"/>
      <c r="E152" s="45"/>
      <c r="F152" s="45"/>
      <c r="G152" s="48"/>
      <c r="H152" s="45"/>
      <c r="I152" s="45"/>
      <c r="J152" s="44"/>
      <c r="K152" s="44"/>
      <c r="L152" s="1"/>
      <c r="M152" s="1"/>
      <c r="N152" s="1"/>
    </row>
    <row r="153" spans="1:14" x14ac:dyDescent="0.25">
      <c r="A153" s="1061" t="s">
        <v>2</v>
      </c>
      <c r="B153" s="1062" t="s">
        <v>176</v>
      </c>
      <c r="C153" s="1061" t="s">
        <v>4</v>
      </c>
      <c r="D153" s="1063" t="s">
        <v>5</v>
      </c>
      <c r="E153" s="1064"/>
      <c r="F153" s="1064"/>
      <c r="G153" s="1065" t="s">
        <v>6</v>
      </c>
      <c r="H153" s="1064"/>
      <c r="I153" s="1064"/>
      <c r="J153" s="1061" t="s">
        <v>7</v>
      </c>
      <c r="K153" s="281" t="s">
        <v>8</v>
      </c>
      <c r="L153" s="1"/>
      <c r="M153" s="1"/>
      <c r="N153" s="1"/>
    </row>
    <row r="154" spans="1:14" x14ac:dyDescent="0.25">
      <c r="A154" s="1061"/>
      <c r="B154" s="1062"/>
      <c r="C154" s="1061"/>
      <c r="D154" s="281" t="s">
        <v>9</v>
      </c>
      <c r="E154" s="292" t="s">
        <v>10</v>
      </c>
      <c r="F154" s="292" t="s">
        <v>11</v>
      </c>
      <c r="G154" s="293" t="s">
        <v>12</v>
      </c>
      <c r="H154" s="292" t="s">
        <v>13</v>
      </c>
      <c r="I154" s="292" t="s">
        <v>11</v>
      </c>
      <c r="J154" s="1056"/>
      <c r="K154" s="89"/>
    </row>
    <row r="155" spans="1:14" x14ac:dyDescent="0.25">
      <c r="A155" s="1061"/>
      <c r="B155" s="1062"/>
      <c r="C155" s="1061"/>
      <c r="D155" s="92" t="s">
        <v>14</v>
      </c>
      <c r="E155" s="93" t="s">
        <v>14</v>
      </c>
      <c r="F155" s="93" t="s">
        <v>14</v>
      </c>
      <c r="G155" s="94" t="s">
        <v>15</v>
      </c>
      <c r="H155" s="93" t="s">
        <v>14</v>
      </c>
      <c r="I155" s="93" t="s">
        <v>14</v>
      </c>
      <c r="J155" s="92" t="s">
        <v>15</v>
      </c>
      <c r="K155" s="92"/>
    </row>
    <row r="156" spans="1:14" x14ac:dyDescent="0.25">
      <c r="A156" s="79" t="s">
        <v>185</v>
      </c>
      <c r="B156" s="199" t="s">
        <v>146</v>
      </c>
      <c r="C156" s="24"/>
      <c r="D156" s="10"/>
      <c r="E156" s="34"/>
      <c r="F156" s="34"/>
      <c r="G156" s="6"/>
      <c r="H156" s="34"/>
      <c r="I156" s="34"/>
      <c r="J156" s="10"/>
      <c r="K156" s="10"/>
    </row>
    <row r="157" spans="1:14" x14ac:dyDescent="0.25">
      <c r="A157" s="125" t="s">
        <v>184</v>
      </c>
      <c r="B157" s="280" t="s">
        <v>147</v>
      </c>
      <c r="C157" s="252">
        <f>SUM(C158:C159)</f>
        <v>2975640000</v>
      </c>
      <c r="D157" s="10"/>
      <c r="E157" s="34"/>
      <c r="F157" s="34"/>
      <c r="G157" s="6"/>
      <c r="H157" s="34"/>
      <c r="I157" s="34"/>
      <c r="J157" s="10"/>
      <c r="K157" s="10"/>
    </row>
    <row r="158" spans="1:14" ht="25.5" x14ac:dyDescent="0.25">
      <c r="A158" s="154" t="s">
        <v>44</v>
      </c>
      <c r="B158" s="707" t="s">
        <v>384</v>
      </c>
      <c r="C158" s="253">
        <v>35640000</v>
      </c>
      <c r="D158" s="134">
        <f>C158/C157*100</f>
        <v>1.1977255313142718</v>
      </c>
      <c r="E158" s="134">
        <f t="shared" ref="E158:E159" si="62">G158/C158*100</f>
        <v>0</v>
      </c>
      <c r="F158" s="134">
        <f t="shared" ref="F158:F159" si="63">(D158*E158)/100</f>
        <v>0</v>
      </c>
      <c r="G158" s="181">
        <v>0</v>
      </c>
      <c r="H158" s="134">
        <f t="shared" ref="H158:H159" si="64">G158/C158*100</f>
        <v>0</v>
      </c>
      <c r="I158" s="134">
        <f t="shared" ref="I158:I159" si="65">(D158*H158)/100</f>
        <v>0</v>
      </c>
      <c r="J158" s="6">
        <f t="shared" ref="J158:J159" si="66">G158-C158</f>
        <v>-35640000</v>
      </c>
      <c r="K158" s="10"/>
    </row>
    <row r="159" spans="1:14" x14ac:dyDescent="0.25">
      <c r="A159" s="124" t="s">
        <v>148</v>
      </c>
      <c r="B159" s="133" t="s">
        <v>531</v>
      </c>
      <c r="C159" s="253">
        <v>2940000000</v>
      </c>
      <c r="D159" s="134">
        <f>C159/C157*100</f>
        <v>98.802274468685724</v>
      </c>
      <c r="E159" s="134">
        <f t="shared" si="62"/>
        <v>0</v>
      </c>
      <c r="F159" s="134">
        <f t="shared" si="63"/>
        <v>0</v>
      </c>
      <c r="G159" s="181">
        <v>0</v>
      </c>
      <c r="H159" s="134">
        <f t="shared" si="64"/>
        <v>0</v>
      </c>
      <c r="I159" s="134">
        <f t="shared" si="65"/>
        <v>0</v>
      </c>
      <c r="J159" s="6">
        <f t="shared" si="66"/>
        <v>-2940000000</v>
      </c>
      <c r="K159" s="10"/>
    </row>
    <row r="160" spans="1:14" x14ac:dyDescent="0.25">
      <c r="A160" s="70"/>
      <c r="B160" s="129" t="s">
        <v>95</v>
      </c>
      <c r="C160" s="807">
        <f>SUM(C158:C159)</f>
        <v>2975640000</v>
      </c>
      <c r="D160" s="271">
        <f>SUM(D158:D159)</f>
        <v>100</v>
      </c>
      <c r="E160" s="134"/>
      <c r="F160" s="134"/>
      <c r="G160" s="181">
        <f>SUM(G158:G159)</f>
        <v>0</v>
      </c>
      <c r="H160" s="134"/>
      <c r="I160" s="134"/>
      <c r="J160" s="734"/>
      <c r="K160" s="130"/>
    </row>
    <row r="161" spans="1:11" x14ac:dyDescent="0.25">
      <c r="A161" s="54"/>
      <c r="B161" s="2"/>
      <c r="C161" s="59"/>
      <c r="D161" s="29"/>
      <c r="E161" s="31"/>
      <c r="F161" s="31"/>
      <c r="G161" s="36"/>
      <c r="H161" s="31"/>
      <c r="I161" s="31"/>
      <c r="J161" s="15"/>
      <c r="K161" s="37"/>
    </row>
    <row r="162" spans="1:11" x14ac:dyDescent="0.25">
      <c r="A162" s="50"/>
      <c r="B162" s="5"/>
      <c r="C162" s="50"/>
      <c r="D162" s="29"/>
      <c r="E162" s="30"/>
      <c r="F162" s="31"/>
      <c r="G162" s="36"/>
      <c r="H162" s="32"/>
      <c r="I162" s="31"/>
      <c r="J162" s="36"/>
      <c r="K162" s="37"/>
    </row>
    <row r="163" spans="1:11" x14ac:dyDescent="0.25">
      <c r="A163" s="1061" t="s">
        <v>2</v>
      </c>
      <c r="B163" s="1062" t="s">
        <v>176</v>
      </c>
      <c r="C163" s="1061" t="s">
        <v>4</v>
      </c>
      <c r="D163" s="1063" t="s">
        <v>5</v>
      </c>
      <c r="E163" s="1064"/>
      <c r="F163" s="1064"/>
      <c r="G163" s="1065" t="s">
        <v>6</v>
      </c>
      <c r="H163" s="1064"/>
      <c r="I163" s="1064"/>
      <c r="J163" s="1061" t="s">
        <v>7</v>
      </c>
      <c r="K163" s="281" t="s">
        <v>8</v>
      </c>
    </row>
    <row r="164" spans="1:11" x14ac:dyDescent="0.25">
      <c r="A164" s="1061"/>
      <c r="B164" s="1062"/>
      <c r="C164" s="1061"/>
      <c r="D164" s="281" t="s">
        <v>9</v>
      </c>
      <c r="E164" s="292" t="s">
        <v>10</v>
      </c>
      <c r="F164" s="292" t="s">
        <v>11</v>
      </c>
      <c r="G164" s="293" t="s">
        <v>12</v>
      </c>
      <c r="H164" s="292" t="s">
        <v>13</v>
      </c>
      <c r="I164" s="292" t="s">
        <v>11</v>
      </c>
      <c r="J164" s="1056"/>
      <c r="K164" s="89"/>
    </row>
    <row r="165" spans="1:11" x14ac:dyDescent="0.25">
      <c r="A165" s="1061"/>
      <c r="B165" s="1062"/>
      <c r="C165" s="1061"/>
      <c r="D165" s="92" t="s">
        <v>14</v>
      </c>
      <c r="E165" s="93" t="s">
        <v>14</v>
      </c>
      <c r="F165" s="93" t="s">
        <v>14</v>
      </c>
      <c r="G165" s="94" t="s">
        <v>15</v>
      </c>
      <c r="H165" s="93" t="s">
        <v>14</v>
      </c>
      <c r="I165" s="93" t="s">
        <v>14</v>
      </c>
      <c r="J165" s="92" t="s">
        <v>15</v>
      </c>
      <c r="K165" s="92"/>
    </row>
    <row r="166" spans="1:11" x14ac:dyDescent="0.25">
      <c r="A166" s="79" t="s">
        <v>185</v>
      </c>
      <c r="B166" s="199" t="s">
        <v>146</v>
      </c>
      <c r="C166" s="153"/>
      <c r="D166" s="150"/>
      <c r="E166" s="151"/>
      <c r="F166" s="151"/>
      <c r="G166" s="152"/>
      <c r="H166" s="151"/>
      <c r="I166" s="151"/>
      <c r="J166" s="150"/>
      <c r="K166" s="150"/>
    </row>
    <row r="167" spans="1:11" x14ac:dyDescent="0.25">
      <c r="A167" s="125" t="s">
        <v>184</v>
      </c>
      <c r="B167" s="280" t="s">
        <v>150</v>
      </c>
      <c r="C167" s="254">
        <f>SUM(C168:C171)</f>
        <v>1803960912</v>
      </c>
      <c r="D167" s="10"/>
      <c r="E167" s="34"/>
      <c r="F167" s="34"/>
      <c r="G167" s="6"/>
      <c r="H167" s="34"/>
      <c r="I167" s="34"/>
      <c r="J167" s="10"/>
      <c r="K167" s="10"/>
    </row>
    <row r="168" spans="1:11" ht="25.5" x14ac:dyDescent="0.25">
      <c r="A168" s="38" t="s">
        <v>44</v>
      </c>
      <c r="B168" s="707" t="s">
        <v>384</v>
      </c>
      <c r="C168" s="255">
        <v>30310000</v>
      </c>
      <c r="D168" s="134">
        <f>C168/C167*100</f>
        <v>1.6801916160365231</v>
      </c>
      <c r="E168" s="134">
        <f t="shared" ref="E168:E170" si="67">G168/C168*100</f>
        <v>0</v>
      </c>
      <c r="F168" s="134">
        <f t="shared" ref="F168:F170" si="68">(D168*E168)/100</f>
        <v>0</v>
      </c>
      <c r="G168" s="181">
        <v>0</v>
      </c>
      <c r="H168" s="134">
        <f t="shared" ref="H168:H170" si="69">G168/C168*100</f>
        <v>0</v>
      </c>
      <c r="I168" s="134">
        <f t="shared" ref="I168:I170" si="70">(D168*H168)/100</f>
        <v>0</v>
      </c>
      <c r="J168" s="6">
        <f t="shared" ref="J168:J171" si="71">G168-C168</f>
        <v>-30310000</v>
      </c>
      <c r="K168" s="10"/>
    </row>
    <row r="169" spans="1:11" x14ac:dyDescent="0.25">
      <c r="A169" s="49" t="s">
        <v>148</v>
      </c>
      <c r="B169" s="133" t="s">
        <v>531</v>
      </c>
      <c r="C169" s="256">
        <v>1260590000</v>
      </c>
      <c r="D169" s="134">
        <f>C169/C167*100</f>
        <v>69.87900855359554</v>
      </c>
      <c r="E169" s="134">
        <f t="shared" si="67"/>
        <v>0</v>
      </c>
      <c r="F169" s="134">
        <f t="shared" si="68"/>
        <v>0</v>
      </c>
      <c r="G169" s="181">
        <v>0</v>
      </c>
      <c r="H169" s="134">
        <f t="shared" si="69"/>
        <v>0</v>
      </c>
      <c r="I169" s="134">
        <f t="shared" si="70"/>
        <v>0</v>
      </c>
      <c r="J169" s="6">
        <f t="shared" si="71"/>
        <v>-1260590000</v>
      </c>
      <c r="K169" s="10"/>
    </row>
    <row r="170" spans="1:11" s="84" customFormat="1" ht="25.5" x14ac:dyDescent="0.2">
      <c r="A170" s="49" t="s">
        <v>152</v>
      </c>
      <c r="B170" s="133" t="s">
        <v>153</v>
      </c>
      <c r="C170" s="256">
        <v>504000000</v>
      </c>
      <c r="D170" s="134">
        <f>C170/C167*100</f>
        <v>27.9385210980669</v>
      </c>
      <c r="E170" s="134">
        <f t="shared" si="67"/>
        <v>25</v>
      </c>
      <c r="F170" s="134">
        <f t="shared" si="68"/>
        <v>6.984630274516725</v>
      </c>
      <c r="G170" s="181">
        <f>126000000</f>
        <v>126000000</v>
      </c>
      <c r="H170" s="134">
        <f t="shared" si="69"/>
        <v>25</v>
      </c>
      <c r="I170" s="134">
        <f t="shared" si="70"/>
        <v>6.984630274516725</v>
      </c>
      <c r="J170" s="6">
        <f t="shared" si="71"/>
        <v>-378000000</v>
      </c>
      <c r="K170" s="38"/>
    </row>
    <row r="171" spans="1:11" s="84" customFormat="1" x14ac:dyDescent="0.2">
      <c r="A171" s="749" t="s">
        <v>234</v>
      </c>
      <c r="B171" s="133" t="s">
        <v>522</v>
      </c>
      <c r="C171" s="256">
        <v>9060912</v>
      </c>
      <c r="D171" s="804"/>
      <c r="E171" s="134"/>
      <c r="F171" s="134"/>
      <c r="G171" s="181"/>
      <c r="H171" s="134"/>
      <c r="I171" s="134"/>
      <c r="J171" s="6">
        <f t="shared" si="71"/>
        <v>-9060912</v>
      </c>
      <c r="K171" s="805"/>
    </row>
    <row r="172" spans="1:11" x14ac:dyDescent="0.25">
      <c r="A172" s="845"/>
      <c r="B172" s="129" t="s">
        <v>154</v>
      </c>
      <c r="C172" s="826">
        <f>SUM(C168:C171)</f>
        <v>1803960912</v>
      </c>
      <c r="D172" s="272">
        <f>SUM(D168:D170)</f>
        <v>99.497721267698964</v>
      </c>
      <c r="E172" s="134"/>
      <c r="F172" s="134"/>
      <c r="G172" s="181">
        <f>SUM(G168:G171)</f>
        <v>126000000</v>
      </c>
      <c r="H172" s="134"/>
      <c r="I172" s="134"/>
      <c r="J172" s="734"/>
      <c r="K172" s="40"/>
    </row>
    <row r="173" spans="1:11" x14ac:dyDescent="0.25">
      <c r="A173" s="54"/>
      <c r="B173" s="54"/>
      <c r="C173" s="59"/>
      <c r="D173" s="182"/>
      <c r="E173" s="183"/>
      <c r="F173" s="183"/>
      <c r="G173" s="184"/>
      <c r="H173" s="183"/>
      <c r="I173" s="183"/>
      <c r="J173" s="185"/>
      <c r="K173" s="37"/>
    </row>
    <row r="174" spans="1:11" x14ac:dyDescent="0.25">
      <c r="A174" s="50"/>
      <c r="B174" s="5"/>
      <c r="C174" s="50"/>
      <c r="D174" s="9"/>
      <c r="E174" s="23"/>
      <c r="F174" s="23"/>
      <c r="G174" s="11"/>
      <c r="H174" s="23"/>
      <c r="I174" s="23"/>
      <c r="J174" s="9"/>
      <c r="K174" s="9"/>
    </row>
    <row r="175" spans="1:11" x14ac:dyDescent="0.25">
      <c r="A175" s="1072" t="s">
        <v>2</v>
      </c>
      <c r="B175" s="1072" t="s">
        <v>129</v>
      </c>
      <c r="C175" s="1072" t="s">
        <v>124</v>
      </c>
      <c r="D175" s="1075" t="s">
        <v>5</v>
      </c>
      <c r="E175" s="1076"/>
      <c r="F175" s="1076"/>
      <c r="G175" s="1077" t="s">
        <v>6</v>
      </c>
      <c r="H175" s="1076"/>
      <c r="I175" s="1076"/>
      <c r="J175" s="1078" t="s">
        <v>7</v>
      </c>
      <c r="K175" s="95" t="s">
        <v>8</v>
      </c>
    </row>
    <row r="176" spans="1:11" x14ac:dyDescent="0.25">
      <c r="A176" s="1073"/>
      <c r="B176" s="1073"/>
      <c r="C176" s="1073"/>
      <c r="D176" s="95" t="s">
        <v>9</v>
      </c>
      <c r="E176" s="294" t="s">
        <v>10</v>
      </c>
      <c r="F176" s="294" t="s">
        <v>11</v>
      </c>
      <c r="G176" s="96" t="s">
        <v>12</v>
      </c>
      <c r="H176" s="97" t="s">
        <v>13</v>
      </c>
      <c r="I176" s="97" t="s">
        <v>11</v>
      </c>
      <c r="J176" s="1079"/>
      <c r="K176" s="98"/>
    </row>
    <row r="177" spans="1:15" x14ac:dyDescent="0.25">
      <c r="A177" s="1074"/>
      <c r="B177" s="1074"/>
      <c r="C177" s="1074"/>
      <c r="D177" s="101" t="s">
        <v>14</v>
      </c>
      <c r="E177" s="100" t="s">
        <v>14</v>
      </c>
      <c r="F177" s="100" t="s">
        <v>14</v>
      </c>
      <c r="G177" s="99" t="s">
        <v>15</v>
      </c>
      <c r="H177" s="100" t="s">
        <v>14</v>
      </c>
      <c r="I177" s="100" t="s">
        <v>14</v>
      </c>
      <c r="J177" s="101" t="s">
        <v>15</v>
      </c>
      <c r="K177" s="101"/>
    </row>
    <row r="178" spans="1:15" ht="25.5" x14ac:dyDescent="0.25">
      <c r="A178" s="175" t="s">
        <v>180</v>
      </c>
      <c r="B178" s="696" t="s">
        <v>379</v>
      </c>
      <c r="C178" s="126"/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6" t="s">
        <v>181</v>
      </c>
      <c r="B179" s="697" t="s">
        <v>380</v>
      </c>
      <c r="C179" s="86">
        <f>SUM(C180:C195)</f>
        <v>335000000</v>
      </c>
      <c r="D179" s="121"/>
      <c r="E179" s="122"/>
      <c r="F179" s="122"/>
      <c r="G179" s="123"/>
      <c r="H179" s="122"/>
      <c r="I179" s="122"/>
      <c r="J179" s="121"/>
      <c r="K179" s="121"/>
    </row>
    <row r="180" spans="1:15" ht="25.5" x14ac:dyDescent="0.25">
      <c r="A180" s="170" t="s">
        <v>44</v>
      </c>
      <c r="B180" s="707" t="s">
        <v>384</v>
      </c>
      <c r="C180" s="58">
        <v>16310000</v>
      </c>
      <c r="D180" s="134">
        <f>C180/C179*100</f>
        <v>4.8686567164179104</v>
      </c>
      <c r="E180" s="134">
        <f t="shared" ref="E180:E192" si="72">G180/C180*100</f>
        <v>49.294911097486207</v>
      </c>
      <c r="F180" s="134">
        <f t="shared" ref="F180:F192" si="73">(D180*E180)/100</f>
        <v>2.4</v>
      </c>
      <c r="G180" s="181">
        <f>8040000</f>
        <v>8040000</v>
      </c>
      <c r="H180" s="134">
        <f t="shared" ref="H180:H192" si="74">G180/C180*100</f>
        <v>49.294911097486207</v>
      </c>
      <c r="I180" s="134">
        <f t="shared" ref="I180:I192" si="75">(D180*H180)/100</f>
        <v>2.4</v>
      </c>
      <c r="J180" s="6">
        <f t="shared" ref="J180:J195" si="76">G180-C180</f>
        <v>-8270000</v>
      </c>
      <c r="K180" s="121"/>
    </row>
    <row r="181" spans="1:15" ht="25.5" x14ac:dyDescent="0.25">
      <c r="A181" s="170" t="s">
        <v>59</v>
      </c>
      <c r="B181" s="707" t="s">
        <v>197</v>
      </c>
      <c r="C181" s="58">
        <v>13836500</v>
      </c>
      <c r="D181" s="180">
        <f>C181/C179*100</f>
        <v>4.1302985074626868</v>
      </c>
      <c r="E181" s="134">
        <f t="shared" si="72"/>
        <v>50</v>
      </c>
      <c r="F181" s="134">
        <f t="shared" si="73"/>
        <v>2.0651492537313434</v>
      </c>
      <c r="G181" s="181">
        <f>6918250</f>
        <v>6918250</v>
      </c>
      <c r="H181" s="134">
        <f t="shared" si="74"/>
        <v>50</v>
      </c>
      <c r="I181" s="134">
        <f t="shared" si="75"/>
        <v>2.0651492537313434</v>
      </c>
      <c r="J181" s="6">
        <f t="shared" si="76"/>
        <v>-6918250</v>
      </c>
      <c r="K181" s="167"/>
    </row>
    <row r="182" spans="1:15" ht="25.5" x14ac:dyDescent="0.25">
      <c r="A182" s="170" t="s">
        <v>62</v>
      </c>
      <c r="B182" s="707" t="s">
        <v>385</v>
      </c>
      <c r="C182" s="58">
        <v>10871000</v>
      </c>
      <c r="D182" s="726">
        <f>C182/C179*100</f>
        <v>3.2450746268656716</v>
      </c>
      <c r="E182" s="134">
        <f t="shared" si="72"/>
        <v>0</v>
      </c>
      <c r="F182" s="134">
        <f t="shared" si="73"/>
        <v>0</v>
      </c>
      <c r="G182" s="181">
        <v>0</v>
      </c>
      <c r="H182" s="134">
        <f t="shared" si="74"/>
        <v>0</v>
      </c>
      <c r="I182" s="134">
        <f t="shared" si="75"/>
        <v>0</v>
      </c>
      <c r="J182" s="6">
        <f t="shared" si="76"/>
        <v>-10871000</v>
      </c>
      <c r="K182" s="167"/>
    </row>
    <row r="183" spans="1:15" x14ac:dyDescent="0.25">
      <c r="A183" s="170" t="s">
        <v>148</v>
      </c>
      <c r="B183" s="133" t="s">
        <v>531</v>
      </c>
      <c r="C183" s="58">
        <v>10000000</v>
      </c>
      <c r="D183" s="726"/>
      <c r="E183" s="134"/>
      <c r="F183" s="134"/>
      <c r="G183" s="181">
        <f>10000000</f>
        <v>10000000</v>
      </c>
      <c r="H183" s="134"/>
      <c r="I183" s="134"/>
      <c r="J183" s="6">
        <f t="shared" si="76"/>
        <v>0</v>
      </c>
      <c r="K183" s="167"/>
    </row>
    <row r="184" spans="1:15" x14ac:dyDescent="0.25">
      <c r="A184" s="170" t="s">
        <v>77</v>
      </c>
      <c r="B184" s="170" t="s">
        <v>127</v>
      </c>
      <c r="C184" s="58">
        <v>61010000</v>
      </c>
      <c r="D184" s="726">
        <f>C184/C179*100</f>
        <v>18.211940298507461</v>
      </c>
      <c r="E184" s="134">
        <f t="shared" si="72"/>
        <v>27.700376987379116</v>
      </c>
      <c r="F184" s="134">
        <f t="shared" si="73"/>
        <v>5.0447761194029841</v>
      </c>
      <c r="G184" s="181">
        <f>16900000</f>
        <v>16900000</v>
      </c>
      <c r="H184" s="134">
        <f t="shared" si="74"/>
        <v>27.700376987379116</v>
      </c>
      <c r="I184" s="134">
        <f t="shared" si="75"/>
        <v>5.0447761194029841</v>
      </c>
      <c r="J184" s="6">
        <f t="shared" si="76"/>
        <v>-44110000</v>
      </c>
      <c r="K184" s="167"/>
      <c r="O184" s="190"/>
    </row>
    <row r="185" spans="1:15" x14ac:dyDescent="0.25">
      <c r="A185" s="170" t="s">
        <v>183</v>
      </c>
      <c r="B185" s="170" t="s">
        <v>178</v>
      </c>
      <c r="C185" s="58">
        <v>44625000</v>
      </c>
      <c r="D185" s="726">
        <f>C185/C179*100</f>
        <v>13.32089552238806</v>
      </c>
      <c r="E185" s="134">
        <f t="shared" si="72"/>
        <v>22.408963585434176</v>
      </c>
      <c r="F185" s="134">
        <f t="shared" si="73"/>
        <v>2.9850746268656718</v>
      </c>
      <c r="G185" s="181">
        <f>10000000</f>
        <v>10000000</v>
      </c>
      <c r="H185" s="134">
        <f t="shared" si="74"/>
        <v>22.408963585434176</v>
      </c>
      <c r="I185" s="134">
        <f t="shared" si="75"/>
        <v>2.9850746268656718</v>
      </c>
      <c r="J185" s="6">
        <f t="shared" si="76"/>
        <v>-34625000</v>
      </c>
      <c r="K185" s="167"/>
    </row>
    <row r="186" spans="1:15" x14ac:dyDescent="0.25">
      <c r="A186" s="170" t="s">
        <v>186</v>
      </c>
      <c r="B186" s="170" t="s">
        <v>179</v>
      </c>
      <c r="C186" s="58">
        <v>44100000</v>
      </c>
      <c r="D186" s="726">
        <f>C186/C179*100</f>
        <v>13.164179104477611</v>
      </c>
      <c r="E186" s="134">
        <f t="shared" si="72"/>
        <v>79.365079365079367</v>
      </c>
      <c r="F186" s="134">
        <f t="shared" si="73"/>
        <v>10.447761194029852</v>
      </c>
      <c r="G186" s="181">
        <f>35000000</f>
        <v>35000000</v>
      </c>
      <c r="H186" s="134">
        <f t="shared" si="74"/>
        <v>79.365079365079367</v>
      </c>
      <c r="I186" s="134">
        <f t="shared" si="75"/>
        <v>10.447761194029852</v>
      </c>
      <c r="J186" s="6">
        <f t="shared" si="76"/>
        <v>-9100000</v>
      </c>
      <c r="K186" s="167"/>
    </row>
    <row r="187" spans="1:15" ht="25.5" x14ac:dyDescent="0.25">
      <c r="A187" s="170" t="s">
        <v>106</v>
      </c>
      <c r="B187" s="316" t="s">
        <v>375</v>
      </c>
      <c r="C187" s="58">
        <v>44000000</v>
      </c>
      <c r="D187" s="726">
        <f>C187/C179*100</f>
        <v>13.134328358208954</v>
      </c>
      <c r="E187" s="134">
        <f t="shared" si="72"/>
        <v>87.727272727272734</v>
      </c>
      <c r="F187" s="134">
        <f t="shared" si="73"/>
        <v>11.522388059701493</v>
      </c>
      <c r="G187" s="181">
        <f>38600000</f>
        <v>38600000</v>
      </c>
      <c r="H187" s="134">
        <f t="shared" si="74"/>
        <v>87.727272727272734</v>
      </c>
      <c r="I187" s="134">
        <f t="shared" si="75"/>
        <v>11.522388059701493</v>
      </c>
      <c r="J187" s="6">
        <f t="shared" si="76"/>
        <v>-5400000</v>
      </c>
      <c r="K187" s="167"/>
    </row>
    <row r="188" spans="1:15" x14ac:dyDescent="0.25">
      <c r="A188" s="170" t="s">
        <v>162</v>
      </c>
      <c r="B188" s="315" t="s">
        <v>515</v>
      </c>
      <c r="C188" s="58">
        <v>36000000</v>
      </c>
      <c r="D188" s="726"/>
      <c r="E188" s="134"/>
      <c r="F188" s="134"/>
      <c r="G188" s="181">
        <f>36000000</f>
        <v>36000000</v>
      </c>
      <c r="H188" s="134"/>
      <c r="I188" s="134"/>
      <c r="J188" s="6">
        <f t="shared" si="76"/>
        <v>0</v>
      </c>
      <c r="K188" s="167"/>
    </row>
    <row r="189" spans="1:15" x14ac:dyDescent="0.25">
      <c r="A189" s="170" t="s">
        <v>527</v>
      </c>
      <c r="B189" s="316" t="s">
        <v>523</v>
      </c>
      <c r="C189" s="58">
        <v>5625000</v>
      </c>
      <c r="D189" s="726"/>
      <c r="E189" s="134"/>
      <c r="F189" s="134"/>
      <c r="G189" s="181">
        <f>5625000</f>
        <v>5625000</v>
      </c>
      <c r="H189" s="134"/>
      <c r="I189" s="134"/>
      <c r="J189" s="6">
        <f t="shared" si="76"/>
        <v>0</v>
      </c>
      <c r="K189" s="167"/>
    </row>
    <row r="190" spans="1:15" x14ac:dyDescent="0.25">
      <c r="A190" s="170" t="s">
        <v>528</v>
      </c>
      <c r="B190" s="316" t="s">
        <v>524</v>
      </c>
      <c r="C190" s="58">
        <v>16000000</v>
      </c>
      <c r="D190" s="726"/>
      <c r="E190" s="134"/>
      <c r="F190" s="134"/>
      <c r="G190" s="181">
        <f>16000000</f>
        <v>16000000</v>
      </c>
      <c r="H190" s="134"/>
      <c r="I190" s="134"/>
      <c r="J190" s="6">
        <f t="shared" si="76"/>
        <v>0</v>
      </c>
      <c r="K190" s="167"/>
    </row>
    <row r="191" spans="1:15" x14ac:dyDescent="0.25">
      <c r="A191" s="170" t="s">
        <v>529</v>
      </c>
      <c r="B191" s="316" t="s">
        <v>525</v>
      </c>
      <c r="C191" s="58">
        <v>4000000</v>
      </c>
      <c r="D191" s="726"/>
      <c r="E191" s="134"/>
      <c r="F191" s="134"/>
      <c r="G191" s="181">
        <f>4000000</f>
        <v>4000000</v>
      </c>
      <c r="H191" s="134"/>
      <c r="I191" s="134"/>
      <c r="J191" s="6">
        <f t="shared" si="76"/>
        <v>0</v>
      </c>
      <c r="K191" s="167"/>
    </row>
    <row r="192" spans="1:15" ht="25.5" x14ac:dyDescent="0.25">
      <c r="A192" s="170" t="s">
        <v>116</v>
      </c>
      <c r="B192" s="133" t="s">
        <v>371</v>
      </c>
      <c r="C192" s="178">
        <v>1622500</v>
      </c>
      <c r="D192" s="726">
        <f>C192/C179*100</f>
        <v>0.4843283582089552</v>
      </c>
      <c r="E192" s="134">
        <f t="shared" si="72"/>
        <v>0</v>
      </c>
      <c r="F192" s="134">
        <f t="shared" si="73"/>
        <v>0</v>
      </c>
      <c r="G192" s="181">
        <v>0</v>
      </c>
      <c r="H192" s="134">
        <f t="shared" si="74"/>
        <v>0</v>
      </c>
      <c r="I192" s="134">
        <f t="shared" si="75"/>
        <v>0</v>
      </c>
      <c r="J192" s="6">
        <f t="shared" si="76"/>
        <v>-1622500</v>
      </c>
      <c r="K192" s="167"/>
      <c r="M192" s="190"/>
    </row>
    <row r="193" spans="1:14" x14ac:dyDescent="0.25">
      <c r="A193" s="748" t="s">
        <v>65</v>
      </c>
      <c r="B193" s="315" t="s">
        <v>393</v>
      </c>
      <c r="C193" s="178">
        <v>7000000</v>
      </c>
      <c r="D193" s="726"/>
      <c r="E193" s="134"/>
      <c r="F193" s="134"/>
      <c r="G193" s="181"/>
      <c r="H193" s="134"/>
      <c r="I193" s="134"/>
      <c r="J193" s="6">
        <f t="shared" si="76"/>
        <v>-7000000</v>
      </c>
      <c r="K193" s="167"/>
      <c r="M193" s="190"/>
    </row>
    <row r="194" spans="1:14" x14ac:dyDescent="0.25">
      <c r="A194" s="748" t="s">
        <v>287</v>
      </c>
      <c r="B194" s="315" t="s">
        <v>191</v>
      </c>
      <c r="C194" s="178">
        <v>15000000</v>
      </c>
      <c r="D194" s="726"/>
      <c r="E194" s="134"/>
      <c r="F194" s="134"/>
      <c r="G194" s="181">
        <f>15000000</f>
        <v>15000000</v>
      </c>
      <c r="H194" s="134"/>
      <c r="I194" s="134"/>
      <c r="J194" s="6">
        <f t="shared" si="76"/>
        <v>0</v>
      </c>
      <c r="K194" s="167"/>
      <c r="M194" s="190"/>
    </row>
    <row r="195" spans="1:14" x14ac:dyDescent="0.25">
      <c r="A195" s="748" t="s">
        <v>275</v>
      </c>
      <c r="B195" s="133" t="s">
        <v>421</v>
      </c>
      <c r="C195" s="178">
        <v>5000000</v>
      </c>
      <c r="D195" s="726"/>
      <c r="E195" s="134"/>
      <c r="F195" s="134"/>
      <c r="G195" s="181">
        <v>0</v>
      </c>
      <c r="H195" s="134"/>
      <c r="I195" s="134"/>
      <c r="J195" s="6">
        <f t="shared" si="76"/>
        <v>-5000000</v>
      </c>
      <c r="K195" s="167"/>
      <c r="M195" s="190"/>
    </row>
    <row r="196" spans="1:14" x14ac:dyDescent="0.25">
      <c r="A196" s="69"/>
      <c r="B196" s="67" t="s">
        <v>128</v>
      </c>
      <c r="C196" s="60">
        <f>SUM(C180:C195)</f>
        <v>335000000</v>
      </c>
      <c r="D196" s="275">
        <f>SUM(D180:D192)</f>
        <v>70.5597014925373</v>
      </c>
      <c r="E196" s="134"/>
      <c r="F196" s="134"/>
      <c r="G196" s="42">
        <f>SUM(G180:G195)</f>
        <v>202083250</v>
      </c>
      <c r="H196" s="134"/>
      <c r="I196" s="134"/>
      <c r="J196" s="734"/>
      <c r="K196" s="38"/>
    </row>
    <row r="197" spans="1:14" x14ac:dyDescent="0.25">
      <c r="A197" s="186"/>
      <c r="B197" s="2"/>
      <c r="C197" s="187"/>
      <c r="D197" s="188"/>
      <c r="E197" s="183"/>
      <c r="F197" s="183"/>
      <c r="G197" s="184"/>
      <c r="H197" s="183"/>
      <c r="I197" s="183"/>
      <c r="J197" s="189"/>
      <c r="K197" s="53"/>
    </row>
    <row r="198" spans="1:14" ht="31.5" x14ac:dyDescent="0.25">
      <c r="A198" s="55"/>
      <c r="B198" s="46" t="s">
        <v>145</v>
      </c>
      <c r="C198" s="155"/>
      <c r="D198" s="44"/>
      <c r="E198" s="45"/>
      <c r="F198" s="45"/>
      <c r="G198" s="48"/>
      <c r="H198" s="45"/>
      <c r="I198" s="45"/>
      <c r="J198" s="44"/>
      <c r="K198" s="44"/>
      <c r="L198" s="1"/>
      <c r="M198" s="1"/>
      <c r="N198" s="1"/>
    </row>
    <row r="199" spans="1:14" x14ac:dyDescent="0.25">
      <c r="A199" s="1082" t="s">
        <v>2</v>
      </c>
      <c r="B199" s="1081" t="s">
        <v>168</v>
      </c>
      <c r="C199" s="1082" t="s">
        <v>4</v>
      </c>
      <c r="D199" s="1083" t="s">
        <v>5</v>
      </c>
      <c r="E199" s="1084"/>
      <c r="F199" s="1084"/>
      <c r="G199" s="1085" t="s">
        <v>6</v>
      </c>
      <c r="H199" s="1084"/>
      <c r="I199" s="1084"/>
      <c r="J199" s="1082" t="s">
        <v>7</v>
      </c>
      <c r="K199" s="283" t="s">
        <v>8</v>
      </c>
    </row>
    <row r="200" spans="1:14" x14ac:dyDescent="0.25">
      <c r="A200" s="1082"/>
      <c r="B200" s="1081"/>
      <c r="C200" s="1082"/>
      <c r="D200" s="283" t="s">
        <v>9</v>
      </c>
      <c r="E200" s="297" t="s">
        <v>10</v>
      </c>
      <c r="F200" s="297" t="s">
        <v>11</v>
      </c>
      <c r="G200" s="298" t="s">
        <v>12</v>
      </c>
      <c r="H200" s="297" t="s">
        <v>13</v>
      </c>
      <c r="I200" s="297" t="s">
        <v>11</v>
      </c>
      <c r="J200" s="1086"/>
      <c r="K200" s="284"/>
    </row>
    <row r="201" spans="1:14" x14ac:dyDescent="0.25">
      <c r="A201" s="1082"/>
      <c r="B201" s="1081"/>
      <c r="C201" s="1082"/>
      <c r="D201" s="282" t="s">
        <v>14</v>
      </c>
      <c r="E201" s="295" t="s">
        <v>14</v>
      </c>
      <c r="F201" s="295" t="s">
        <v>14</v>
      </c>
      <c r="G201" s="296" t="s">
        <v>15</v>
      </c>
      <c r="H201" s="295" t="s">
        <v>14</v>
      </c>
      <c r="I201" s="295" t="s">
        <v>14</v>
      </c>
      <c r="J201" s="282" t="s">
        <v>15</v>
      </c>
      <c r="K201" s="282"/>
    </row>
    <row r="202" spans="1:14" x14ac:dyDescent="0.25">
      <c r="A202" s="79" t="s">
        <v>185</v>
      </c>
      <c r="B202" s="199" t="s">
        <v>146</v>
      </c>
      <c r="C202" s="145"/>
      <c r="D202" s="146"/>
      <c r="E202" s="147"/>
      <c r="F202" s="147"/>
      <c r="G202" s="148"/>
      <c r="H202" s="147"/>
      <c r="I202" s="147"/>
      <c r="J202" s="146"/>
      <c r="K202" s="146"/>
    </row>
    <row r="203" spans="1:14" x14ac:dyDescent="0.25">
      <c r="A203" s="125" t="s">
        <v>184</v>
      </c>
      <c r="B203" s="280" t="s">
        <v>147</v>
      </c>
      <c r="C203" s="257">
        <f>SUM(C204:C207)</f>
        <v>2695640000</v>
      </c>
      <c r="D203" s="146"/>
      <c r="E203" s="147"/>
      <c r="F203" s="147"/>
      <c r="G203" s="148"/>
      <c r="H203" s="147"/>
      <c r="I203" s="147"/>
      <c r="J203" s="146"/>
      <c r="K203" s="146"/>
    </row>
    <row r="204" spans="1:14" x14ac:dyDescent="0.25">
      <c r="A204" s="317" t="s">
        <v>44</v>
      </c>
      <c r="B204" s="133" t="s">
        <v>531</v>
      </c>
      <c r="C204" s="258">
        <f>140000000</f>
        <v>140000000</v>
      </c>
      <c r="D204" s="267">
        <f>C204/C203*100</f>
        <v>5.1935718419373504</v>
      </c>
      <c r="E204" s="134">
        <f t="shared" ref="E204:E206" si="77">G204/C204*100</f>
        <v>0</v>
      </c>
      <c r="F204" s="134">
        <f t="shared" ref="F204:F206" si="78">(D204*E204)/100</f>
        <v>0</v>
      </c>
      <c r="G204" s="181">
        <v>0</v>
      </c>
      <c r="H204" s="134">
        <f t="shared" ref="H204:H206" si="79">G204/C204*100</f>
        <v>0</v>
      </c>
      <c r="I204" s="134">
        <f t="shared" ref="I204:I206" si="80">(D204*H204)/100</f>
        <v>0</v>
      </c>
      <c r="J204" s="6">
        <f t="shared" ref="J204:J206" si="81">G204-C204</f>
        <v>-140000000</v>
      </c>
      <c r="K204" s="146"/>
    </row>
    <row r="205" spans="1:14" ht="25.5" x14ac:dyDescent="0.25">
      <c r="A205" s="319" t="s">
        <v>59</v>
      </c>
      <c r="B205" s="707" t="s">
        <v>384</v>
      </c>
      <c r="C205" s="258">
        <f>33350000</f>
        <v>33350000</v>
      </c>
      <c r="D205" s="267"/>
      <c r="E205" s="134"/>
      <c r="F205" s="134"/>
      <c r="G205" s="181"/>
      <c r="H205" s="134"/>
      <c r="I205" s="134"/>
      <c r="J205" s="6">
        <f t="shared" si="81"/>
        <v>-33350000</v>
      </c>
      <c r="K205" s="146"/>
    </row>
    <row r="206" spans="1:14" ht="25.5" x14ac:dyDescent="0.25">
      <c r="A206" s="49" t="s">
        <v>148</v>
      </c>
      <c r="B206" s="707" t="s">
        <v>197</v>
      </c>
      <c r="C206" s="259">
        <f>2290000</f>
        <v>2290000</v>
      </c>
      <c r="D206" s="267">
        <f>C206/C203*100</f>
        <v>8.4951996557403806E-2</v>
      </c>
      <c r="E206" s="134">
        <f t="shared" si="77"/>
        <v>0</v>
      </c>
      <c r="F206" s="134">
        <f t="shared" si="78"/>
        <v>0</v>
      </c>
      <c r="G206" s="181">
        <v>0</v>
      </c>
      <c r="H206" s="134">
        <f t="shared" si="79"/>
        <v>0</v>
      </c>
      <c r="I206" s="134">
        <f t="shared" si="80"/>
        <v>0</v>
      </c>
      <c r="J206" s="6">
        <f t="shared" si="81"/>
        <v>-2290000</v>
      </c>
      <c r="K206" s="146"/>
    </row>
    <row r="207" spans="1:14" x14ac:dyDescent="0.25">
      <c r="A207" s="749"/>
      <c r="B207" s="133" t="s">
        <v>531</v>
      </c>
      <c r="C207" s="259">
        <f>2520000000</f>
        <v>2520000000</v>
      </c>
      <c r="D207" s="848"/>
      <c r="E207" s="134"/>
      <c r="F207" s="134"/>
      <c r="G207" s="181"/>
      <c r="H207" s="134"/>
      <c r="I207" s="134"/>
      <c r="J207" s="6"/>
      <c r="K207" s="849"/>
    </row>
    <row r="208" spans="1:14" x14ac:dyDescent="0.25">
      <c r="A208" s="71"/>
      <c r="B208" s="76" t="s">
        <v>95</v>
      </c>
      <c r="C208" s="806">
        <f>SUM(C204:C207)</f>
        <v>2695640000</v>
      </c>
      <c r="D208" s="141">
        <f>SUM(D204:D206)</f>
        <v>5.2785238384947544</v>
      </c>
      <c r="E208" s="134"/>
      <c r="F208" s="134"/>
      <c r="G208" s="181">
        <f>SUM(G204:G207)</f>
        <v>0</v>
      </c>
      <c r="H208" s="134"/>
      <c r="I208" s="134"/>
      <c r="J208" s="56">
        <v>0</v>
      </c>
      <c r="K208" s="143"/>
    </row>
    <row r="209" spans="1:11" x14ac:dyDescent="0.25">
      <c r="A209" s="186"/>
      <c r="B209" s="2"/>
      <c r="C209" s="187"/>
      <c r="D209" s="188"/>
      <c r="E209" s="183"/>
      <c r="F209" s="183"/>
      <c r="G209" s="184"/>
      <c r="H209" s="183"/>
      <c r="I209" s="183"/>
      <c r="J209" s="189"/>
      <c r="K209" s="53"/>
    </row>
    <row r="210" spans="1:11" x14ac:dyDescent="0.25">
      <c r="A210" s="1080" t="s">
        <v>2</v>
      </c>
      <c r="B210" s="1081" t="s">
        <v>168</v>
      </c>
      <c r="C210" s="1080" t="s">
        <v>4</v>
      </c>
      <c r="D210" s="1075" t="s">
        <v>5</v>
      </c>
      <c r="E210" s="1076"/>
      <c r="F210" s="1076"/>
      <c r="G210" s="1077" t="s">
        <v>6</v>
      </c>
      <c r="H210" s="1076"/>
      <c r="I210" s="1076"/>
      <c r="J210" s="1080" t="s">
        <v>7</v>
      </c>
      <c r="K210" s="95" t="s">
        <v>8</v>
      </c>
    </row>
    <row r="211" spans="1:11" x14ac:dyDescent="0.25">
      <c r="A211" s="1080"/>
      <c r="B211" s="1081"/>
      <c r="C211" s="1080"/>
      <c r="D211" s="95" t="s">
        <v>9</v>
      </c>
      <c r="E211" s="294" t="s">
        <v>10</v>
      </c>
      <c r="F211" s="294" t="s">
        <v>11</v>
      </c>
      <c r="G211" s="299" t="s">
        <v>12</v>
      </c>
      <c r="H211" s="294" t="s">
        <v>13</v>
      </c>
      <c r="I211" s="294" t="s">
        <v>11</v>
      </c>
      <c r="J211" s="1078"/>
      <c r="K211" s="98"/>
    </row>
    <row r="212" spans="1:11" x14ac:dyDescent="0.25">
      <c r="A212" s="1080"/>
      <c r="B212" s="1081"/>
      <c r="C212" s="1080"/>
      <c r="D212" s="101" t="s">
        <v>14</v>
      </c>
      <c r="E212" s="100" t="s">
        <v>14</v>
      </c>
      <c r="F212" s="100" t="s">
        <v>14</v>
      </c>
      <c r="G212" s="99" t="s">
        <v>15</v>
      </c>
      <c r="H212" s="100" t="s">
        <v>14</v>
      </c>
      <c r="I212" s="100" t="s">
        <v>14</v>
      </c>
      <c r="J212" s="101" t="s">
        <v>15</v>
      </c>
      <c r="K212" s="101"/>
    </row>
    <row r="213" spans="1:11" x14ac:dyDescent="0.25">
      <c r="A213" s="79" t="s">
        <v>185</v>
      </c>
      <c r="B213" s="199" t="s">
        <v>146</v>
      </c>
      <c r="C213" s="24"/>
      <c r="D213" s="10"/>
      <c r="E213" s="34"/>
      <c r="F213" s="34"/>
      <c r="G213" s="6"/>
      <c r="H213" s="34"/>
      <c r="I213" s="34"/>
      <c r="J213" s="10"/>
      <c r="K213" s="10"/>
    </row>
    <row r="214" spans="1:11" x14ac:dyDescent="0.25">
      <c r="A214" s="125" t="s">
        <v>187</v>
      </c>
      <c r="B214" s="280" t="s">
        <v>150</v>
      </c>
      <c r="C214" s="252">
        <f>SUM(C216:C220)</f>
        <v>1575097968</v>
      </c>
      <c r="D214" s="10"/>
      <c r="E214" s="34"/>
      <c r="F214" s="34"/>
      <c r="G214" s="6"/>
      <c r="H214" s="34"/>
      <c r="I214" s="34"/>
      <c r="J214" s="10"/>
      <c r="K214" s="10"/>
    </row>
    <row r="215" spans="1:11" x14ac:dyDescent="0.25">
      <c r="A215" s="850"/>
      <c r="B215" s="133" t="s">
        <v>531</v>
      </c>
      <c r="C215" s="253">
        <v>60000000</v>
      </c>
      <c r="D215" s="10"/>
      <c r="E215" s="34"/>
      <c r="F215" s="34"/>
      <c r="G215" s="6"/>
      <c r="H215" s="34"/>
      <c r="I215" s="34"/>
      <c r="J215" s="10"/>
      <c r="K215" s="10"/>
    </row>
    <row r="216" spans="1:11" ht="25.5" x14ac:dyDescent="0.25">
      <c r="A216" s="313" t="s">
        <v>44</v>
      </c>
      <c r="B216" s="707" t="s">
        <v>384</v>
      </c>
      <c r="C216" s="253">
        <v>29600000</v>
      </c>
      <c r="D216" s="134">
        <f>C216/C214*100</f>
        <v>1.8792481865483557</v>
      </c>
      <c r="E216" s="134">
        <f t="shared" ref="E216:E219" si="82">G216/C216*100</f>
        <v>0</v>
      </c>
      <c r="F216" s="134">
        <f t="shared" ref="F216:F219" si="83">(D216*E216)/100</f>
        <v>0</v>
      </c>
      <c r="G216" s="181">
        <v>0</v>
      </c>
      <c r="H216" s="134">
        <f t="shared" ref="H216:H219" si="84">G216/C216*100</f>
        <v>0</v>
      </c>
      <c r="I216" s="134">
        <f t="shared" ref="I216:I219" si="85">(D216*H216)/100</f>
        <v>0</v>
      </c>
      <c r="J216" s="6">
        <f t="shared" ref="J216:J220" si="86">G216-C216</f>
        <v>-29600000</v>
      </c>
      <c r="K216" s="10"/>
    </row>
    <row r="217" spans="1:11" ht="25.5" x14ac:dyDescent="0.25">
      <c r="A217" s="319" t="s">
        <v>59</v>
      </c>
      <c r="B217" s="707" t="s">
        <v>197</v>
      </c>
      <c r="C217" s="253">
        <v>1300000</v>
      </c>
      <c r="D217" s="134"/>
      <c r="E217" s="134"/>
      <c r="F217" s="134"/>
      <c r="G217" s="181"/>
      <c r="H217" s="134"/>
      <c r="I217" s="134"/>
      <c r="J217" s="6">
        <f t="shared" si="86"/>
        <v>-1300000</v>
      </c>
      <c r="K217" s="10"/>
    </row>
    <row r="218" spans="1:11" x14ac:dyDescent="0.25">
      <c r="A218" s="49" t="s">
        <v>148</v>
      </c>
      <c r="B218" s="133" t="s">
        <v>531</v>
      </c>
      <c r="C218" s="256">
        <f>1080000000</f>
        <v>1080000000</v>
      </c>
      <c r="D218" s="134">
        <f>C218/C214*100</f>
        <v>68.567163563250816</v>
      </c>
      <c r="E218" s="134">
        <f t="shared" si="82"/>
        <v>11.643518518518519</v>
      </c>
      <c r="F218" s="134">
        <f t="shared" si="83"/>
        <v>7.9836303871099918</v>
      </c>
      <c r="G218" s="181">
        <f>125750000</f>
        <v>125750000</v>
      </c>
      <c r="H218" s="134">
        <f t="shared" si="84"/>
        <v>11.643518518518519</v>
      </c>
      <c r="I218" s="134">
        <f t="shared" si="85"/>
        <v>7.9836303871099918</v>
      </c>
      <c r="J218" s="6">
        <f t="shared" si="86"/>
        <v>-954250000</v>
      </c>
      <c r="K218" s="10"/>
    </row>
    <row r="219" spans="1:11" s="84" customFormat="1" ht="25.5" x14ac:dyDescent="0.2">
      <c r="A219" s="49" t="s">
        <v>152</v>
      </c>
      <c r="B219" s="133" t="s">
        <v>153</v>
      </c>
      <c r="C219" s="256">
        <v>456000000</v>
      </c>
      <c r="D219" s="134">
        <f>C219/C214*100</f>
        <v>28.950580171150342</v>
      </c>
      <c r="E219" s="134">
        <f t="shared" si="82"/>
        <v>25</v>
      </c>
      <c r="F219" s="134">
        <f t="shared" si="83"/>
        <v>7.2376450427875856</v>
      </c>
      <c r="G219" s="181">
        <f>114000000</f>
        <v>114000000</v>
      </c>
      <c r="H219" s="134">
        <f t="shared" si="84"/>
        <v>25</v>
      </c>
      <c r="I219" s="134">
        <f t="shared" si="85"/>
        <v>7.2376450427875856</v>
      </c>
      <c r="J219" s="6">
        <f t="shared" si="86"/>
        <v>-342000000</v>
      </c>
      <c r="K219" s="38"/>
    </row>
    <row r="220" spans="1:11" s="84" customFormat="1" x14ac:dyDescent="0.2">
      <c r="A220" s="749" t="s">
        <v>234</v>
      </c>
      <c r="B220" s="133" t="s">
        <v>522</v>
      </c>
      <c r="C220" s="256">
        <v>8197968</v>
      </c>
      <c r="D220" s="804"/>
      <c r="E220" s="134"/>
      <c r="F220" s="134"/>
      <c r="G220" s="181">
        <f>8197968</f>
        <v>8197968</v>
      </c>
      <c r="H220" s="134"/>
      <c r="I220" s="134"/>
      <c r="J220" s="6">
        <f t="shared" si="86"/>
        <v>0</v>
      </c>
      <c r="K220" s="805"/>
    </row>
    <row r="221" spans="1:11" x14ac:dyDescent="0.25">
      <c r="A221" s="70"/>
      <c r="B221" s="129" t="s">
        <v>95</v>
      </c>
      <c r="C221" s="807">
        <f>SUM(C216:C220)</f>
        <v>1575097968</v>
      </c>
      <c r="D221" s="271">
        <f>SUM(D216:D219)</f>
        <v>99.396991920949517</v>
      </c>
      <c r="E221" s="134"/>
      <c r="F221" s="134"/>
      <c r="G221" s="181">
        <f>SUM(G215:G220)</f>
        <v>247947968</v>
      </c>
      <c r="H221" s="134"/>
      <c r="I221" s="134"/>
      <c r="J221" s="56">
        <v>0</v>
      </c>
      <c r="K221" s="130"/>
    </row>
    <row r="222" spans="1:11" x14ac:dyDescent="0.25">
      <c r="A222" s="186"/>
      <c r="B222" s="2"/>
      <c r="C222" s="187"/>
      <c r="D222" s="188"/>
      <c r="E222" s="183"/>
      <c r="F222" s="183"/>
      <c r="G222" s="184"/>
      <c r="H222" s="183"/>
      <c r="I222" s="183"/>
      <c r="J222" s="189"/>
      <c r="K222" s="53"/>
    </row>
    <row r="223" spans="1:11" x14ac:dyDescent="0.25">
      <c r="A223" s="50"/>
      <c r="B223" s="5"/>
      <c r="C223" s="50"/>
      <c r="D223" s="9"/>
      <c r="E223" s="23"/>
      <c r="F223" s="23"/>
      <c r="G223" s="11"/>
      <c r="H223" s="23"/>
      <c r="I223" s="23"/>
      <c r="J223" s="9"/>
      <c r="K223" s="9"/>
    </row>
    <row r="224" spans="1:11" x14ac:dyDescent="0.25">
      <c r="A224" s="1088" t="s">
        <v>2</v>
      </c>
      <c r="B224" s="1094" t="s">
        <v>133</v>
      </c>
      <c r="C224" s="840"/>
      <c r="D224" s="1097" t="s">
        <v>5</v>
      </c>
      <c r="E224" s="1098"/>
      <c r="F224" s="1099"/>
      <c r="G224" s="1100" t="s">
        <v>6</v>
      </c>
      <c r="H224" s="1101"/>
      <c r="I224" s="1102"/>
      <c r="J224" s="1088" t="s">
        <v>7</v>
      </c>
      <c r="K224" s="108" t="s">
        <v>8</v>
      </c>
    </row>
    <row r="225" spans="1:11" x14ac:dyDescent="0.25">
      <c r="A225" s="1092"/>
      <c r="B225" s="1095"/>
      <c r="C225" s="841" t="s">
        <v>4</v>
      </c>
      <c r="D225" s="109" t="s">
        <v>9</v>
      </c>
      <c r="E225" s="110" t="s">
        <v>10</v>
      </c>
      <c r="F225" s="110" t="s">
        <v>11</v>
      </c>
      <c r="G225" s="111" t="s">
        <v>12</v>
      </c>
      <c r="H225" s="110" t="s">
        <v>13</v>
      </c>
      <c r="I225" s="110" t="s">
        <v>11</v>
      </c>
      <c r="J225" s="1092"/>
      <c r="K225" s="109"/>
    </row>
    <row r="226" spans="1:11" x14ac:dyDescent="0.25">
      <c r="A226" s="1093"/>
      <c r="B226" s="1096"/>
      <c r="C226" s="842"/>
      <c r="D226" s="112" t="s">
        <v>14</v>
      </c>
      <c r="E226" s="113" t="s">
        <v>14</v>
      </c>
      <c r="F226" s="113" t="s">
        <v>14</v>
      </c>
      <c r="G226" s="114" t="s">
        <v>15</v>
      </c>
      <c r="H226" s="113" t="s">
        <v>14</v>
      </c>
      <c r="I226" s="113" t="s">
        <v>14</v>
      </c>
      <c r="J226" s="112" t="s">
        <v>15</v>
      </c>
      <c r="K226" s="112"/>
    </row>
    <row r="227" spans="1:11" ht="25.5" x14ac:dyDescent="0.25">
      <c r="A227" s="79" t="s">
        <v>180</v>
      </c>
      <c r="B227" s="696" t="s">
        <v>379</v>
      </c>
      <c r="C227" s="291"/>
      <c r="D227" s="10"/>
      <c r="E227" s="34"/>
      <c r="F227" s="34"/>
      <c r="G227" s="6"/>
      <c r="H227" s="34"/>
      <c r="I227" s="34"/>
      <c r="J227" s="10"/>
      <c r="K227" s="10"/>
    </row>
    <row r="228" spans="1:11" ht="25.5" x14ac:dyDescent="0.25">
      <c r="A228" s="125" t="s">
        <v>181</v>
      </c>
      <c r="B228" s="697" t="s">
        <v>380</v>
      </c>
      <c r="C228" s="87">
        <f>SUM(C229:C240)</f>
        <v>185000000</v>
      </c>
      <c r="D228" s="10"/>
      <c r="E228" s="34"/>
      <c r="F228" s="34"/>
      <c r="G228" s="6"/>
      <c r="H228" s="34"/>
      <c r="I228" s="34"/>
      <c r="J228" s="10"/>
      <c r="K228" s="10"/>
    </row>
    <row r="229" spans="1:11" ht="25.5" x14ac:dyDescent="0.25">
      <c r="A229" s="49" t="s">
        <v>44</v>
      </c>
      <c r="B229" s="707" t="s">
        <v>384</v>
      </c>
      <c r="C229" s="172">
        <v>8580000</v>
      </c>
      <c r="D229" s="134">
        <f>C229/C228*100</f>
        <v>4.6378378378378375</v>
      </c>
      <c r="E229" s="134">
        <f t="shared" ref="E229:E238" si="87">G229/C229*100</f>
        <v>0</v>
      </c>
      <c r="F229" s="134">
        <f t="shared" ref="F229:F238" si="88">(D229*E229)/100</f>
        <v>0</v>
      </c>
      <c r="G229" s="181">
        <v>0</v>
      </c>
      <c r="H229" s="134">
        <f t="shared" ref="H229:H238" si="89">G229/C229*100</f>
        <v>0</v>
      </c>
      <c r="I229" s="134">
        <f t="shared" ref="I229:I238" si="90">(D229*H229)/100</f>
        <v>0</v>
      </c>
      <c r="J229" s="6">
        <f t="shared" ref="J229:J240" si="91">G229-C229</f>
        <v>-8580000</v>
      </c>
      <c r="K229" s="10"/>
    </row>
    <row r="230" spans="1:11" ht="25.5" x14ac:dyDescent="0.25">
      <c r="A230" s="49" t="s">
        <v>59</v>
      </c>
      <c r="B230" s="707" t="s">
        <v>197</v>
      </c>
      <c r="C230" s="256">
        <v>9515700</v>
      </c>
      <c r="D230" s="134">
        <f>C230/C228*100</f>
        <v>5.1436216216216222</v>
      </c>
      <c r="E230" s="134">
        <f t="shared" si="87"/>
        <v>52.510062318063831</v>
      </c>
      <c r="F230" s="134">
        <f t="shared" si="88"/>
        <v>2.7009189189189193</v>
      </c>
      <c r="G230" s="181">
        <v>4996700</v>
      </c>
      <c r="H230" s="134">
        <f t="shared" si="89"/>
        <v>52.510062318063831</v>
      </c>
      <c r="I230" s="134">
        <f t="shared" si="90"/>
        <v>2.7009189189189193</v>
      </c>
      <c r="J230" s="6">
        <f t="shared" si="91"/>
        <v>-4519000</v>
      </c>
      <c r="K230" s="10"/>
    </row>
    <row r="231" spans="1:11" x14ac:dyDescent="0.25">
      <c r="A231" s="49" t="s">
        <v>62</v>
      </c>
      <c r="B231" s="707" t="s">
        <v>334</v>
      </c>
      <c r="C231" s="256">
        <v>4450000</v>
      </c>
      <c r="D231" s="134">
        <f>C231/C228*100</f>
        <v>2.4054054054054053</v>
      </c>
      <c r="E231" s="134">
        <f t="shared" si="87"/>
        <v>67.415730337078656</v>
      </c>
      <c r="F231" s="134">
        <f t="shared" si="88"/>
        <v>1.6216216216216217</v>
      </c>
      <c r="G231" s="181">
        <f>3000000</f>
        <v>3000000</v>
      </c>
      <c r="H231" s="134">
        <f t="shared" si="89"/>
        <v>67.415730337078656</v>
      </c>
      <c r="I231" s="134">
        <f t="shared" si="90"/>
        <v>1.6216216216216217</v>
      </c>
      <c r="J231" s="6">
        <f t="shared" si="91"/>
        <v>-1450000</v>
      </c>
      <c r="K231" s="10"/>
    </row>
    <row r="232" spans="1:11" ht="25.5" x14ac:dyDescent="0.25">
      <c r="A232" s="49"/>
      <c r="B232" s="707" t="s">
        <v>532</v>
      </c>
      <c r="C232" s="256">
        <v>3500000</v>
      </c>
      <c r="D232" s="134"/>
      <c r="E232" s="134"/>
      <c r="F232" s="134"/>
      <c r="G232" s="181">
        <f>3500000</f>
        <v>3500000</v>
      </c>
      <c r="H232" s="134"/>
      <c r="I232" s="134"/>
      <c r="J232" s="6">
        <f t="shared" si="91"/>
        <v>0</v>
      </c>
      <c r="K232" s="10"/>
    </row>
    <row r="233" spans="1:11" x14ac:dyDescent="0.25">
      <c r="A233" s="49" t="s">
        <v>77</v>
      </c>
      <c r="B233" s="49" t="s">
        <v>135</v>
      </c>
      <c r="C233" s="174">
        <v>73080000</v>
      </c>
      <c r="D233" s="134">
        <f>C233/C228*100</f>
        <v>39.502702702702699</v>
      </c>
      <c r="E233" s="134">
        <f t="shared" si="87"/>
        <v>23.604269293924464</v>
      </c>
      <c r="F233" s="134">
        <f t="shared" si="88"/>
        <v>9.3243243243243228</v>
      </c>
      <c r="G233" s="181">
        <f>17250000</f>
        <v>17250000</v>
      </c>
      <c r="H233" s="134">
        <f t="shared" si="89"/>
        <v>23.604269293924464</v>
      </c>
      <c r="I233" s="134">
        <f t="shared" si="90"/>
        <v>9.3243243243243228</v>
      </c>
      <c r="J233" s="6">
        <f t="shared" si="91"/>
        <v>-55830000</v>
      </c>
      <c r="K233" s="10"/>
    </row>
    <row r="234" spans="1:11" x14ac:dyDescent="0.25">
      <c r="A234" s="49"/>
      <c r="B234" s="170" t="s">
        <v>178</v>
      </c>
      <c r="C234" s="174">
        <v>5125000</v>
      </c>
      <c r="D234" s="134"/>
      <c r="E234" s="134"/>
      <c r="F234" s="134"/>
      <c r="G234" s="181"/>
      <c r="H234" s="134"/>
      <c r="I234" s="134"/>
      <c r="J234" s="6">
        <f t="shared" si="91"/>
        <v>-5125000</v>
      </c>
      <c r="K234" s="10"/>
    </row>
    <row r="235" spans="1:11" x14ac:dyDescent="0.25">
      <c r="A235" s="49" t="s">
        <v>104</v>
      </c>
      <c r="B235" s="170" t="s">
        <v>179</v>
      </c>
      <c r="C235" s="172">
        <v>33400000</v>
      </c>
      <c r="D235" s="134">
        <f>C235/C228*100</f>
        <v>18.054054054054053</v>
      </c>
      <c r="E235" s="134">
        <f t="shared" si="87"/>
        <v>0</v>
      </c>
      <c r="F235" s="134">
        <f t="shared" si="88"/>
        <v>0</v>
      </c>
      <c r="G235" s="181">
        <v>0</v>
      </c>
      <c r="H235" s="134">
        <f t="shared" si="89"/>
        <v>0</v>
      </c>
      <c r="I235" s="134">
        <f t="shared" si="90"/>
        <v>0</v>
      </c>
      <c r="J235" s="6">
        <f t="shared" si="91"/>
        <v>-33400000</v>
      </c>
      <c r="K235" s="10"/>
    </row>
    <row r="236" spans="1:11" ht="25.5" x14ac:dyDescent="0.25">
      <c r="A236" s="49" t="s">
        <v>106</v>
      </c>
      <c r="B236" s="316" t="s">
        <v>375</v>
      </c>
      <c r="C236" s="178">
        <v>16500000</v>
      </c>
      <c r="D236" s="134">
        <f>C236/C228*100</f>
        <v>8.9189189189189193</v>
      </c>
      <c r="E236" s="134">
        <f t="shared" si="87"/>
        <v>56.36363636363636</v>
      </c>
      <c r="F236" s="134">
        <f t="shared" si="88"/>
        <v>5.0270270270270272</v>
      </c>
      <c r="G236" s="181">
        <f>9300000</f>
        <v>9300000</v>
      </c>
      <c r="H236" s="134">
        <f t="shared" si="89"/>
        <v>56.36363636363636</v>
      </c>
      <c r="I236" s="134">
        <f t="shared" si="90"/>
        <v>5.0270270270270272</v>
      </c>
      <c r="J236" s="6">
        <f t="shared" si="91"/>
        <v>-7200000</v>
      </c>
      <c r="K236" s="10"/>
    </row>
    <row r="237" spans="1:11" x14ac:dyDescent="0.25">
      <c r="A237" s="49"/>
      <c r="B237" s="316" t="s">
        <v>533</v>
      </c>
      <c r="C237" s="178">
        <v>2500000</v>
      </c>
      <c r="D237" s="134"/>
      <c r="E237" s="134"/>
      <c r="F237" s="134"/>
      <c r="G237" s="181">
        <f>2500000</f>
        <v>2500000</v>
      </c>
      <c r="H237" s="134"/>
      <c r="I237" s="134"/>
      <c r="J237" s="6">
        <f t="shared" si="91"/>
        <v>0</v>
      </c>
      <c r="K237" s="10"/>
    </row>
    <row r="238" spans="1:11" ht="25.5" x14ac:dyDescent="0.25">
      <c r="A238" s="49" t="s">
        <v>116</v>
      </c>
      <c r="B238" s="133" t="s">
        <v>371</v>
      </c>
      <c r="C238" s="178">
        <v>4824300</v>
      </c>
      <c r="D238" s="134">
        <f>C238/C228*100</f>
        <v>2.6077297297297299</v>
      </c>
      <c r="E238" s="134">
        <f t="shared" si="87"/>
        <v>62.181041809174388</v>
      </c>
      <c r="F238" s="134">
        <f t="shared" si="88"/>
        <v>1.6215135135135137</v>
      </c>
      <c r="G238" s="181">
        <v>2999800</v>
      </c>
      <c r="H238" s="134">
        <f t="shared" si="89"/>
        <v>62.181041809174388</v>
      </c>
      <c r="I238" s="134">
        <f t="shared" si="90"/>
        <v>1.6215135135135137</v>
      </c>
      <c r="J238" s="6">
        <f t="shared" si="91"/>
        <v>-1824500</v>
      </c>
      <c r="K238" s="10"/>
    </row>
    <row r="239" spans="1:11" x14ac:dyDescent="0.25">
      <c r="A239" s="749" t="s">
        <v>121</v>
      </c>
      <c r="B239" s="315" t="s">
        <v>191</v>
      </c>
      <c r="C239" s="178">
        <v>19400000</v>
      </c>
      <c r="D239" s="134"/>
      <c r="E239" s="134"/>
      <c r="F239" s="134"/>
      <c r="G239" s="181">
        <f>9400000</f>
        <v>9400000</v>
      </c>
      <c r="H239" s="134"/>
      <c r="I239" s="134"/>
      <c r="J239" s="6">
        <f t="shared" si="91"/>
        <v>-10000000</v>
      </c>
      <c r="K239" s="10"/>
    </row>
    <row r="240" spans="1:11" x14ac:dyDescent="0.25">
      <c r="A240" s="749" t="s">
        <v>407</v>
      </c>
      <c r="B240" s="133" t="s">
        <v>424</v>
      </c>
      <c r="C240" s="178">
        <v>4125000</v>
      </c>
      <c r="D240" s="134"/>
      <c r="E240" s="134"/>
      <c r="F240" s="134"/>
      <c r="G240" s="181">
        <v>4125000</v>
      </c>
      <c r="H240" s="134"/>
      <c r="I240" s="134"/>
      <c r="J240" s="6">
        <f t="shared" si="91"/>
        <v>0</v>
      </c>
      <c r="K240" s="10"/>
    </row>
    <row r="241" spans="1:14" x14ac:dyDescent="0.25">
      <c r="A241" s="70"/>
      <c r="B241" s="838" t="s">
        <v>136</v>
      </c>
      <c r="C241" s="43">
        <f>SUM(C229:C240)</f>
        <v>185000000</v>
      </c>
      <c r="D241" s="12">
        <f>SUM(D229:D238)</f>
        <v>81.27027027027026</v>
      </c>
      <c r="E241" s="134"/>
      <c r="F241" s="134"/>
      <c r="G241" s="837">
        <f>SUM(G229:G240)</f>
        <v>57071500</v>
      </c>
      <c r="H241" s="134"/>
      <c r="I241" s="134"/>
      <c r="J241" s="734"/>
      <c r="K241" s="3"/>
    </row>
    <row r="242" spans="1:14" x14ac:dyDescent="0.25">
      <c r="A242" s="53"/>
      <c r="B242" s="5"/>
      <c r="C242" s="189"/>
      <c r="D242" s="29"/>
      <c r="E242" s="30"/>
      <c r="F242" s="23"/>
      <c r="G242" s="11"/>
      <c r="H242" s="32"/>
      <c r="I242" s="23"/>
      <c r="J242" s="15"/>
      <c r="K242" s="37"/>
    </row>
    <row r="243" spans="1:14" ht="31.5" x14ac:dyDescent="0.25">
      <c r="A243" s="55"/>
      <c r="B243" s="46" t="s">
        <v>145</v>
      </c>
      <c r="C243" s="155"/>
      <c r="D243" s="44"/>
      <c r="E243" s="45"/>
      <c r="F243" s="45"/>
      <c r="G243" s="48"/>
      <c r="H243" s="45"/>
      <c r="I243" s="45"/>
      <c r="J243" s="44"/>
      <c r="K243" s="44"/>
      <c r="L243" s="1"/>
      <c r="M243" s="1"/>
      <c r="N243" s="1"/>
    </row>
    <row r="244" spans="1:14" x14ac:dyDescent="0.25">
      <c r="A244" s="1087" t="s">
        <v>2</v>
      </c>
      <c r="B244" s="1089" t="s">
        <v>169</v>
      </c>
      <c r="C244" s="1087" t="s">
        <v>4</v>
      </c>
      <c r="D244" s="1090" t="s">
        <v>5</v>
      </c>
      <c r="E244" s="1090"/>
      <c r="F244" s="1090"/>
      <c r="G244" s="1091" t="s">
        <v>6</v>
      </c>
      <c r="H244" s="1091"/>
      <c r="I244" s="1091"/>
      <c r="J244" s="1087" t="s">
        <v>7</v>
      </c>
      <c r="K244" s="108" t="s">
        <v>8</v>
      </c>
    </row>
    <row r="245" spans="1:14" x14ac:dyDescent="0.25">
      <c r="A245" s="1087"/>
      <c r="B245" s="1089"/>
      <c r="C245" s="1087"/>
      <c r="D245" s="108" t="s">
        <v>9</v>
      </c>
      <c r="E245" s="300" t="s">
        <v>10</v>
      </c>
      <c r="F245" s="300" t="s">
        <v>11</v>
      </c>
      <c r="G245" s="301" t="s">
        <v>12</v>
      </c>
      <c r="H245" s="300" t="s">
        <v>13</v>
      </c>
      <c r="I245" s="300" t="s">
        <v>11</v>
      </c>
      <c r="J245" s="1088"/>
      <c r="K245" s="109"/>
    </row>
    <row r="246" spans="1:14" x14ac:dyDescent="0.25">
      <c r="A246" s="1087"/>
      <c r="B246" s="1089"/>
      <c r="C246" s="1087"/>
      <c r="D246" s="112" t="s">
        <v>14</v>
      </c>
      <c r="E246" s="113" t="s">
        <v>14</v>
      </c>
      <c r="F246" s="113" t="s">
        <v>14</v>
      </c>
      <c r="G246" s="114" t="s">
        <v>15</v>
      </c>
      <c r="H246" s="113" t="s">
        <v>14</v>
      </c>
      <c r="I246" s="113" t="s">
        <v>14</v>
      </c>
      <c r="J246" s="112" t="s">
        <v>15</v>
      </c>
      <c r="K246" s="112"/>
    </row>
    <row r="247" spans="1:14" x14ac:dyDescent="0.25">
      <c r="A247" s="79" t="s">
        <v>185</v>
      </c>
      <c r="B247" s="199" t="s">
        <v>146</v>
      </c>
      <c r="C247" s="24"/>
      <c r="D247" s="10"/>
      <c r="E247" s="34"/>
      <c r="F247" s="34"/>
      <c r="G247" s="6"/>
      <c r="H247" s="34"/>
      <c r="I247" s="34"/>
      <c r="J247" s="10"/>
      <c r="K247" s="10"/>
    </row>
    <row r="248" spans="1:14" x14ac:dyDescent="0.25">
      <c r="A248" s="125" t="s">
        <v>184</v>
      </c>
      <c r="B248" s="280" t="s">
        <v>147</v>
      </c>
      <c r="C248" s="252">
        <f>SUM(C249:C250)</f>
        <v>2905640000</v>
      </c>
      <c r="D248" s="10"/>
      <c r="E248" s="34"/>
      <c r="F248" s="34"/>
      <c r="G248" s="6"/>
      <c r="H248" s="34"/>
      <c r="I248" s="34"/>
      <c r="J248" s="10"/>
      <c r="K248" s="10"/>
    </row>
    <row r="249" spans="1:14" ht="25.5" x14ac:dyDescent="0.25">
      <c r="A249" s="313" t="s">
        <v>44</v>
      </c>
      <c r="B249" s="707" t="s">
        <v>384</v>
      </c>
      <c r="C249" s="253">
        <v>35640000</v>
      </c>
      <c r="D249" s="134">
        <f>C249/C248*100</f>
        <v>1.2265800305612533</v>
      </c>
      <c r="E249" s="134">
        <f t="shared" ref="E249:E250" si="92">G249/C249*100</f>
        <v>0</v>
      </c>
      <c r="F249" s="134">
        <f t="shared" ref="F249:F250" si="93">(D249*E249)/100</f>
        <v>0</v>
      </c>
      <c r="G249" s="181">
        <v>0</v>
      </c>
      <c r="H249" s="134">
        <f t="shared" ref="H249:H250" si="94">G249/C249*100</f>
        <v>0</v>
      </c>
      <c r="I249" s="134">
        <f t="shared" ref="I249:I250" si="95">(D249*H249)/100</f>
        <v>0</v>
      </c>
      <c r="J249" s="6">
        <f t="shared" ref="J249:J250" si="96">G249-C249</f>
        <v>-35640000</v>
      </c>
      <c r="K249" s="10"/>
    </row>
    <row r="250" spans="1:14" x14ac:dyDescent="0.25">
      <c r="A250" s="49" t="s">
        <v>148</v>
      </c>
      <c r="B250" s="133" t="s">
        <v>534</v>
      </c>
      <c r="C250" s="256">
        <v>2870000000</v>
      </c>
      <c r="D250" s="268">
        <f>C250/C248*100</f>
        <v>98.773419969438748</v>
      </c>
      <c r="E250" s="134">
        <f t="shared" si="92"/>
        <v>0</v>
      </c>
      <c r="F250" s="134">
        <f t="shared" si="93"/>
        <v>0</v>
      </c>
      <c r="G250" s="181">
        <v>0</v>
      </c>
      <c r="H250" s="134">
        <f t="shared" si="94"/>
        <v>0</v>
      </c>
      <c r="I250" s="134">
        <f t="shared" si="95"/>
        <v>0</v>
      </c>
      <c r="J250" s="6">
        <f t="shared" si="96"/>
        <v>-2870000000</v>
      </c>
      <c r="K250" s="3"/>
    </row>
    <row r="251" spans="1:14" x14ac:dyDescent="0.25">
      <c r="A251" s="71"/>
      <c r="B251" s="76" t="s">
        <v>95</v>
      </c>
      <c r="C251" s="808">
        <f>SUM(C249:C250)</f>
        <v>2905640000</v>
      </c>
      <c r="D251" s="274">
        <f>SUM(D249:D250)</f>
        <v>100</v>
      </c>
      <c r="E251" s="134"/>
      <c r="F251" s="134"/>
      <c r="G251" s="181">
        <f>SUM(G249:G250)</f>
        <v>0</v>
      </c>
      <c r="H251" s="134"/>
      <c r="I251" s="134"/>
      <c r="J251" s="734"/>
      <c r="K251" s="40"/>
    </row>
    <row r="252" spans="1:14" x14ac:dyDescent="0.25">
      <c r="A252" s="53"/>
      <c r="B252" s="5"/>
      <c r="C252" s="189"/>
      <c r="D252" s="29"/>
      <c r="E252" s="30"/>
      <c r="F252" s="23"/>
      <c r="G252" s="11"/>
      <c r="H252" s="32"/>
      <c r="I252" s="23"/>
      <c r="J252" s="15"/>
      <c r="K252" s="37"/>
    </row>
    <row r="253" spans="1:14" x14ac:dyDescent="0.25">
      <c r="A253" s="1087" t="s">
        <v>2</v>
      </c>
      <c r="B253" s="1089" t="s">
        <v>169</v>
      </c>
      <c r="C253" s="1087" t="s">
        <v>4</v>
      </c>
      <c r="D253" s="1090" t="s">
        <v>5</v>
      </c>
      <c r="E253" s="1090"/>
      <c r="F253" s="1090"/>
      <c r="G253" s="1091" t="s">
        <v>6</v>
      </c>
      <c r="H253" s="1091"/>
      <c r="I253" s="1091"/>
      <c r="J253" s="1087" t="s">
        <v>7</v>
      </c>
      <c r="K253" s="108" t="s">
        <v>8</v>
      </c>
    </row>
    <row r="254" spans="1:14" x14ac:dyDescent="0.25">
      <c r="A254" s="1087"/>
      <c r="B254" s="1089"/>
      <c r="C254" s="1087"/>
      <c r="D254" s="108" t="s">
        <v>9</v>
      </c>
      <c r="E254" s="300" t="s">
        <v>10</v>
      </c>
      <c r="F254" s="300" t="s">
        <v>11</v>
      </c>
      <c r="G254" s="301" t="s">
        <v>12</v>
      </c>
      <c r="H254" s="300" t="s">
        <v>13</v>
      </c>
      <c r="I254" s="300" t="s">
        <v>11</v>
      </c>
      <c r="J254" s="1088"/>
      <c r="K254" s="109"/>
    </row>
    <row r="255" spans="1:14" x14ac:dyDescent="0.25">
      <c r="A255" s="1087"/>
      <c r="B255" s="1089"/>
      <c r="C255" s="1087"/>
      <c r="D255" s="112" t="s">
        <v>14</v>
      </c>
      <c r="E255" s="113" t="s">
        <v>14</v>
      </c>
      <c r="F255" s="113" t="s">
        <v>14</v>
      </c>
      <c r="G255" s="114" t="s">
        <v>15</v>
      </c>
      <c r="H255" s="113" t="s">
        <v>14</v>
      </c>
      <c r="I255" s="113" t="s">
        <v>14</v>
      </c>
      <c r="J255" s="112" t="s">
        <v>15</v>
      </c>
      <c r="K255" s="112"/>
    </row>
    <row r="256" spans="1:14" x14ac:dyDescent="0.25">
      <c r="A256" s="79" t="s">
        <v>185</v>
      </c>
      <c r="B256" s="199" t="s">
        <v>146</v>
      </c>
      <c r="C256" s="24"/>
      <c r="D256" s="10"/>
      <c r="E256" s="34"/>
      <c r="F256" s="34"/>
      <c r="G256" s="6"/>
      <c r="H256" s="34"/>
      <c r="I256" s="34"/>
      <c r="J256" s="10"/>
      <c r="K256" s="10"/>
    </row>
    <row r="257" spans="1:11" x14ac:dyDescent="0.25">
      <c r="A257" s="125" t="s">
        <v>187</v>
      </c>
      <c r="B257" s="280" t="s">
        <v>150</v>
      </c>
      <c r="C257" s="252">
        <f>SUM(C258:C262)</f>
        <v>1761745176</v>
      </c>
      <c r="D257" s="10"/>
      <c r="E257" s="34"/>
      <c r="F257" s="34"/>
      <c r="G257" s="6"/>
      <c r="H257" s="34"/>
      <c r="I257" s="34"/>
      <c r="J257" s="10"/>
      <c r="K257" s="10"/>
    </row>
    <row r="258" spans="1:11" ht="25.5" x14ac:dyDescent="0.25">
      <c r="A258" s="313" t="s">
        <v>44</v>
      </c>
      <c r="B258" s="707" t="s">
        <v>384</v>
      </c>
      <c r="C258" s="253">
        <v>30210000</v>
      </c>
      <c r="D258" s="134">
        <f>C258/C257*100</f>
        <v>1.7147769388868757</v>
      </c>
      <c r="E258" s="134">
        <f t="shared" ref="E258:E261" si="97">G258/C258*100</f>
        <v>0</v>
      </c>
      <c r="F258" s="134">
        <f t="shared" ref="F258:F261" si="98">(D258*E258)/100</f>
        <v>0</v>
      </c>
      <c r="G258" s="181">
        <v>0</v>
      </c>
      <c r="H258" s="134">
        <f t="shared" ref="H258:H261" si="99">G258/C258*100</f>
        <v>0</v>
      </c>
      <c r="I258" s="134">
        <f t="shared" ref="I258:I261" si="100">(D258*H258)/100</f>
        <v>0</v>
      </c>
      <c r="J258" s="6">
        <f t="shared" ref="J258:J262" si="101">G258-C258</f>
        <v>-30210000</v>
      </c>
      <c r="K258" s="10"/>
    </row>
    <row r="259" spans="1:11" ht="25.5" x14ac:dyDescent="0.25">
      <c r="A259" s="313" t="s">
        <v>59</v>
      </c>
      <c r="B259" s="707" t="s">
        <v>197</v>
      </c>
      <c r="C259" s="253">
        <v>690000</v>
      </c>
      <c r="D259" s="134">
        <f>C259/C257*100</f>
        <v>3.9165709627009077E-2</v>
      </c>
      <c r="E259" s="134">
        <f t="shared" si="97"/>
        <v>0</v>
      </c>
      <c r="F259" s="134">
        <f t="shared" si="98"/>
        <v>0</v>
      </c>
      <c r="G259" s="181">
        <v>0</v>
      </c>
      <c r="H259" s="134">
        <f t="shared" si="99"/>
        <v>0</v>
      </c>
      <c r="I259" s="134">
        <f t="shared" si="100"/>
        <v>0</v>
      </c>
      <c r="J259" s="6">
        <f t="shared" si="101"/>
        <v>-690000</v>
      </c>
      <c r="K259" s="10"/>
    </row>
    <row r="260" spans="1:11" ht="25.5" x14ac:dyDescent="0.25">
      <c r="A260" s="312" t="s">
        <v>157</v>
      </c>
      <c r="B260" s="133" t="s">
        <v>534</v>
      </c>
      <c r="C260" s="256">
        <v>1230000000</v>
      </c>
      <c r="D260" s="134">
        <f>C260/C257*100</f>
        <v>69.817134552494437</v>
      </c>
      <c r="E260" s="134">
        <f t="shared" si="97"/>
        <v>0</v>
      </c>
      <c r="F260" s="134">
        <f t="shared" si="98"/>
        <v>0</v>
      </c>
      <c r="G260" s="181">
        <v>0</v>
      </c>
      <c r="H260" s="134">
        <f t="shared" si="99"/>
        <v>0</v>
      </c>
      <c r="I260" s="134">
        <f t="shared" si="100"/>
        <v>0</v>
      </c>
      <c r="J260" s="6">
        <f t="shared" si="101"/>
        <v>-1230000000</v>
      </c>
      <c r="K260" s="10"/>
    </row>
    <row r="261" spans="1:11" s="84" customFormat="1" ht="25.5" x14ac:dyDescent="0.2">
      <c r="A261" s="312" t="s">
        <v>152</v>
      </c>
      <c r="B261" s="133" t="s">
        <v>159</v>
      </c>
      <c r="C261" s="256">
        <v>492000000</v>
      </c>
      <c r="D261" s="134">
        <f>C261/C257*100</f>
        <v>27.926853820997778</v>
      </c>
      <c r="E261" s="134">
        <f t="shared" si="97"/>
        <v>25</v>
      </c>
      <c r="F261" s="134">
        <f t="shared" si="98"/>
        <v>6.9817134552494444</v>
      </c>
      <c r="G261" s="181">
        <f>123000000</f>
        <v>123000000</v>
      </c>
      <c r="H261" s="134">
        <f t="shared" si="99"/>
        <v>25</v>
      </c>
      <c r="I261" s="134">
        <f t="shared" si="100"/>
        <v>6.9817134552494444</v>
      </c>
      <c r="J261" s="6">
        <f t="shared" si="101"/>
        <v>-369000000</v>
      </c>
      <c r="K261" s="38"/>
    </row>
    <row r="262" spans="1:11" s="84" customFormat="1" x14ac:dyDescent="0.2">
      <c r="A262" s="749" t="s">
        <v>234</v>
      </c>
      <c r="B262" s="133" t="s">
        <v>522</v>
      </c>
      <c r="C262" s="256">
        <v>8845176</v>
      </c>
      <c r="D262" s="804"/>
      <c r="E262" s="134"/>
      <c r="F262" s="134"/>
      <c r="G262" s="181"/>
      <c r="H262" s="134"/>
      <c r="I262" s="134"/>
      <c r="J262" s="6">
        <f t="shared" si="101"/>
        <v>-8845176</v>
      </c>
      <c r="K262" s="805"/>
    </row>
    <row r="263" spans="1:11" x14ac:dyDescent="0.25">
      <c r="A263" s="70"/>
      <c r="B263" s="129" t="s">
        <v>95</v>
      </c>
      <c r="C263" s="807">
        <f>SUM(C258:C262)</f>
        <v>1761745176</v>
      </c>
      <c r="D263" s="271">
        <f>SUM(D258:D261)</f>
        <v>99.4979310220061</v>
      </c>
      <c r="E263" s="134"/>
      <c r="F263" s="134"/>
      <c r="G263" s="181">
        <f>SUM(G258:G262)</f>
        <v>123000000</v>
      </c>
      <c r="H263" s="134"/>
      <c r="I263" s="134"/>
      <c r="J263" s="56">
        <v>0</v>
      </c>
      <c r="K263" s="130"/>
    </row>
    <row r="264" spans="1:11" x14ac:dyDescent="0.25">
      <c r="A264" s="53"/>
      <c r="B264" s="5"/>
      <c r="C264" s="189"/>
      <c r="D264" s="29"/>
      <c r="E264" s="30"/>
      <c r="F264" s="23"/>
      <c r="G264" s="11"/>
      <c r="H264" s="32"/>
      <c r="I264" s="23"/>
      <c r="J264" s="15"/>
      <c r="K264" s="37"/>
    </row>
    <row r="265" spans="1:11" x14ac:dyDescent="0.25">
      <c r="A265" s="50"/>
      <c r="B265" s="5"/>
      <c r="C265" s="50"/>
      <c r="D265" s="9"/>
      <c r="E265" s="23"/>
      <c r="F265" s="23"/>
      <c r="G265" s="11"/>
      <c r="H265" s="23"/>
      <c r="I265" s="23"/>
      <c r="J265" s="9"/>
      <c r="K265" s="9"/>
    </row>
    <row r="266" spans="1:11" x14ac:dyDescent="0.25">
      <c r="A266" s="50"/>
      <c r="B266" s="5"/>
      <c r="C266" s="50"/>
      <c r="D266" s="9"/>
      <c r="E266" s="23"/>
      <c r="F266" s="23"/>
      <c r="G266" s="11"/>
      <c r="H266" s="23"/>
      <c r="I266" s="23"/>
      <c r="J266" s="9"/>
      <c r="K266" s="9"/>
    </row>
    <row r="267" spans="1:11" x14ac:dyDescent="0.25">
      <c r="A267" s="1103" t="s">
        <v>2</v>
      </c>
      <c r="B267" s="1116" t="s">
        <v>137</v>
      </c>
      <c r="C267" s="1103" t="s">
        <v>4</v>
      </c>
      <c r="D267" s="1105" t="s">
        <v>5</v>
      </c>
      <c r="E267" s="1106"/>
      <c r="F267" s="1106"/>
      <c r="G267" s="1107" t="s">
        <v>6</v>
      </c>
      <c r="H267" s="1106"/>
      <c r="I267" s="1106"/>
      <c r="J267" s="1108" t="s">
        <v>7</v>
      </c>
      <c r="K267" s="1108" t="s">
        <v>8</v>
      </c>
    </row>
    <row r="268" spans="1:11" x14ac:dyDescent="0.25">
      <c r="A268" s="1103"/>
      <c r="B268" s="1117"/>
      <c r="C268" s="1103"/>
      <c r="D268" s="102" t="s">
        <v>9</v>
      </c>
      <c r="E268" s="103" t="s">
        <v>10</v>
      </c>
      <c r="F268" s="103" t="s">
        <v>11</v>
      </c>
      <c r="G268" s="104" t="s">
        <v>12</v>
      </c>
      <c r="H268" s="103" t="s">
        <v>13</v>
      </c>
      <c r="I268" s="103" t="s">
        <v>11</v>
      </c>
      <c r="J268" s="1109"/>
      <c r="K268" s="1109"/>
    </row>
    <row r="269" spans="1:11" x14ac:dyDescent="0.25">
      <c r="A269" s="1103"/>
      <c r="B269" s="1118"/>
      <c r="C269" s="1103"/>
      <c r="D269" s="105" t="s">
        <v>14</v>
      </c>
      <c r="E269" s="106" t="s">
        <v>14</v>
      </c>
      <c r="F269" s="106" t="s">
        <v>14</v>
      </c>
      <c r="G269" s="107" t="s">
        <v>15</v>
      </c>
      <c r="H269" s="106" t="s">
        <v>14</v>
      </c>
      <c r="I269" s="106" t="s">
        <v>14</v>
      </c>
      <c r="J269" s="105" t="s">
        <v>15</v>
      </c>
      <c r="K269" s="1110"/>
    </row>
    <row r="270" spans="1:11" ht="25.5" x14ac:dyDescent="0.25">
      <c r="A270" s="79" t="s">
        <v>180</v>
      </c>
      <c r="B270" s="696" t="s">
        <v>379</v>
      </c>
      <c r="C270" s="64"/>
      <c r="D270" s="10"/>
      <c r="E270" s="34"/>
      <c r="F270" s="34"/>
      <c r="G270" s="6"/>
      <c r="H270" s="34"/>
      <c r="I270" s="34"/>
      <c r="J270" s="10"/>
      <c r="K270" s="10"/>
    </row>
    <row r="271" spans="1:11" ht="25.5" x14ac:dyDescent="0.25">
      <c r="A271" s="140" t="s">
        <v>181</v>
      </c>
      <c r="B271" s="697" t="s">
        <v>380</v>
      </c>
      <c r="C271" s="86">
        <f>SUM(C272:C284)</f>
        <v>185000000</v>
      </c>
      <c r="D271" s="179"/>
      <c r="E271" s="168"/>
      <c r="F271" s="168"/>
      <c r="G271" s="169"/>
      <c r="H271" s="168"/>
      <c r="I271" s="168"/>
      <c r="J271" s="167"/>
      <c r="K271" s="167"/>
    </row>
    <row r="272" spans="1:11" ht="25.5" x14ac:dyDescent="0.25">
      <c r="A272" s="170" t="s">
        <v>44</v>
      </c>
      <c r="B272" s="707" t="s">
        <v>384</v>
      </c>
      <c r="C272" s="58">
        <v>8580000</v>
      </c>
      <c r="D272" s="180">
        <f>C272/C271*100</f>
        <v>4.6378378378378375</v>
      </c>
      <c r="E272" s="134">
        <f t="shared" ref="E272:E283" si="102">G272/C272*100</f>
        <v>0</v>
      </c>
      <c r="F272" s="134">
        <f t="shared" ref="F272:F283" si="103">(D272*E272)/100</f>
        <v>0</v>
      </c>
      <c r="G272" s="181">
        <v>0</v>
      </c>
      <c r="H272" s="134">
        <f t="shared" ref="H272:H283" si="104">G272/C272*100</f>
        <v>0</v>
      </c>
      <c r="I272" s="134">
        <f t="shared" ref="I272:I283" si="105">(D272*H272)/100</f>
        <v>0</v>
      </c>
      <c r="J272" s="6">
        <f t="shared" ref="J272:J284" si="106">G272-C272</f>
        <v>-8580000</v>
      </c>
      <c r="K272" s="167"/>
    </row>
    <row r="273" spans="1:14" x14ac:dyDescent="0.25">
      <c r="A273" s="170" t="s">
        <v>221</v>
      </c>
      <c r="B273" s="707" t="s">
        <v>530</v>
      </c>
      <c r="C273" s="58">
        <v>1350000</v>
      </c>
      <c r="D273" s="180"/>
      <c r="E273" s="134"/>
      <c r="F273" s="134"/>
      <c r="G273" s="181">
        <v>0</v>
      </c>
      <c r="H273" s="134"/>
      <c r="I273" s="134"/>
      <c r="J273" s="6">
        <f t="shared" si="106"/>
        <v>-1350000</v>
      </c>
      <c r="K273" s="167"/>
    </row>
    <row r="274" spans="1:14" ht="25.5" x14ac:dyDescent="0.25">
      <c r="A274" s="170" t="s">
        <v>59</v>
      </c>
      <c r="B274" s="707" t="s">
        <v>197</v>
      </c>
      <c r="C274" s="58">
        <v>14728000</v>
      </c>
      <c r="D274" s="729">
        <f>C274/C271*100</f>
        <v>7.9610810810810815</v>
      </c>
      <c r="E274" s="134">
        <f t="shared" si="102"/>
        <v>54.318305268875612</v>
      </c>
      <c r="F274" s="134">
        <f t="shared" si="103"/>
        <v>4.3243243243243246</v>
      </c>
      <c r="G274" s="181">
        <f>8000000</f>
        <v>8000000</v>
      </c>
      <c r="H274" s="134">
        <f t="shared" si="104"/>
        <v>54.318305268875612</v>
      </c>
      <c r="I274" s="134">
        <f t="shared" si="105"/>
        <v>4.3243243243243246</v>
      </c>
      <c r="J274" s="6">
        <f t="shared" si="106"/>
        <v>-6728000</v>
      </c>
      <c r="K274" s="167"/>
    </row>
    <row r="275" spans="1:14" x14ac:dyDescent="0.25">
      <c r="A275" s="170" t="s">
        <v>62</v>
      </c>
      <c r="B275" s="707" t="s">
        <v>334</v>
      </c>
      <c r="C275" s="58">
        <v>8500000</v>
      </c>
      <c r="D275" s="729">
        <f>C275/C271*100</f>
        <v>4.5945945945945947</v>
      </c>
      <c r="E275" s="134">
        <f t="shared" si="102"/>
        <v>58.82352941176471</v>
      </c>
      <c r="F275" s="134">
        <f t="shared" si="103"/>
        <v>2.7027027027027031</v>
      </c>
      <c r="G275" s="181">
        <f>5000000</f>
        <v>5000000</v>
      </c>
      <c r="H275" s="134">
        <f t="shared" si="104"/>
        <v>58.82352941176471</v>
      </c>
      <c r="I275" s="134">
        <f t="shared" si="105"/>
        <v>2.7027027027027031</v>
      </c>
      <c r="J275" s="6">
        <f t="shared" si="106"/>
        <v>-3500000</v>
      </c>
      <c r="K275" s="167"/>
    </row>
    <row r="276" spans="1:14" x14ac:dyDescent="0.25">
      <c r="A276" s="49" t="s">
        <v>148</v>
      </c>
      <c r="B276" s="133" t="s">
        <v>534</v>
      </c>
      <c r="C276" s="58">
        <v>10500000</v>
      </c>
      <c r="D276" s="729"/>
      <c r="E276" s="134"/>
      <c r="F276" s="134"/>
      <c r="G276" s="181">
        <f>10500000</f>
        <v>10500000</v>
      </c>
      <c r="H276" s="134"/>
      <c r="I276" s="134"/>
      <c r="J276" s="6">
        <f t="shared" si="106"/>
        <v>0</v>
      </c>
      <c r="K276" s="167"/>
    </row>
    <row r="277" spans="1:14" x14ac:dyDescent="0.25">
      <c r="A277" s="170" t="s">
        <v>77</v>
      </c>
      <c r="B277" s="49" t="s">
        <v>135</v>
      </c>
      <c r="C277" s="58">
        <v>72860000</v>
      </c>
      <c r="D277" s="729">
        <f>C277/C271*100</f>
        <v>39.383783783783784</v>
      </c>
      <c r="E277" s="134">
        <f t="shared" si="102"/>
        <v>37.965962119132584</v>
      </c>
      <c r="F277" s="134">
        <f t="shared" si="103"/>
        <v>14.952432432432433</v>
      </c>
      <c r="G277" s="181">
        <f>27662000</f>
        <v>27662000</v>
      </c>
      <c r="H277" s="134">
        <f t="shared" si="104"/>
        <v>37.965962119132584</v>
      </c>
      <c r="I277" s="134">
        <f t="shared" si="105"/>
        <v>14.952432432432433</v>
      </c>
      <c r="J277" s="6">
        <f t="shared" si="106"/>
        <v>-45198000</v>
      </c>
      <c r="K277" s="167"/>
    </row>
    <row r="278" spans="1:14" x14ac:dyDescent="0.25">
      <c r="A278" s="170" t="s">
        <v>104</v>
      </c>
      <c r="B278" s="170" t="s">
        <v>179</v>
      </c>
      <c r="C278" s="58">
        <v>34200000</v>
      </c>
      <c r="D278" s="729">
        <f>C278/C271*100</f>
        <v>18.486486486486488</v>
      </c>
      <c r="E278" s="134">
        <f t="shared" si="102"/>
        <v>26.608187134502927</v>
      </c>
      <c r="F278" s="134">
        <f t="shared" si="103"/>
        <v>4.9189189189189202</v>
      </c>
      <c r="G278" s="181">
        <f>9100000</f>
        <v>9100000</v>
      </c>
      <c r="H278" s="134">
        <f t="shared" si="104"/>
        <v>26.608187134502927</v>
      </c>
      <c r="I278" s="134">
        <f t="shared" si="105"/>
        <v>4.9189189189189202</v>
      </c>
      <c r="J278" s="6">
        <f t="shared" si="106"/>
        <v>-25100000</v>
      </c>
      <c r="K278" s="167"/>
    </row>
    <row r="279" spans="1:14" x14ac:dyDescent="0.25">
      <c r="A279" s="170" t="s">
        <v>130</v>
      </c>
      <c r="B279" s="170" t="s">
        <v>131</v>
      </c>
      <c r="C279" s="58">
        <v>3000000</v>
      </c>
      <c r="D279" s="729">
        <f>C279/C271*100</f>
        <v>1.6216216216216217</v>
      </c>
      <c r="E279" s="134">
        <f t="shared" si="102"/>
        <v>0</v>
      </c>
      <c r="F279" s="134">
        <f t="shared" si="103"/>
        <v>0</v>
      </c>
      <c r="G279" s="181">
        <v>0</v>
      </c>
      <c r="H279" s="134">
        <f t="shared" si="104"/>
        <v>0</v>
      </c>
      <c r="I279" s="134">
        <f t="shared" si="105"/>
        <v>0</v>
      </c>
      <c r="J279" s="6">
        <f t="shared" si="106"/>
        <v>-3000000</v>
      </c>
      <c r="K279" s="167"/>
    </row>
    <row r="280" spans="1:14" ht="25.5" x14ac:dyDescent="0.25">
      <c r="A280" s="170" t="s">
        <v>106</v>
      </c>
      <c r="B280" s="316" t="s">
        <v>375</v>
      </c>
      <c r="C280" s="58">
        <v>13950000</v>
      </c>
      <c r="D280" s="180">
        <f>C280/C271*100</f>
        <v>7.5405405405405395</v>
      </c>
      <c r="E280" s="134">
        <f t="shared" si="102"/>
        <v>61.29032258064516</v>
      </c>
      <c r="F280" s="134">
        <f t="shared" si="103"/>
        <v>4.621621621621621</v>
      </c>
      <c r="G280" s="181">
        <f>8550000</f>
        <v>8550000</v>
      </c>
      <c r="H280" s="134">
        <f t="shared" si="104"/>
        <v>61.29032258064516</v>
      </c>
      <c r="I280" s="134">
        <f t="shared" si="105"/>
        <v>4.621621621621621</v>
      </c>
      <c r="J280" s="6">
        <f t="shared" si="106"/>
        <v>-5400000</v>
      </c>
      <c r="K280" s="167"/>
    </row>
    <row r="281" spans="1:14" x14ac:dyDescent="0.25">
      <c r="A281" s="170" t="s">
        <v>162</v>
      </c>
      <c r="B281" s="170" t="s">
        <v>535</v>
      </c>
      <c r="C281" s="178">
        <v>2800000</v>
      </c>
      <c r="D281" s="729">
        <f>C281/C271*100</f>
        <v>1.5135135135135136</v>
      </c>
      <c r="E281" s="134">
        <f t="shared" si="102"/>
        <v>100</v>
      </c>
      <c r="F281" s="134">
        <f t="shared" si="103"/>
        <v>1.5135135135135136</v>
      </c>
      <c r="G281" s="181">
        <f>2800000</f>
        <v>2800000</v>
      </c>
      <c r="H281" s="134">
        <f t="shared" si="104"/>
        <v>100</v>
      </c>
      <c r="I281" s="134">
        <f t="shared" si="105"/>
        <v>1.5135135135135136</v>
      </c>
      <c r="J281" s="6">
        <f t="shared" si="106"/>
        <v>0</v>
      </c>
      <c r="K281" s="167"/>
    </row>
    <row r="282" spans="1:14" ht="25.5" x14ac:dyDescent="0.25">
      <c r="A282" s="170" t="s">
        <v>116</v>
      </c>
      <c r="B282" s="750" t="s">
        <v>420</v>
      </c>
      <c r="C282" s="178">
        <v>1057000</v>
      </c>
      <c r="D282" s="729">
        <f>C282/C272*100</f>
        <v>12.319347319347319</v>
      </c>
      <c r="E282" s="134"/>
      <c r="F282" s="134"/>
      <c r="G282" s="181">
        <v>0</v>
      </c>
      <c r="H282" s="134"/>
      <c r="I282" s="134"/>
      <c r="J282" s="6">
        <f t="shared" si="106"/>
        <v>-1057000</v>
      </c>
      <c r="K282" s="167"/>
    </row>
    <row r="283" spans="1:14" x14ac:dyDescent="0.25">
      <c r="A283" s="170" t="s">
        <v>65</v>
      </c>
      <c r="B283" s="170" t="s">
        <v>190</v>
      </c>
      <c r="C283" s="178">
        <v>7000000</v>
      </c>
      <c r="D283" s="729">
        <f>C283/C271*100</f>
        <v>3.7837837837837842</v>
      </c>
      <c r="E283" s="134">
        <f t="shared" si="102"/>
        <v>0</v>
      </c>
      <c r="F283" s="134">
        <f t="shared" si="103"/>
        <v>0</v>
      </c>
      <c r="G283" s="181">
        <v>0</v>
      </c>
      <c r="H283" s="134">
        <f t="shared" si="104"/>
        <v>0</v>
      </c>
      <c r="I283" s="134">
        <f t="shared" si="105"/>
        <v>0</v>
      </c>
      <c r="J283" s="6">
        <f t="shared" si="106"/>
        <v>-7000000</v>
      </c>
      <c r="K283" s="167"/>
    </row>
    <row r="284" spans="1:14" x14ac:dyDescent="0.25">
      <c r="A284" s="68" t="s">
        <v>301</v>
      </c>
      <c r="B284" s="170" t="s">
        <v>409</v>
      </c>
      <c r="C284" s="58">
        <v>6475000</v>
      </c>
      <c r="D284" s="269"/>
      <c r="E284" s="134"/>
      <c r="F284" s="134"/>
      <c r="G284" s="181">
        <f>6475000</f>
        <v>6475000</v>
      </c>
      <c r="H284" s="134"/>
      <c r="I284" s="134"/>
      <c r="J284" s="6">
        <f t="shared" si="106"/>
        <v>0</v>
      </c>
      <c r="K284" s="167"/>
    </row>
    <row r="285" spans="1:14" x14ac:dyDescent="0.25">
      <c r="A285" s="68"/>
      <c r="B285" s="67" t="s">
        <v>128</v>
      </c>
      <c r="C285" s="60">
        <f>SUM(C272:C284)</f>
        <v>185000000</v>
      </c>
      <c r="D285" s="270">
        <f>SUM(D272:D283)</f>
        <v>101.84259056259057</v>
      </c>
      <c r="E285" s="134"/>
      <c r="F285" s="134"/>
      <c r="G285" s="837">
        <f>SUM(G272:G284)</f>
        <v>78087000</v>
      </c>
      <c r="H285" s="134"/>
      <c r="I285" s="134"/>
      <c r="J285" s="56">
        <v>0</v>
      </c>
      <c r="K285" s="3"/>
    </row>
    <row r="286" spans="1:14" x14ac:dyDescent="0.25">
      <c r="A286" s="190"/>
      <c r="B286" s="2"/>
      <c r="C286" s="59"/>
      <c r="D286" s="41"/>
      <c r="E286" s="31"/>
      <c r="F286" s="31"/>
      <c r="G286" s="36"/>
      <c r="H286" s="31"/>
      <c r="I286" s="31"/>
      <c r="J286" s="33"/>
      <c r="K286" s="37"/>
    </row>
    <row r="287" spans="1:14" ht="31.5" x14ac:dyDescent="0.25">
      <c r="A287" s="55"/>
      <c r="B287" s="46" t="s">
        <v>145</v>
      </c>
      <c r="C287" s="155"/>
      <c r="D287" s="44"/>
      <c r="E287" s="45"/>
      <c r="F287" s="45"/>
      <c r="G287" s="48"/>
      <c r="H287" s="45"/>
      <c r="I287" s="45"/>
      <c r="J287" s="44"/>
      <c r="K287" s="44"/>
      <c r="L287" s="1"/>
      <c r="M287" s="1"/>
      <c r="N287" s="1"/>
    </row>
    <row r="288" spans="1:14" x14ac:dyDescent="0.25">
      <c r="A288" s="1111" t="s">
        <v>2</v>
      </c>
      <c r="B288" s="1104" t="s">
        <v>170</v>
      </c>
      <c r="C288" s="1111" t="s">
        <v>4</v>
      </c>
      <c r="D288" s="1112" t="s">
        <v>5</v>
      </c>
      <c r="E288" s="1113"/>
      <c r="F288" s="1113"/>
      <c r="G288" s="1114" t="s">
        <v>6</v>
      </c>
      <c r="H288" s="1113"/>
      <c r="I288" s="1113"/>
      <c r="J288" s="1111" t="s">
        <v>7</v>
      </c>
      <c r="K288" s="285" t="s">
        <v>8</v>
      </c>
    </row>
    <row r="289" spans="1:11" x14ac:dyDescent="0.25">
      <c r="A289" s="1111"/>
      <c r="B289" s="1104"/>
      <c r="C289" s="1111"/>
      <c r="D289" s="285" t="s">
        <v>9</v>
      </c>
      <c r="E289" s="304" t="s">
        <v>10</v>
      </c>
      <c r="F289" s="304" t="s">
        <v>11</v>
      </c>
      <c r="G289" s="305" t="s">
        <v>12</v>
      </c>
      <c r="H289" s="304" t="s">
        <v>13</v>
      </c>
      <c r="I289" s="304" t="s">
        <v>11</v>
      </c>
      <c r="J289" s="1115"/>
      <c r="K289" s="287"/>
    </row>
    <row r="290" spans="1:11" x14ac:dyDescent="0.25">
      <c r="A290" s="1111"/>
      <c r="B290" s="1104"/>
      <c r="C290" s="1111"/>
      <c r="D290" s="286" t="s">
        <v>14</v>
      </c>
      <c r="E290" s="302" t="s">
        <v>14</v>
      </c>
      <c r="F290" s="302" t="s">
        <v>14</v>
      </c>
      <c r="G290" s="303" t="s">
        <v>15</v>
      </c>
      <c r="H290" s="302" t="s">
        <v>14</v>
      </c>
      <c r="I290" s="302" t="s">
        <v>14</v>
      </c>
      <c r="J290" s="286" t="s">
        <v>15</v>
      </c>
      <c r="K290" s="286"/>
    </row>
    <row r="291" spans="1:11" x14ac:dyDescent="0.25">
      <c r="A291" s="144" t="s">
        <v>185</v>
      </c>
      <c r="B291" s="199" t="s">
        <v>146</v>
      </c>
      <c r="C291" s="145"/>
      <c r="D291" s="146"/>
      <c r="E291" s="147"/>
      <c r="F291" s="147"/>
      <c r="G291" s="148"/>
      <c r="H291" s="147"/>
      <c r="I291" s="147"/>
      <c r="J291" s="146"/>
      <c r="K291" s="146"/>
    </row>
    <row r="292" spans="1:11" x14ac:dyDescent="0.25">
      <c r="A292" s="318" t="s">
        <v>184</v>
      </c>
      <c r="B292" s="280" t="s">
        <v>147</v>
      </c>
      <c r="C292" s="257">
        <f>SUM(C293:C294)</f>
        <v>2480900000</v>
      </c>
      <c r="D292" s="146"/>
      <c r="E292" s="147"/>
      <c r="F292" s="147"/>
      <c r="G292" s="148"/>
      <c r="H292" s="147"/>
      <c r="I292" s="147"/>
      <c r="J292" s="146"/>
      <c r="K292" s="146"/>
    </row>
    <row r="293" spans="1:11" ht="25.5" x14ac:dyDescent="0.25">
      <c r="A293" s="319" t="s">
        <v>44</v>
      </c>
      <c r="B293" s="707" t="s">
        <v>384</v>
      </c>
      <c r="C293" s="149">
        <v>30900000</v>
      </c>
      <c r="D293" s="267">
        <f>C293/C292*100</f>
        <v>1.2455157402555526</v>
      </c>
      <c r="E293" s="134">
        <f t="shared" ref="E293:E294" si="107">G293/C293*100</f>
        <v>0</v>
      </c>
      <c r="F293" s="134">
        <f t="shared" ref="F293:F294" si="108">(D293*E293)/100</f>
        <v>0</v>
      </c>
      <c r="G293" s="181">
        <v>0</v>
      </c>
      <c r="H293" s="134">
        <f t="shared" ref="H293:H294" si="109">G293/C293*100</f>
        <v>0</v>
      </c>
      <c r="I293" s="134">
        <f t="shared" ref="I293:I294" si="110">(D293*H293)/100</f>
        <v>0</v>
      </c>
      <c r="J293" s="6">
        <f t="shared" ref="J293:J294" si="111">G293-C293</f>
        <v>-30900000</v>
      </c>
      <c r="K293" s="146"/>
    </row>
    <row r="294" spans="1:11" x14ac:dyDescent="0.25">
      <c r="A294" s="49" t="s">
        <v>148</v>
      </c>
      <c r="B294" s="133" t="s">
        <v>534</v>
      </c>
      <c r="C294" s="149">
        <v>2450000000</v>
      </c>
      <c r="D294" s="267">
        <f>C294/C292*100</f>
        <v>98.754484259744444</v>
      </c>
      <c r="E294" s="134">
        <f t="shared" si="107"/>
        <v>0</v>
      </c>
      <c r="F294" s="134">
        <f t="shared" si="108"/>
        <v>0</v>
      </c>
      <c r="G294" s="181">
        <v>0</v>
      </c>
      <c r="H294" s="134">
        <f t="shared" si="109"/>
        <v>0</v>
      </c>
      <c r="I294" s="134">
        <f t="shared" si="110"/>
        <v>0</v>
      </c>
      <c r="J294" s="6">
        <f t="shared" si="111"/>
        <v>-2450000000</v>
      </c>
      <c r="K294" s="146"/>
    </row>
    <row r="295" spans="1:11" x14ac:dyDescent="0.25">
      <c r="A295" s="71"/>
      <c r="B295" s="76" t="s">
        <v>95</v>
      </c>
      <c r="C295" s="809">
        <f>SUM(C293:C294)</f>
        <v>2480900000</v>
      </c>
      <c r="D295" s="141">
        <f>SUM(D293:D294)</f>
        <v>100</v>
      </c>
      <c r="E295" s="134"/>
      <c r="F295" s="134"/>
      <c r="G295" s="181">
        <f>SUM(G293:G294)</f>
        <v>0</v>
      </c>
      <c r="H295" s="134"/>
      <c r="I295" s="134"/>
      <c r="J295" s="56">
        <v>0</v>
      </c>
      <c r="K295" s="143"/>
    </row>
    <row r="296" spans="1:11" x14ac:dyDescent="0.25">
      <c r="A296" s="190"/>
      <c r="B296" s="2"/>
      <c r="C296" s="59"/>
      <c r="D296" s="41"/>
      <c r="E296" s="31"/>
      <c r="F296" s="31"/>
      <c r="G296" s="36"/>
      <c r="H296" s="31"/>
      <c r="I296" s="31"/>
      <c r="J296" s="33"/>
      <c r="K296" s="37"/>
    </row>
    <row r="297" spans="1:11" x14ac:dyDescent="0.25">
      <c r="A297" s="1103" t="s">
        <v>2</v>
      </c>
      <c r="B297" s="1104" t="s">
        <v>170</v>
      </c>
      <c r="C297" s="1103" t="s">
        <v>4</v>
      </c>
      <c r="D297" s="1105" t="s">
        <v>5</v>
      </c>
      <c r="E297" s="1106"/>
      <c r="F297" s="1106"/>
      <c r="G297" s="1107" t="s">
        <v>6</v>
      </c>
      <c r="H297" s="1106"/>
      <c r="I297" s="1106"/>
      <c r="J297" s="1103" t="s">
        <v>7</v>
      </c>
      <c r="K297" s="288" t="s">
        <v>8</v>
      </c>
    </row>
    <row r="298" spans="1:11" x14ac:dyDescent="0.25">
      <c r="A298" s="1103"/>
      <c r="B298" s="1104"/>
      <c r="C298" s="1103"/>
      <c r="D298" s="288" t="s">
        <v>9</v>
      </c>
      <c r="E298" s="306" t="s">
        <v>10</v>
      </c>
      <c r="F298" s="306" t="s">
        <v>11</v>
      </c>
      <c r="G298" s="307" t="s">
        <v>12</v>
      </c>
      <c r="H298" s="306" t="s">
        <v>13</v>
      </c>
      <c r="I298" s="306" t="s">
        <v>11</v>
      </c>
      <c r="J298" s="1108"/>
      <c r="K298" s="102"/>
    </row>
    <row r="299" spans="1:11" x14ac:dyDescent="0.25">
      <c r="A299" s="1103"/>
      <c r="B299" s="1104"/>
      <c r="C299" s="1103"/>
      <c r="D299" s="105" t="s">
        <v>14</v>
      </c>
      <c r="E299" s="106" t="s">
        <v>14</v>
      </c>
      <c r="F299" s="106" t="s">
        <v>14</v>
      </c>
      <c r="G299" s="107" t="s">
        <v>15</v>
      </c>
      <c r="H299" s="106" t="s">
        <v>14</v>
      </c>
      <c r="I299" s="106" t="s">
        <v>14</v>
      </c>
      <c r="J299" s="105" t="s">
        <v>15</v>
      </c>
      <c r="K299" s="105"/>
    </row>
    <row r="300" spans="1:11" x14ac:dyDescent="0.25">
      <c r="A300" s="79" t="s">
        <v>185</v>
      </c>
      <c r="B300" s="199" t="s">
        <v>146</v>
      </c>
      <c r="C300" s="24"/>
      <c r="D300" s="10"/>
      <c r="E300" s="34"/>
      <c r="F300" s="34"/>
      <c r="G300" s="6"/>
      <c r="H300" s="34"/>
      <c r="I300" s="34"/>
      <c r="J300" s="10"/>
      <c r="K300" s="10"/>
    </row>
    <row r="301" spans="1:11" x14ac:dyDescent="0.25">
      <c r="A301" s="125" t="s">
        <v>187</v>
      </c>
      <c r="B301" s="280" t="s">
        <v>150</v>
      </c>
      <c r="C301" s="131">
        <f>SUM(C302:C305)</f>
        <v>1508450760</v>
      </c>
      <c r="D301" s="10"/>
      <c r="E301" s="34"/>
      <c r="F301" s="34"/>
      <c r="G301" s="6"/>
      <c r="H301" s="34"/>
      <c r="I301" s="34"/>
      <c r="J301" s="10"/>
      <c r="K301" s="10"/>
    </row>
    <row r="302" spans="1:11" ht="25.5" x14ac:dyDescent="0.25">
      <c r="A302" s="124" t="s">
        <v>44</v>
      </c>
      <c r="B302" s="707" t="s">
        <v>384</v>
      </c>
      <c r="C302" s="253">
        <v>30900000</v>
      </c>
      <c r="D302" s="134">
        <f>C302/C301*100</f>
        <v>2.0484593080121489</v>
      </c>
      <c r="E302" s="134">
        <f t="shared" ref="E302:E304" si="112">G302/C302*100</f>
        <v>0</v>
      </c>
      <c r="F302" s="134">
        <f t="shared" ref="F302:F304" si="113">(D302*E302)/100</f>
        <v>0</v>
      </c>
      <c r="G302" s="181">
        <v>0</v>
      </c>
      <c r="H302" s="134">
        <f t="shared" ref="H302:H304" si="114">G302/C302*100</f>
        <v>0</v>
      </c>
      <c r="I302" s="134">
        <f t="shared" ref="I302:I304" si="115">(D302*H302)/100</f>
        <v>0</v>
      </c>
      <c r="J302" s="6">
        <f t="shared" ref="J302:J305" si="116">G302-C302</f>
        <v>-30900000</v>
      </c>
      <c r="K302" s="10"/>
    </row>
    <row r="303" spans="1:11" x14ac:dyDescent="0.25">
      <c r="A303" s="49" t="s">
        <v>148</v>
      </c>
      <c r="B303" s="133" t="s">
        <v>534</v>
      </c>
      <c r="C303" s="256">
        <v>1050000000</v>
      </c>
      <c r="D303" s="134">
        <f>C303/C301*100</f>
        <v>69.607840563519616</v>
      </c>
      <c r="E303" s="134">
        <f t="shared" si="112"/>
        <v>0</v>
      </c>
      <c r="F303" s="134">
        <f t="shared" si="113"/>
        <v>0</v>
      </c>
      <c r="G303" s="181">
        <v>0</v>
      </c>
      <c r="H303" s="134">
        <f t="shared" si="114"/>
        <v>0</v>
      </c>
      <c r="I303" s="134">
        <f t="shared" si="115"/>
        <v>0</v>
      </c>
      <c r="J303" s="6">
        <f t="shared" si="116"/>
        <v>-1050000000</v>
      </c>
      <c r="K303" s="10"/>
    </row>
    <row r="304" spans="1:11" s="84" customFormat="1" ht="25.5" x14ac:dyDescent="0.2">
      <c r="A304" s="49" t="s">
        <v>152</v>
      </c>
      <c r="B304" s="133" t="s">
        <v>153</v>
      </c>
      <c r="C304" s="256">
        <v>420000000</v>
      </c>
      <c r="D304" s="134">
        <f>C304/C301*100</f>
        <v>27.84313622540785</v>
      </c>
      <c r="E304" s="134">
        <f t="shared" si="112"/>
        <v>25</v>
      </c>
      <c r="F304" s="134">
        <f t="shared" si="113"/>
        <v>6.9607840563519634</v>
      </c>
      <c r="G304" s="181">
        <f>105000000</f>
        <v>105000000</v>
      </c>
      <c r="H304" s="134">
        <f t="shared" si="114"/>
        <v>25</v>
      </c>
      <c r="I304" s="134">
        <f t="shared" si="115"/>
        <v>6.9607840563519634</v>
      </c>
      <c r="J304" s="6">
        <f t="shared" si="116"/>
        <v>-315000000</v>
      </c>
      <c r="K304" s="38"/>
    </row>
    <row r="305" spans="1:15" s="84" customFormat="1" x14ac:dyDescent="0.2">
      <c r="A305" s="749" t="s">
        <v>234</v>
      </c>
      <c r="B305" s="133" t="s">
        <v>522</v>
      </c>
      <c r="C305" s="256">
        <v>7550760</v>
      </c>
      <c r="D305" s="804"/>
      <c r="E305" s="134"/>
      <c r="F305" s="134"/>
      <c r="G305" s="181"/>
      <c r="H305" s="134"/>
      <c r="I305" s="134"/>
      <c r="J305" s="6">
        <f t="shared" si="116"/>
        <v>-7550760</v>
      </c>
      <c r="K305" s="805"/>
    </row>
    <row r="306" spans="1:15" x14ac:dyDescent="0.25">
      <c r="A306" s="70"/>
      <c r="B306" s="129" t="s">
        <v>95</v>
      </c>
      <c r="C306" s="807">
        <f>SUM(C302:C305)</f>
        <v>1508450760</v>
      </c>
      <c r="D306" s="271">
        <f>SUM(D302:D304)</f>
        <v>99.499436096939618</v>
      </c>
      <c r="E306" s="134"/>
      <c r="F306" s="134"/>
      <c r="G306" s="181">
        <f>SUM(G302:G305)</f>
        <v>105000000</v>
      </c>
      <c r="H306" s="134"/>
      <c r="I306" s="134"/>
      <c r="J306" s="56">
        <v>0</v>
      </c>
      <c r="K306" s="130"/>
    </row>
    <row r="307" spans="1:15" x14ac:dyDescent="0.25">
      <c r="A307" s="190"/>
      <c r="B307" s="2"/>
      <c r="C307" s="59"/>
      <c r="D307" s="41"/>
      <c r="E307" s="31"/>
      <c r="F307" s="31"/>
      <c r="G307" s="36"/>
      <c r="H307" s="31"/>
      <c r="I307" s="31"/>
      <c r="J307" s="33"/>
      <c r="K307" s="37"/>
    </row>
    <row r="308" spans="1:15" x14ac:dyDescent="0.25">
      <c r="A308" s="50"/>
      <c r="B308" s="5"/>
      <c r="C308" s="50"/>
      <c r="D308" s="9"/>
      <c r="E308" s="23"/>
      <c r="F308" s="23"/>
      <c r="G308" s="11"/>
      <c r="H308" s="23"/>
      <c r="I308" s="23"/>
      <c r="J308" s="9"/>
      <c r="K308" s="9"/>
    </row>
    <row r="309" spans="1:15" x14ac:dyDescent="0.25">
      <c r="A309" s="1123" t="s">
        <v>2</v>
      </c>
      <c r="B309" s="1126" t="s">
        <v>138</v>
      </c>
      <c r="C309" s="1129" t="s">
        <v>4</v>
      </c>
      <c r="D309" s="1121" t="s">
        <v>5</v>
      </c>
      <c r="E309" s="1132"/>
      <c r="F309" s="1132"/>
      <c r="G309" s="1122" t="s">
        <v>6</v>
      </c>
      <c r="H309" s="1132"/>
      <c r="I309" s="1132"/>
      <c r="J309" s="1123" t="s">
        <v>7</v>
      </c>
      <c r="K309" s="1123" t="s">
        <v>8</v>
      </c>
    </row>
    <row r="310" spans="1:15" x14ac:dyDescent="0.25">
      <c r="A310" s="1124"/>
      <c r="B310" s="1127"/>
      <c r="C310" s="1130"/>
      <c r="D310" s="289" t="s">
        <v>9</v>
      </c>
      <c r="E310" s="308" t="s">
        <v>10</v>
      </c>
      <c r="F310" s="308" t="s">
        <v>11</v>
      </c>
      <c r="G310" s="117" t="s">
        <v>12</v>
      </c>
      <c r="H310" s="116" t="s">
        <v>13</v>
      </c>
      <c r="I310" s="116" t="s">
        <v>11</v>
      </c>
      <c r="J310" s="1124"/>
      <c r="K310" s="1124"/>
    </row>
    <row r="311" spans="1:15" x14ac:dyDescent="0.25">
      <c r="A311" s="1125"/>
      <c r="B311" s="1128"/>
      <c r="C311" s="1131"/>
      <c r="D311" s="115" t="s">
        <v>14</v>
      </c>
      <c r="E311" s="119" t="s">
        <v>14</v>
      </c>
      <c r="F311" s="119" t="s">
        <v>14</v>
      </c>
      <c r="G311" s="120" t="s">
        <v>15</v>
      </c>
      <c r="H311" s="119" t="s">
        <v>14</v>
      </c>
      <c r="I311" s="119" t="s">
        <v>14</v>
      </c>
      <c r="J311" s="118" t="s">
        <v>15</v>
      </c>
      <c r="K311" s="1125"/>
    </row>
    <row r="312" spans="1:15" ht="25.5" x14ac:dyDescent="0.25">
      <c r="A312" s="79" t="s">
        <v>180</v>
      </c>
      <c r="B312" s="696" t="s">
        <v>379</v>
      </c>
      <c r="C312" s="127"/>
      <c r="D312" s="121"/>
      <c r="E312" s="34"/>
      <c r="F312" s="34"/>
      <c r="G312" s="6"/>
      <c r="H312" s="34"/>
      <c r="I312" s="34"/>
      <c r="J312" s="10"/>
      <c r="K312" s="85"/>
    </row>
    <row r="313" spans="1:15" ht="25.5" x14ac:dyDescent="0.25">
      <c r="A313" s="125" t="s">
        <v>181</v>
      </c>
      <c r="B313" s="697" t="s">
        <v>380</v>
      </c>
      <c r="C313" s="88">
        <f>SUM(C314:C331)</f>
        <v>185000000</v>
      </c>
      <c r="D313" s="121"/>
      <c r="E313" s="34"/>
      <c r="F313" s="34"/>
      <c r="G313" s="6"/>
      <c r="H313" s="34"/>
      <c r="I313" s="34"/>
      <c r="J313" s="10"/>
      <c r="K313" s="156"/>
    </row>
    <row r="314" spans="1:15" ht="25.5" x14ac:dyDescent="0.25">
      <c r="A314" s="49" t="s">
        <v>44</v>
      </c>
      <c r="B314" s="707" t="s">
        <v>384</v>
      </c>
      <c r="C314" s="39">
        <v>8730000</v>
      </c>
      <c r="D314" s="727">
        <f>C314/C313*100</f>
        <v>4.7189189189189191</v>
      </c>
      <c r="E314" s="134">
        <f t="shared" ref="E314:E322" si="117">G314/C314*100</f>
        <v>0</v>
      </c>
      <c r="F314" s="134">
        <f t="shared" ref="F314:F322" si="118">(D314*E314)/100</f>
        <v>0</v>
      </c>
      <c r="G314" s="181">
        <v>0</v>
      </c>
      <c r="H314" s="134">
        <f t="shared" ref="H314:H322" si="119">G314/C314*100</f>
        <v>0</v>
      </c>
      <c r="I314" s="134">
        <f t="shared" ref="I314:I322" si="120">(D314*H314)/100</f>
        <v>0</v>
      </c>
      <c r="J314" s="6">
        <f t="shared" ref="J314:J331" si="121">G314-C314</f>
        <v>-8730000</v>
      </c>
      <c r="K314" s="10"/>
      <c r="O314" s="717"/>
    </row>
    <row r="315" spans="1:15" ht="25.5" x14ac:dyDescent="0.25">
      <c r="A315" s="49" t="s">
        <v>59</v>
      </c>
      <c r="B315" s="707" t="s">
        <v>197</v>
      </c>
      <c r="C315" s="39">
        <v>13887500</v>
      </c>
      <c r="D315" s="727">
        <f>C315/C313*100</f>
        <v>7.5067567567567561</v>
      </c>
      <c r="E315" s="134">
        <f t="shared" si="117"/>
        <v>36.003600360036003</v>
      </c>
      <c r="F315" s="134">
        <f t="shared" si="118"/>
        <v>2.7027027027027026</v>
      </c>
      <c r="G315" s="181">
        <f>5000000</f>
        <v>5000000</v>
      </c>
      <c r="H315" s="134">
        <f t="shared" si="119"/>
        <v>36.003600360036003</v>
      </c>
      <c r="I315" s="134">
        <f t="shared" si="120"/>
        <v>2.7027027027027026</v>
      </c>
      <c r="J315" s="6">
        <f t="shared" si="121"/>
        <v>-8887500</v>
      </c>
      <c r="K315" s="10"/>
    </row>
    <row r="316" spans="1:15" x14ac:dyDescent="0.25">
      <c r="A316" s="49" t="s">
        <v>62</v>
      </c>
      <c r="B316" s="707" t="s">
        <v>414</v>
      </c>
      <c r="C316" s="39">
        <v>7970500</v>
      </c>
      <c r="D316" s="727"/>
      <c r="E316" s="134"/>
      <c r="F316" s="134"/>
      <c r="G316" s="181">
        <v>0</v>
      </c>
      <c r="H316" s="134"/>
      <c r="I316" s="134"/>
      <c r="J316" s="6">
        <f t="shared" si="121"/>
        <v>-7970500</v>
      </c>
      <c r="K316" s="10"/>
    </row>
    <row r="317" spans="1:15" x14ac:dyDescent="0.25">
      <c r="A317" s="49" t="s">
        <v>54</v>
      </c>
      <c r="B317" s="707" t="s">
        <v>536</v>
      </c>
      <c r="C317" s="39">
        <v>800000</v>
      </c>
      <c r="D317" s="727"/>
      <c r="E317" s="134"/>
      <c r="F317" s="134"/>
      <c r="G317" s="181">
        <f>800000</f>
        <v>800000</v>
      </c>
      <c r="H317" s="134"/>
      <c r="I317" s="134"/>
      <c r="J317" s="6">
        <f t="shared" si="121"/>
        <v>0</v>
      </c>
      <c r="K317" s="10"/>
    </row>
    <row r="318" spans="1:15" ht="25.5" x14ac:dyDescent="0.25">
      <c r="A318" s="49" t="s">
        <v>193</v>
      </c>
      <c r="B318" s="707" t="s">
        <v>537</v>
      </c>
      <c r="C318" s="39">
        <v>8750000</v>
      </c>
      <c r="D318" s="727"/>
      <c r="E318" s="134"/>
      <c r="F318" s="134"/>
      <c r="G318" s="181">
        <f>8750000</f>
        <v>8750000</v>
      </c>
      <c r="H318" s="134"/>
      <c r="I318" s="134"/>
      <c r="J318" s="6">
        <f t="shared" si="121"/>
        <v>0</v>
      </c>
      <c r="K318" s="10"/>
    </row>
    <row r="319" spans="1:15" x14ac:dyDescent="0.25">
      <c r="A319" s="49" t="s">
        <v>148</v>
      </c>
      <c r="B319" s="133" t="s">
        <v>534</v>
      </c>
      <c r="C319" s="39">
        <v>10000000</v>
      </c>
      <c r="D319" s="727"/>
      <c r="E319" s="134"/>
      <c r="F319" s="134"/>
      <c r="G319" s="181">
        <f>10000000</f>
        <v>10000000</v>
      </c>
      <c r="H319" s="134"/>
      <c r="I319" s="134"/>
      <c r="J319" s="6">
        <f t="shared" si="121"/>
        <v>0</v>
      </c>
      <c r="K319" s="10"/>
    </row>
    <row r="320" spans="1:15" x14ac:dyDescent="0.25">
      <c r="A320" s="49" t="s">
        <v>77</v>
      </c>
      <c r="B320" s="49" t="s">
        <v>139</v>
      </c>
      <c r="C320" s="39">
        <v>82680000</v>
      </c>
      <c r="D320" s="727">
        <f>C320/C313*100</f>
        <v>44.691891891891892</v>
      </c>
      <c r="E320" s="134">
        <f t="shared" si="117"/>
        <v>30.551523947750365</v>
      </c>
      <c r="F320" s="134">
        <f t="shared" si="118"/>
        <v>13.654054054054054</v>
      </c>
      <c r="G320" s="181">
        <f>25260000</f>
        <v>25260000</v>
      </c>
      <c r="H320" s="134">
        <f t="shared" si="119"/>
        <v>30.551523947750365</v>
      </c>
      <c r="I320" s="134">
        <f t="shared" si="120"/>
        <v>13.654054054054054</v>
      </c>
      <c r="J320" s="6">
        <f t="shared" si="121"/>
        <v>-57420000</v>
      </c>
      <c r="K320" s="10"/>
    </row>
    <row r="321" spans="1:14" x14ac:dyDescent="0.25">
      <c r="A321" s="49" t="s">
        <v>104</v>
      </c>
      <c r="B321" s="170" t="s">
        <v>418</v>
      </c>
      <c r="C321" s="39">
        <v>7300000</v>
      </c>
      <c r="D321" s="727">
        <f>C321/C313*100</f>
        <v>3.9459459459459461</v>
      </c>
      <c r="E321" s="134">
        <f t="shared" si="117"/>
        <v>0</v>
      </c>
      <c r="F321" s="134">
        <f t="shared" si="118"/>
        <v>0</v>
      </c>
      <c r="G321" s="181">
        <v>0</v>
      </c>
      <c r="H321" s="134">
        <f t="shared" si="119"/>
        <v>0</v>
      </c>
      <c r="I321" s="134">
        <f t="shared" si="120"/>
        <v>0</v>
      </c>
      <c r="J321" s="6">
        <f t="shared" si="121"/>
        <v>-7300000</v>
      </c>
      <c r="K321" s="10"/>
    </row>
    <row r="322" spans="1:14" ht="25.5" x14ac:dyDescent="0.25">
      <c r="A322" s="49" t="s">
        <v>192</v>
      </c>
      <c r="B322" s="316" t="s">
        <v>375</v>
      </c>
      <c r="C322" s="39">
        <v>13050000</v>
      </c>
      <c r="D322" s="727">
        <f>C322/C313*100</f>
        <v>7.0540540540540544</v>
      </c>
      <c r="E322" s="134">
        <f t="shared" si="117"/>
        <v>9.1954022988505741</v>
      </c>
      <c r="F322" s="134">
        <f t="shared" si="118"/>
        <v>0.64864864864864868</v>
      </c>
      <c r="G322" s="181">
        <f>1200000</f>
        <v>1200000</v>
      </c>
      <c r="H322" s="134">
        <f t="shared" si="119"/>
        <v>9.1954022988505741</v>
      </c>
      <c r="I322" s="134">
        <f t="shared" si="120"/>
        <v>0.64864864864864868</v>
      </c>
      <c r="J322" s="6">
        <f t="shared" si="121"/>
        <v>-11850000</v>
      </c>
      <c r="K322" s="10"/>
    </row>
    <row r="323" spans="1:14" x14ac:dyDescent="0.25">
      <c r="A323" s="749" t="s">
        <v>162</v>
      </c>
      <c r="B323" s="316" t="s">
        <v>538</v>
      </c>
      <c r="C323" s="751">
        <v>2000000</v>
      </c>
      <c r="D323" s="727"/>
      <c r="E323" s="134"/>
      <c r="F323" s="134"/>
      <c r="G323" s="181">
        <f>2000000</f>
        <v>2000000</v>
      </c>
      <c r="H323" s="134"/>
      <c r="I323" s="134"/>
      <c r="J323" s="6">
        <f t="shared" si="121"/>
        <v>0</v>
      </c>
      <c r="K323" s="130"/>
    </row>
    <row r="324" spans="1:14" x14ac:dyDescent="0.25">
      <c r="A324" s="749" t="s">
        <v>527</v>
      </c>
      <c r="B324" s="316" t="s">
        <v>523</v>
      </c>
      <c r="C324" s="751">
        <v>1150000</v>
      </c>
      <c r="D324" s="727"/>
      <c r="E324" s="134"/>
      <c r="F324" s="134"/>
      <c r="G324" s="181">
        <f>1150000</f>
        <v>1150000</v>
      </c>
      <c r="H324" s="134"/>
      <c r="I324" s="134"/>
      <c r="J324" s="6">
        <f t="shared" si="121"/>
        <v>0</v>
      </c>
      <c r="K324" s="130"/>
    </row>
    <row r="325" spans="1:14" x14ac:dyDescent="0.25">
      <c r="A325" s="749" t="s">
        <v>112</v>
      </c>
      <c r="B325" s="316" t="s">
        <v>525</v>
      </c>
      <c r="C325" s="751">
        <v>800000</v>
      </c>
      <c r="D325" s="727"/>
      <c r="E325" s="134"/>
      <c r="F325" s="134"/>
      <c r="G325" s="181">
        <f>800000</f>
        <v>800000</v>
      </c>
      <c r="H325" s="134"/>
      <c r="I325" s="134"/>
      <c r="J325" s="6">
        <f t="shared" si="121"/>
        <v>0</v>
      </c>
      <c r="K325" s="130"/>
    </row>
    <row r="326" spans="1:14" x14ac:dyDescent="0.25">
      <c r="A326" s="749" t="s">
        <v>521</v>
      </c>
      <c r="B326" s="316" t="s">
        <v>539</v>
      </c>
      <c r="C326" s="751">
        <v>1000000</v>
      </c>
      <c r="D326" s="727"/>
      <c r="E326" s="134"/>
      <c r="F326" s="134"/>
      <c r="G326" s="181">
        <f>1000000</f>
        <v>1000000</v>
      </c>
      <c r="H326" s="134"/>
      <c r="I326" s="134"/>
      <c r="J326" s="6">
        <f t="shared" si="121"/>
        <v>0</v>
      </c>
      <c r="K326" s="130"/>
    </row>
    <row r="327" spans="1:14" ht="25.5" x14ac:dyDescent="0.25">
      <c r="A327" s="749" t="s">
        <v>116</v>
      </c>
      <c r="B327" s="316" t="s">
        <v>420</v>
      </c>
      <c r="C327" s="751">
        <v>1382000</v>
      </c>
      <c r="D327" s="727">
        <f>C327/C314*100</f>
        <v>15.830469644902633</v>
      </c>
      <c r="E327" s="134"/>
      <c r="F327" s="134"/>
      <c r="G327" s="181">
        <v>0</v>
      </c>
      <c r="H327" s="134"/>
      <c r="I327" s="134"/>
      <c r="J327" s="6">
        <f t="shared" si="121"/>
        <v>-1382000</v>
      </c>
      <c r="K327" s="130"/>
    </row>
    <row r="328" spans="1:14" x14ac:dyDescent="0.25">
      <c r="A328" s="749" t="s">
        <v>65</v>
      </c>
      <c r="B328" s="754" t="s">
        <v>190</v>
      </c>
      <c r="C328" s="751">
        <v>7000000</v>
      </c>
      <c r="D328" s="727" t="e">
        <f>C328/#REF!*100</f>
        <v>#REF!</v>
      </c>
      <c r="E328" s="134"/>
      <c r="F328" s="134"/>
      <c r="G328" s="181">
        <v>0</v>
      </c>
      <c r="H328" s="134"/>
      <c r="I328" s="134"/>
      <c r="J328" s="6">
        <f t="shared" si="121"/>
        <v>-7000000</v>
      </c>
      <c r="K328" s="130"/>
    </row>
    <row r="329" spans="1:14" x14ac:dyDescent="0.25">
      <c r="A329" s="749" t="s">
        <v>541</v>
      </c>
      <c r="B329" s="754" t="s">
        <v>401</v>
      </c>
      <c r="C329" s="751">
        <v>3900000</v>
      </c>
      <c r="D329" s="727" t="e">
        <f>C329/#REF!*100</f>
        <v>#REF!</v>
      </c>
      <c r="E329" s="134"/>
      <c r="F329" s="134"/>
      <c r="G329" s="181">
        <v>0</v>
      </c>
      <c r="H329" s="134"/>
      <c r="I329" s="134"/>
      <c r="J329" s="6">
        <f t="shared" si="121"/>
        <v>-3900000</v>
      </c>
      <c r="K329" s="130"/>
    </row>
    <row r="330" spans="1:14" x14ac:dyDescent="0.25">
      <c r="A330" s="749" t="s">
        <v>275</v>
      </c>
      <c r="B330" s="754" t="s">
        <v>421</v>
      </c>
      <c r="C330" s="751">
        <v>5000000</v>
      </c>
      <c r="D330" s="727" t="e">
        <f>C330/#REF!*100</f>
        <v>#REF!</v>
      </c>
      <c r="E330" s="134"/>
      <c r="F330" s="134"/>
      <c r="G330" s="181">
        <v>0</v>
      </c>
      <c r="H330" s="134"/>
      <c r="I330" s="134"/>
      <c r="J330" s="6">
        <f t="shared" si="121"/>
        <v>-5000000</v>
      </c>
      <c r="K330" s="130"/>
    </row>
    <row r="331" spans="1:14" x14ac:dyDescent="0.25">
      <c r="A331" s="749" t="s">
        <v>542</v>
      </c>
      <c r="B331" s="316" t="s">
        <v>540</v>
      </c>
      <c r="C331" s="751">
        <v>9600000</v>
      </c>
      <c r="D331" s="752"/>
      <c r="E331" s="134"/>
      <c r="F331" s="134"/>
      <c r="G331" s="181"/>
      <c r="H331" s="134"/>
      <c r="I331" s="134"/>
      <c r="J331" s="6">
        <f t="shared" si="121"/>
        <v>-9600000</v>
      </c>
      <c r="K331" s="130"/>
    </row>
    <row r="332" spans="1:14" x14ac:dyDescent="0.25">
      <c r="A332" s="70"/>
      <c r="B332" s="164" t="s">
        <v>140</v>
      </c>
      <c r="C332" s="165">
        <f>SUM(C314:C331)</f>
        <v>185000000</v>
      </c>
      <c r="D332" s="166">
        <f>SUM(D314:D322)</f>
        <v>67.917567567567559</v>
      </c>
      <c r="E332" s="134"/>
      <c r="F332" s="134"/>
      <c r="G332" s="837">
        <f>SUM(G314:G331)</f>
        <v>55960000</v>
      </c>
      <c r="H332" s="134"/>
      <c r="I332" s="134"/>
      <c r="J332" s="734"/>
      <c r="K332" s="40"/>
    </row>
    <row r="333" spans="1:14" x14ac:dyDescent="0.25">
      <c r="A333" s="53"/>
      <c r="B333" s="5"/>
      <c r="C333" s="191"/>
      <c r="D333" s="41"/>
      <c r="E333" s="30"/>
      <c r="F333" s="31"/>
      <c r="G333" s="36"/>
      <c r="H333" s="23"/>
      <c r="I333" s="23"/>
      <c r="J333" s="33"/>
      <c r="K333" s="37"/>
    </row>
    <row r="334" spans="1:14" ht="31.5" x14ac:dyDescent="0.25">
      <c r="A334" s="55"/>
      <c r="B334" s="46" t="s">
        <v>145</v>
      </c>
      <c r="C334" s="155"/>
      <c r="D334" s="44"/>
      <c r="E334" s="45"/>
      <c r="F334" s="45"/>
      <c r="G334" s="48"/>
      <c r="H334" s="45"/>
      <c r="I334" s="45"/>
      <c r="J334" s="44"/>
      <c r="K334" s="44"/>
      <c r="L334" s="1"/>
      <c r="M334" s="1"/>
      <c r="N334" s="1"/>
    </row>
    <row r="335" spans="1:14" x14ac:dyDescent="0.25">
      <c r="A335" s="1119" t="s">
        <v>2</v>
      </c>
      <c r="B335" s="1120" t="s">
        <v>177</v>
      </c>
      <c r="C335" s="1119" t="s">
        <v>4</v>
      </c>
      <c r="D335" s="1121" t="s">
        <v>5</v>
      </c>
      <c r="E335" s="1121"/>
      <c r="F335" s="1121"/>
      <c r="G335" s="1122" t="s">
        <v>6</v>
      </c>
      <c r="H335" s="1122"/>
      <c r="I335" s="1122"/>
      <c r="J335" s="1119" t="s">
        <v>7</v>
      </c>
      <c r="K335" s="289" t="s">
        <v>8</v>
      </c>
    </row>
    <row r="336" spans="1:14" x14ac:dyDescent="0.25">
      <c r="A336" s="1119"/>
      <c r="B336" s="1120"/>
      <c r="C336" s="1119"/>
      <c r="D336" s="289" t="s">
        <v>9</v>
      </c>
      <c r="E336" s="308" t="s">
        <v>10</v>
      </c>
      <c r="F336" s="308" t="s">
        <v>11</v>
      </c>
      <c r="G336" s="309" t="s">
        <v>12</v>
      </c>
      <c r="H336" s="308" t="s">
        <v>13</v>
      </c>
      <c r="I336" s="308" t="s">
        <v>11</v>
      </c>
      <c r="J336" s="1123"/>
      <c r="K336" s="115"/>
    </row>
    <row r="337" spans="1:11" x14ac:dyDescent="0.25">
      <c r="A337" s="1119"/>
      <c r="B337" s="1120"/>
      <c r="C337" s="1119"/>
      <c r="D337" s="118" t="s">
        <v>14</v>
      </c>
      <c r="E337" s="119" t="s">
        <v>14</v>
      </c>
      <c r="F337" s="119" t="s">
        <v>14</v>
      </c>
      <c r="G337" s="120" t="s">
        <v>15</v>
      </c>
      <c r="H337" s="119" t="s">
        <v>14</v>
      </c>
      <c r="I337" s="119" t="s">
        <v>14</v>
      </c>
      <c r="J337" s="118" t="s">
        <v>15</v>
      </c>
      <c r="K337" s="118"/>
    </row>
    <row r="338" spans="1:11" x14ac:dyDescent="0.25">
      <c r="A338" s="79" t="s">
        <v>185</v>
      </c>
      <c r="B338" s="199" t="s">
        <v>146</v>
      </c>
      <c r="C338" s="260"/>
      <c r="D338" s="10"/>
      <c r="E338" s="34"/>
      <c r="F338" s="34"/>
      <c r="G338" s="6"/>
      <c r="H338" s="34"/>
      <c r="I338" s="34"/>
      <c r="J338" s="10"/>
      <c r="K338" s="10"/>
    </row>
    <row r="339" spans="1:11" x14ac:dyDescent="0.25">
      <c r="A339" s="125" t="s">
        <v>184</v>
      </c>
      <c r="B339" s="280" t="s">
        <v>147</v>
      </c>
      <c r="C339" s="131">
        <f>SUM(C340:C341)</f>
        <v>3395640000</v>
      </c>
      <c r="D339" s="10"/>
      <c r="E339" s="34"/>
      <c r="F339" s="34"/>
      <c r="G339" s="6"/>
      <c r="H339" s="34"/>
      <c r="I339" s="34"/>
      <c r="J339" s="10"/>
      <c r="K339" s="10"/>
    </row>
    <row r="340" spans="1:11" ht="25.5" x14ac:dyDescent="0.25">
      <c r="A340" s="313" t="s">
        <v>44</v>
      </c>
      <c r="B340" s="707" t="s">
        <v>384</v>
      </c>
      <c r="C340" s="253">
        <v>35640000</v>
      </c>
      <c r="D340" s="134">
        <f>C340/C339*100</f>
        <v>1.0495812276919816</v>
      </c>
      <c r="E340" s="134">
        <f t="shared" ref="E340:E341" si="122">G340/C340*100</f>
        <v>0</v>
      </c>
      <c r="F340" s="134">
        <f t="shared" ref="F340:F341" si="123">(D340*E340)/100</f>
        <v>0</v>
      </c>
      <c r="G340" s="181">
        <v>0</v>
      </c>
      <c r="H340" s="134">
        <f t="shared" ref="H340:H341" si="124">G340/C340*100</f>
        <v>0</v>
      </c>
      <c r="I340" s="134">
        <f t="shared" ref="I340:I341" si="125">(D340*H340)/100</f>
        <v>0</v>
      </c>
      <c r="J340" s="6">
        <f t="shared" ref="J340:J341" si="126">G340-C340</f>
        <v>-35640000</v>
      </c>
      <c r="K340" s="10"/>
    </row>
    <row r="341" spans="1:11" x14ac:dyDescent="0.25">
      <c r="A341" s="49" t="s">
        <v>148</v>
      </c>
      <c r="B341" s="133" t="s">
        <v>534</v>
      </c>
      <c r="C341" s="256">
        <v>3360000000</v>
      </c>
      <c r="D341" s="134">
        <f>C341/C339*100</f>
        <v>98.950418772308012</v>
      </c>
      <c r="E341" s="134">
        <f t="shared" si="122"/>
        <v>0</v>
      </c>
      <c r="F341" s="134">
        <f t="shared" si="123"/>
        <v>0</v>
      </c>
      <c r="G341" s="181">
        <v>0</v>
      </c>
      <c r="H341" s="134">
        <f t="shared" si="124"/>
        <v>0</v>
      </c>
      <c r="I341" s="134">
        <f t="shared" si="125"/>
        <v>0</v>
      </c>
      <c r="J341" s="6">
        <f t="shared" si="126"/>
        <v>-3360000000</v>
      </c>
      <c r="K341" s="10"/>
    </row>
    <row r="342" spans="1:11" x14ac:dyDescent="0.25">
      <c r="A342" s="70"/>
      <c r="B342" s="129" t="s">
        <v>95</v>
      </c>
      <c r="C342" s="807">
        <f>SUM(C340:C341)</f>
        <v>3395640000</v>
      </c>
      <c r="D342" s="271">
        <f>SUM(D340:D341)</f>
        <v>100</v>
      </c>
      <c r="E342" s="134"/>
      <c r="F342" s="134"/>
      <c r="G342" s="181">
        <f>SUM(G340:G341)</f>
        <v>0</v>
      </c>
      <c r="H342" s="134"/>
      <c r="I342" s="134"/>
      <c r="J342" s="734"/>
      <c r="K342" s="130"/>
    </row>
    <row r="343" spans="1:11" x14ac:dyDescent="0.25">
      <c r="A343" s="230"/>
      <c r="B343" s="231"/>
      <c r="C343" s="232"/>
      <c r="D343" s="23"/>
      <c r="E343" s="23"/>
      <c r="F343" s="23"/>
      <c r="G343" s="11"/>
      <c r="H343" s="23"/>
      <c r="I343" s="23"/>
      <c r="J343" s="9"/>
      <c r="K343" s="9"/>
    </row>
    <row r="344" spans="1:11" x14ac:dyDescent="0.25">
      <c r="A344" s="1119" t="s">
        <v>2</v>
      </c>
      <c r="B344" s="1120" t="s">
        <v>177</v>
      </c>
      <c r="C344" s="1119" t="s">
        <v>4</v>
      </c>
      <c r="D344" s="1121" t="s">
        <v>5</v>
      </c>
      <c r="E344" s="1121"/>
      <c r="F344" s="1121"/>
      <c r="G344" s="1122" t="s">
        <v>6</v>
      </c>
      <c r="H344" s="1122"/>
      <c r="I344" s="1122"/>
      <c r="J344" s="1119" t="s">
        <v>7</v>
      </c>
      <c r="K344" s="289" t="s">
        <v>8</v>
      </c>
    </row>
    <row r="345" spans="1:11" x14ac:dyDescent="0.25">
      <c r="A345" s="1119"/>
      <c r="B345" s="1120"/>
      <c r="C345" s="1119"/>
      <c r="D345" s="289" t="s">
        <v>9</v>
      </c>
      <c r="E345" s="308" t="s">
        <v>10</v>
      </c>
      <c r="F345" s="308" t="s">
        <v>11</v>
      </c>
      <c r="G345" s="309" t="s">
        <v>12</v>
      </c>
      <c r="H345" s="308" t="s">
        <v>13</v>
      </c>
      <c r="I345" s="308" t="s">
        <v>11</v>
      </c>
      <c r="J345" s="1123"/>
      <c r="K345" s="115"/>
    </row>
    <row r="346" spans="1:11" x14ac:dyDescent="0.25">
      <c r="A346" s="1119"/>
      <c r="B346" s="1120"/>
      <c r="C346" s="1119"/>
      <c r="D346" s="118" t="s">
        <v>14</v>
      </c>
      <c r="E346" s="119" t="s">
        <v>14</v>
      </c>
      <c r="F346" s="119" t="s">
        <v>14</v>
      </c>
      <c r="G346" s="120" t="s">
        <v>15</v>
      </c>
      <c r="H346" s="119" t="s">
        <v>14</v>
      </c>
      <c r="I346" s="119" t="s">
        <v>14</v>
      </c>
      <c r="J346" s="118" t="s">
        <v>15</v>
      </c>
      <c r="K346" s="118"/>
    </row>
    <row r="347" spans="1:11" x14ac:dyDescent="0.25">
      <c r="A347" s="139" t="s">
        <v>185</v>
      </c>
      <c r="B347" s="199" t="s">
        <v>146</v>
      </c>
      <c r="C347" s="24"/>
      <c r="D347" s="10"/>
      <c r="E347" s="34"/>
      <c r="F347" s="34"/>
      <c r="G347" s="6"/>
      <c r="H347" s="34"/>
      <c r="I347" s="34"/>
      <c r="J347" s="10"/>
      <c r="K347" s="10"/>
    </row>
    <row r="348" spans="1:11" x14ac:dyDescent="0.25">
      <c r="A348" s="140" t="s">
        <v>187</v>
      </c>
      <c r="B348" s="280" t="s">
        <v>150</v>
      </c>
      <c r="C348" s="252">
        <f>SUM(C349:C353)</f>
        <v>2057255328</v>
      </c>
      <c r="D348" s="10"/>
      <c r="E348" s="34"/>
      <c r="F348" s="34"/>
      <c r="G348" s="6"/>
      <c r="H348" s="34"/>
      <c r="I348" s="34"/>
      <c r="J348" s="10"/>
      <c r="K348" s="10"/>
    </row>
    <row r="349" spans="1:11" ht="25.5" x14ac:dyDescent="0.25">
      <c r="A349" s="159" t="s">
        <v>44</v>
      </c>
      <c r="B349" s="707" t="s">
        <v>384</v>
      </c>
      <c r="C349" s="253">
        <v>30210000</v>
      </c>
      <c r="D349" s="134">
        <f>C349/C348*100</f>
        <v>1.4684613809880966</v>
      </c>
      <c r="E349" s="134">
        <f t="shared" ref="E349:E352" si="127">G349/C349*100</f>
        <v>0</v>
      </c>
      <c r="F349" s="134">
        <f t="shared" ref="F349:F352" si="128">(D349*E349)/100</f>
        <v>0</v>
      </c>
      <c r="G349" s="181">
        <v>0</v>
      </c>
      <c r="H349" s="134">
        <f t="shared" ref="H349:H352" si="129">G349/C349*100</f>
        <v>0</v>
      </c>
      <c r="I349" s="134">
        <f t="shared" ref="I349:I352" si="130">(D349*H349)/100</f>
        <v>0</v>
      </c>
      <c r="J349" s="6">
        <f t="shared" ref="J349:J353" si="131">G349-C349</f>
        <v>-30210000</v>
      </c>
      <c r="K349" s="10"/>
    </row>
    <row r="350" spans="1:11" ht="25.5" x14ac:dyDescent="0.25">
      <c r="A350" s="313" t="s">
        <v>59</v>
      </c>
      <c r="B350" s="707" t="s">
        <v>197</v>
      </c>
      <c r="C350" s="253">
        <v>690000</v>
      </c>
      <c r="D350" s="134">
        <f>C350/C348*100</f>
        <v>3.3539832932200815E-2</v>
      </c>
      <c r="E350" s="134">
        <f t="shared" si="127"/>
        <v>0</v>
      </c>
      <c r="F350" s="134">
        <f t="shared" si="128"/>
        <v>0</v>
      </c>
      <c r="G350" s="181">
        <v>0</v>
      </c>
      <c r="H350" s="134">
        <f t="shared" si="129"/>
        <v>0</v>
      </c>
      <c r="I350" s="134">
        <f t="shared" si="130"/>
        <v>0</v>
      </c>
      <c r="J350" s="6">
        <f t="shared" si="131"/>
        <v>-690000</v>
      </c>
      <c r="K350" s="10"/>
    </row>
    <row r="351" spans="1:11" x14ac:dyDescent="0.25">
      <c r="A351" s="313" t="s">
        <v>62</v>
      </c>
      <c r="B351" s="133" t="s">
        <v>534</v>
      </c>
      <c r="C351" s="253">
        <v>1440000000</v>
      </c>
      <c r="D351" s="134">
        <f>C351/C348*100</f>
        <v>69.99617307589736</v>
      </c>
      <c r="E351" s="134">
        <f t="shared" si="127"/>
        <v>0</v>
      </c>
      <c r="F351" s="134">
        <f t="shared" si="128"/>
        <v>0</v>
      </c>
      <c r="G351" s="181">
        <v>0</v>
      </c>
      <c r="H351" s="134">
        <f t="shared" si="129"/>
        <v>0</v>
      </c>
      <c r="I351" s="134">
        <f t="shared" si="130"/>
        <v>0</v>
      </c>
      <c r="J351" s="6">
        <f t="shared" si="131"/>
        <v>-1440000000</v>
      </c>
      <c r="K351" s="10"/>
    </row>
    <row r="352" spans="1:11" s="725" customFormat="1" ht="25.5" x14ac:dyDescent="0.2">
      <c r="A352" s="723" t="s">
        <v>152</v>
      </c>
      <c r="B352" s="133" t="s">
        <v>153</v>
      </c>
      <c r="C352" s="724">
        <v>576000000</v>
      </c>
      <c r="D352" s="728">
        <f>C352/C348*100</f>
        <v>27.998469230358946</v>
      </c>
      <c r="E352" s="728">
        <f t="shared" si="127"/>
        <v>25</v>
      </c>
      <c r="F352" s="728">
        <f t="shared" si="128"/>
        <v>6.9996173075897365</v>
      </c>
      <c r="G352" s="181">
        <f>144000000</f>
        <v>144000000</v>
      </c>
      <c r="H352" s="728">
        <f t="shared" si="129"/>
        <v>25</v>
      </c>
      <c r="I352" s="728">
        <f t="shared" si="130"/>
        <v>6.9996173075897365</v>
      </c>
      <c r="J352" s="6">
        <f t="shared" si="131"/>
        <v>-432000000</v>
      </c>
      <c r="K352" s="313"/>
    </row>
    <row r="353" spans="1:11" s="725" customFormat="1" x14ac:dyDescent="0.2">
      <c r="A353" s="749" t="s">
        <v>234</v>
      </c>
      <c r="B353" s="133" t="s">
        <v>522</v>
      </c>
      <c r="C353" s="724">
        <v>10355328</v>
      </c>
      <c r="D353" s="820"/>
      <c r="E353" s="728"/>
      <c r="F353" s="728"/>
      <c r="G353" s="181"/>
      <c r="H353" s="728"/>
      <c r="I353" s="728"/>
      <c r="J353" s="6">
        <f t="shared" si="131"/>
        <v>-10355328</v>
      </c>
      <c r="K353" s="821"/>
    </row>
    <row r="354" spans="1:11" x14ac:dyDescent="0.25">
      <c r="A354" s="70"/>
      <c r="B354" s="129" t="s">
        <v>95</v>
      </c>
      <c r="C354" s="807">
        <f>SUM(C349:C353)</f>
        <v>2057255328</v>
      </c>
      <c r="D354" s="271">
        <f>SUM(D349:D352)</f>
        <v>99.496643520176605</v>
      </c>
      <c r="E354" s="134"/>
      <c r="F354" s="134"/>
      <c r="G354" s="181">
        <f>SUM(G349:G353)</f>
        <v>144000000</v>
      </c>
      <c r="H354" s="134"/>
      <c r="I354" s="134"/>
      <c r="J354" s="734"/>
      <c r="K354" s="130"/>
    </row>
    <row r="355" spans="1:11" x14ac:dyDescent="0.25">
      <c r="A355" s="50"/>
      <c r="B355" s="5"/>
      <c r="C355" s="50"/>
      <c r="D355" s="9"/>
      <c r="E355" s="23"/>
      <c r="F355" s="23"/>
      <c r="G355" s="11"/>
      <c r="H355" s="23"/>
      <c r="I355" s="23"/>
      <c r="J355" s="9"/>
      <c r="K355" s="9"/>
    </row>
    <row r="356" spans="1:11" x14ac:dyDescent="0.25">
      <c r="A356" s="50"/>
      <c r="B356" s="5"/>
      <c r="C356" s="50"/>
      <c r="D356" s="9"/>
      <c r="E356" s="23"/>
      <c r="F356" s="23"/>
      <c r="G356" s="11"/>
      <c r="H356" s="23"/>
      <c r="I356" s="23"/>
      <c r="J356" s="9"/>
      <c r="K356" s="9"/>
    </row>
    <row r="357" spans="1:11" x14ac:dyDescent="0.25">
      <c r="A357" s="1139" t="s">
        <v>2</v>
      </c>
      <c r="B357" s="1142" t="s">
        <v>175</v>
      </c>
      <c r="C357" s="290"/>
      <c r="D357" s="1145" t="s">
        <v>5</v>
      </c>
      <c r="E357" s="1146"/>
      <c r="F357" s="1147"/>
      <c r="G357" s="1148" t="s">
        <v>6</v>
      </c>
      <c r="H357" s="1149"/>
      <c r="I357" s="1150"/>
      <c r="J357" s="1138" t="s">
        <v>7</v>
      </c>
      <c r="K357" s="198" t="s">
        <v>8</v>
      </c>
    </row>
    <row r="358" spans="1:11" x14ac:dyDescent="0.25">
      <c r="A358" s="1140"/>
      <c r="B358" s="1143"/>
      <c r="C358" s="839" t="s">
        <v>4</v>
      </c>
      <c r="D358" s="198" t="s">
        <v>9</v>
      </c>
      <c r="E358" s="310" t="s">
        <v>10</v>
      </c>
      <c r="F358" s="310" t="s">
        <v>11</v>
      </c>
      <c r="G358" s="194" t="s">
        <v>12</v>
      </c>
      <c r="H358" s="193" t="s">
        <v>13</v>
      </c>
      <c r="I358" s="193" t="s">
        <v>11</v>
      </c>
      <c r="J358" s="1151"/>
      <c r="K358" s="192"/>
    </row>
    <row r="359" spans="1:11" x14ac:dyDescent="0.25">
      <c r="A359" s="1141"/>
      <c r="B359" s="1144"/>
      <c r="C359" s="229"/>
      <c r="D359" s="197" t="s">
        <v>14</v>
      </c>
      <c r="E359" s="195" t="s">
        <v>14</v>
      </c>
      <c r="F359" s="195" t="s">
        <v>14</v>
      </c>
      <c r="G359" s="196" t="s">
        <v>15</v>
      </c>
      <c r="H359" s="195" t="s">
        <v>14</v>
      </c>
      <c r="I359" s="195" t="s">
        <v>14</v>
      </c>
      <c r="J359" s="197" t="s">
        <v>15</v>
      </c>
      <c r="K359" s="197"/>
    </row>
    <row r="360" spans="1:11" ht="25.5" x14ac:dyDescent="0.25">
      <c r="A360" s="321" t="s">
        <v>180</v>
      </c>
      <c r="B360" s="696" t="s">
        <v>379</v>
      </c>
      <c r="C360" s="291"/>
      <c r="D360" s="121"/>
      <c r="E360" s="122"/>
      <c r="F360" s="122"/>
      <c r="G360" s="123"/>
      <c r="H360" s="122"/>
      <c r="I360" s="122"/>
      <c r="J360" s="121"/>
      <c r="K360" s="121"/>
    </row>
    <row r="361" spans="1:11" ht="25.5" x14ac:dyDescent="0.25">
      <c r="A361" s="160" t="s">
        <v>181</v>
      </c>
      <c r="B361" s="697" t="s">
        <v>380</v>
      </c>
      <c r="C361" s="261">
        <f>SUM(C362:C377)</f>
        <v>185000000</v>
      </c>
      <c r="D361" s="161"/>
      <c r="E361" s="161"/>
      <c r="F361" s="161"/>
      <c r="G361" s="82"/>
      <c r="H361" s="161"/>
      <c r="I361" s="161"/>
      <c r="J361" s="162"/>
      <c r="K361" s="162"/>
    </row>
    <row r="362" spans="1:11" ht="25.5" x14ac:dyDescent="0.25">
      <c r="A362" s="314" t="s">
        <v>44</v>
      </c>
      <c r="B362" s="707" t="s">
        <v>384</v>
      </c>
      <c r="C362" s="262">
        <v>8580000</v>
      </c>
      <c r="D362" s="134">
        <f>C362/C361*100</f>
        <v>4.6378378378378375</v>
      </c>
      <c r="E362" s="134">
        <f t="shared" ref="E362:E370" si="132">G362/C362*100</f>
        <v>89.16083916083916</v>
      </c>
      <c r="F362" s="134">
        <f t="shared" ref="F362:F370" si="133">(D362*E362)/100</f>
        <v>4.1351351351351351</v>
      </c>
      <c r="G362" s="181">
        <f>7650000</f>
        <v>7650000</v>
      </c>
      <c r="H362" s="134">
        <f t="shared" ref="H362:H370" si="134">G362/C362*100</f>
        <v>89.16083916083916</v>
      </c>
      <c r="I362" s="134">
        <f t="shared" ref="I362:I370" si="135">(D362*H362)/100</f>
        <v>4.1351351351351351</v>
      </c>
      <c r="J362" s="6">
        <f t="shared" ref="J362:J377" si="136">G362-C362</f>
        <v>-930000</v>
      </c>
      <c r="K362" s="10"/>
    </row>
    <row r="363" spans="1:11" ht="25.5" x14ac:dyDescent="0.25">
      <c r="A363" s="314" t="s">
        <v>59</v>
      </c>
      <c r="B363" s="707" t="s">
        <v>197</v>
      </c>
      <c r="C363" s="262">
        <v>12218350</v>
      </c>
      <c r="D363" s="134">
        <f>C363/C361*100</f>
        <v>6.6045135135135133</v>
      </c>
      <c r="E363" s="134">
        <f t="shared" si="132"/>
        <v>49.106466912471816</v>
      </c>
      <c r="F363" s="134">
        <f t="shared" si="133"/>
        <v>3.2432432432432434</v>
      </c>
      <c r="G363" s="181">
        <f>6000000</f>
        <v>6000000</v>
      </c>
      <c r="H363" s="134">
        <f t="shared" si="134"/>
        <v>49.106466912471816</v>
      </c>
      <c r="I363" s="134">
        <f t="shared" si="135"/>
        <v>3.2432432432432434</v>
      </c>
      <c r="J363" s="6">
        <f t="shared" si="136"/>
        <v>-6218350</v>
      </c>
      <c r="K363" s="10"/>
    </row>
    <row r="364" spans="1:11" x14ac:dyDescent="0.25">
      <c r="A364" s="314" t="s">
        <v>62</v>
      </c>
      <c r="B364" s="707" t="s">
        <v>334</v>
      </c>
      <c r="C364" s="262">
        <v>9787450</v>
      </c>
      <c r="D364" s="134">
        <f>C364/C361*100</f>
        <v>5.2905135135135142</v>
      </c>
      <c r="E364" s="134">
        <f t="shared" si="132"/>
        <v>0</v>
      </c>
      <c r="F364" s="134">
        <f t="shared" si="133"/>
        <v>0</v>
      </c>
      <c r="G364" s="181">
        <v>0</v>
      </c>
      <c r="H364" s="134">
        <f t="shared" si="134"/>
        <v>0</v>
      </c>
      <c r="I364" s="134">
        <f t="shared" si="135"/>
        <v>0</v>
      </c>
      <c r="J364" s="6">
        <f t="shared" si="136"/>
        <v>-9787450</v>
      </c>
      <c r="K364" s="10"/>
    </row>
    <row r="365" spans="1:11" x14ac:dyDescent="0.25">
      <c r="A365" s="314" t="s">
        <v>148</v>
      </c>
      <c r="B365" s="133" t="s">
        <v>534</v>
      </c>
      <c r="C365" s="262">
        <v>8000000</v>
      </c>
      <c r="D365" s="134"/>
      <c r="E365" s="134"/>
      <c r="F365" s="134"/>
      <c r="G365" s="181">
        <f>8000000</f>
        <v>8000000</v>
      </c>
      <c r="H365" s="134"/>
      <c r="I365" s="134"/>
      <c r="J365" s="6">
        <f t="shared" si="136"/>
        <v>0</v>
      </c>
      <c r="K365" s="10"/>
    </row>
    <row r="366" spans="1:11" x14ac:dyDescent="0.25">
      <c r="A366" s="314" t="s">
        <v>194</v>
      </c>
      <c r="B366" s="49" t="s">
        <v>139</v>
      </c>
      <c r="C366" s="263">
        <v>42400000</v>
      </c>
      <c r="D366" s="134">
        <f>C366/C361*100</f>
        <v>22.918918918918919</v>
      </c>
      <c r="E366" s="134">
        <f t="shared" si="132"/>
        <v>58.938679245283019</v>
      </c>
      <c r="F366" s="134">
        <f t="shared" si="133"/>
        <v>13.508108108108109</v>
      </c>
      <c r="G366" s="181">
        <f>24990000</f>
        <v>24990000</v>
      </c>
      <c r="H366" s="134">
        <f t="shared" si="134"/>
        <v>58.938679245283019</v>
      </c>
      <c r="I366" s="134">
        <f t="shared" si="135"/>
        <v>13.508108108108109</v>
      </c>
      <c r="J366" s="6">
        <f t="shared" si="136"/>
        <v>-17410000</v>
      </c>
      <c r="K366" s="10"/>
    </row>
    <row r="367" spans="1:11" x14ac:dyDescent="0.25">
      <c r="A367" s="314" t="s">
        <v>183</v>
      </c>
      <c r="B367" s="49" t="s">
        <v>417</v>
      </c>
      <c r="C367" s="263">
        <v>4500000</v>
      </c>
      <c r="D367" s="134"/>
      <c r="E367" s="134">
        <f t="shared" si="132"/>
        <v>100</v>
      </c>
      <c r="F367" s="134"/>
      <c r="G367" s="181">
        <f>4500000</f>
        <v>4500000</v>
      </c>
      <c r="H367" s="134">
        <f t="shared" si="134"/>
        <v>100</v>
      </c>
      <c r="I367" s="134"/>
      <c r="J367" s="6">
        <f t="shared" si="136"/>
        <v>0</v>
      </c>
      <c r="K367" s="10"/>
    </row>
    <row r="368" spans="1:11" x14ac:dyDescent="0.25">
      <c r="A368" s="322" t="s">
        <v>195</v>
      </c>
      <c r="B368" s="170" t="s">
        <v>179</v>
      </c>
      <c r="C368" s="178">
        <v>24500000</v>
      </c>
      <c r="D368" s="134">
        <f>C368/C361*100</f>
        <v>13.243243243243244</v>
      </c>
      <c r="E368" s="134">
        <f t="shared" si="132"/>
        <v>100</v>
      </c>
      <c r="F368" s="134">
        <f t="shared" si="133"/>
        <v>13.243243243243244</v>
      </c>
      <c r="G368" s="181">
        <f>24500000</f>
        <v>24500000</v>
      </c>
      <c r="H368" s="134">
        <f t="shared" si="134"/>
        <v>100</v>
      </c>
      <c r="I368" s="134">
        <f t="shared" si="135"/>
        <v>13.243243243243244</v>
      </c>
      <c r="J368" s="6">
        <f t="shared" si="136"/>
        <v>0</v>
      </c>
      <c r="K368" s="10"/>
    </row>
    <row r="369" spans="1:14" x14ac:dyDescent="0.25">
      <c r="A369" s="322" t="s">
        <v>62</v>
      </c>
      <c r="B369" s="170" t="s">
        <v>418</v>
      </c>
      <c r="C369" s="178">
        <v>7500000</v>
      </c>
      <c r="D369" s="134"/>
      <c r="E369" s="134"/>
      <c r="F369" s="134"/>
      <c r="G369" s="181">
        <v>0</v>
      </c>
      <c r="H369" s="134"/>
      <c r="I369" s="134"/>
      <c r="J369" s="6">
        <f t="shared" si="136"/>
        <v>-7500000</v>
      </c>
      <c r="K369" s="10"/>
    </row>
    <row r="370" spans="1:14" ht="25.5" x14ac:dyDescent="0.25">
      <c r="A370" s="314" t="s">
        <v>106</v>
      </c>
      <c r="B370" s="316" t="s">
        <v>375</v>
      </c>
      <c r="C370" s="263">
        <v>16650000</v>
      </c>
      <c r="D370" s="134">
        <f>C370/C361*100</f>
        <v>9</v>
      </c>
      <c r="E370" s="134">
        <f t="shared" si="132"/>
        <v>92.792792792792795</v>
      </c>
      <c r="F370" s="134">
        <f t="shared" si="133"/>
        <v>8.3513513513513526</v>
      </c>
      <c r="G370" s="181">
        <f>15450000</f>
        <v>15450000</v>
      </c>
      <c r="H370" s="134">
        <f t="shared" si="134"/>
        <v>92.792792792792795</v>
      </c>
      <c r="I370" s="134">
        <f t="shared" si="135"/>
        <v>8.3513513513513526</v>
      </c>
      <c r="J370" s="6">
        <f t="shared" si="136"/>
        <v>-1200000</v>
      </c>
      <c r="K370" s="10"/>
    </row>
    <row r="371" spans="1:14" x14ac:dyDescent="0.25">
      <c r="A371" s="745" t="s">
        <v>162</v>
      </c>
      <c r="B371" s="746" t="s">
        <v>538</v>
      </c>
      <c r="C371" s="263">
        <v>3000000</v>
      </c>
      <c r="D371" s="134"/>
      <c r="E371" s="134"/>
      <c r="F371" s="134"/>
      <c r="G371" s="181">
        <f>3000000</f>
        <v>3000000</v>
      </c>
      <c r="H371" s="134"/>
      <c r="I371" s="134"/>
      <c r="J371" s="6">
        <f t="shared" si="136"/>
        <v>0</v>
      </c>
      <c r="K371" s="10"/>
    </row>
    <row r="372" spans="1:14" x14ac:dyDescent="0.25">
      <c r="A372" s="745" t="s">
        <v>521</v>
      </c>
      <c r="B372" s="746" t="s">
        <v>539</v>
      </c>
      <c r="C372" s="263">
        <v>3000000</v>
      </c>
      <c r="D372" s="134"/>
      <c r="E372" s="134"/>
      <c r="F372" s="134"/>
      <c r="G372" s="181">
        <f>3000000</f>
        <v>3000000</v>
      </c>
      <c r="H372" s="134"/>
      <c r="I372" s="134"/>
      <c r="J372" s="6">
        <f t="shared" si="136"/>
        <v>0</v>
      </c>
      <c r="K372" s="10"/>
    </row>
    <row r="373" spans="1:14" ht="25.5" x14ac:dyDescent="0.25">
      <c r="A373" s="745" t="s">
        <v>116</v>
      </c>
      <c r="B373" s="316" t="s">
        <v>420</v>
      </c>
      <c r="C373" s="263">
        <v>5464200</v>
      </c>
      <c r="D373" s="134"/>
      <c r="E373" s="134"/>
      <c r="F373" s="134"/>
      <c r="G373" s="181">
        <f>3000000</f>
        <v>3000000</v>
      </c>
      <c r="H373" s="134"/>
      <c r="I373" s="134"/>
      <c r="J373" s="6">
        <f t="shared" si="136"/>
        <v>-2464200</v>
      </c>
      <c r="K373" s="10"/>
    </row>
    <row r="374" spans="1:14" x14ac:dyDescent="0.25">
      <c r="A374" s="745" t="s">
        <v>65</v>
      </c>
      <c r="B374" s="754" t="s">
        <v>190</v>
      </c>
      <c r="C374" s="263">
        <v>7000000</v>
      </c>
      <c r="D374" s="134"/>
      <c r="E374" s="134"/>
      <c r="F374" s="134"/>
      <c r="G374" s="181"/>
      <c r="H374" s="134"/>
      <c r="I374" s="134"/>
      <c r="J374" s="6">
        <f t="shared" si="136"/>
        <v>-7000000</v>
      </c>
      <c r="K374" s="10"/>
    </row>
    <row r="375" spans="1:14" x14ac:dyDescent="0.25">
      <c r="A375" s="745" t="s">
        <v>400</v>
      </c>
      <c r="B375" s="754" t="s">
        <v>401</v>
      </c>
      <c r="C375" s="263">
        <v>7000000</v>
      </c>
      <c r="D375" s="134"/>
      <c r="E375" s="134"/>
      <c r="F375" s="134"/>
      <c r="G375" s="181">
        <f>7000000</f>
        <v>7000000</v>
      </c>
      <c r="H375" s="134"/>
      <c r="I375" s="134"/>
      <c r="J375" s="6">
        <f t="shared" si="136"/>
        <v>0</v>
      </c>
      <c r="K375" s="10"/>
    </row>
    <row r="376" spans="1:14" x14ac:dyDescent="0.25">
      <c r="A376" s="745" t="s">
        <v>301</v>
      </c>
      <c r="B376" s="746" t="s">
        <v>409</v>
      </c>
      <c r="C376" s="263">
        <v>20400000</v>
      </c>
      <c r="D376" s="134">
        <f>C376/C362*100</f>
        <v>237.76223776223776</v>
      </c>
      <c r="E376" s="134"/>
      <c r="F376" s="134"/>
      <c r="G376" s="181">
        <f>20400000</f>
        <v>20400000</v>
      </c>
      <c r="H376" s="134"/>
      <c r="I376" s="134"/>
      <c r="J376" s="6">
        <f t="shared" si="136"/>
        <v>0</v>
      </c>
      <c r="K376" s="10"/>
    </row>
    <row r="377" spans="1:14" x14ac:dyDescent="0.25">
      <c r="A377" s="745" t="s">
        <v>275</v>
      </c>
      <c r="B377" s="316" t="s">
        <v>543</v>
      </c>
      <c r="C377" s="263">
        <v>5000000</v>
      </c>
      <c r="D377" s="134"/>
      <c r="E377" s="134"/>
      <c r="F377" s="134"/>
      <c r="G377" s="181">
        <f>5000000</f>
        <v>5000000</v>
      </c>
      <c r="H377" s="134"/>
      <c r="I377" s="134"/>
      <c r="J377" s="6">
        <f t="shared" si="136"/>
        <v>0</v>
      </c>
      <c r="K377" s="10"/>
    </row>
    <row r="378" spans="1:14" x14ac:dyDescent="0.25">
      <c r="A378" s="1152" t="s">
        <v>95</v>
      </c>
      <c r="B378" s="1154"/>
      <c r="C378" s="822">
        <f>SUM(C362:C377)</f>
        <v>185000000</v>
      </c>
      <c r="D378" s="12">
        <f>SUM(D362:D370)</f>
        <v>61.695027027027024</v>
      </c>
      <c r="E378" s="134"/>
      <c r="F378" s="134"/>
      <c r="G378" s="837">
        <f>SUM(G362:G377)</f>
        <v>132490000</v>
      </c>
      <c r="H378" s="134"/>
      <c r="I378" s="134"/>
      <c r="J378" s="56">
        <v>0</v>
      </c>
      <c r="K378" s="3">
        <v>0</v>
      </c>
    </row>
    <row r="379" spans="1:14" x14ac:dyDescent="0.25">
      <c r="A379" s="5"/>
      <c r="B379" s="5"/>
      <c r="C379" s="5"/>
      <c r="D379" s="29"/>
      <c r="E379" s="30"/>
      <c r="F379" s="31"/>
      <c r="G379" s="36"/>
      <c r="H379" s="32"/>
      <c r="I379" s="31"/>
      <c r="J379" s="36"/>
      <c r="K379" s="37"/>
    </row>
    <row r="380" spans="1:14" ht="31.5" x14ac:dyDescent="0.25">
      <c r="A380" s="55"/>
      <c r="B380" s="46" t="s">
        <v>145</v>
      </c>
      <c r="C380" s="155"/>
      <c r="D380" s="44"/>
      <c r="E380" s="45"/>
      <c r="F380" s="45"/>
      <c r="G380" s="48"/>
      <c r="H380" s="45"/>
      <c r="I380" s="45"/>
      <c r="J380" s="44"/>
      <c r="K380" s="44"/>
      <c r="L380" s="1"/>
      <c r="M380" s="1"/>
      <c r="N380" s="1"/>
    </row>
    <row r="381" spans="1:14" x14ac:dyDescent="0.25">
      <c r="A381" s="1133" t="s">
        <v>2</v>
      </c>
      <c r="B381" s="1134" t="s">
        <v>175</v>
      </c>
      <c r="C381" s="1133" t="s">
        <v>4</v>
      </c>
      <c r="D381" s="1135" t="s">
        <v>5</v>
      </c>
      <c r="E381" s="1136"/>
      <c r="F381" s="1136"/>
      <c r="G381" s="1137" t="s">
        <v>6</v>
      </c>
      <c r="H381" s="1136"/>
      <c r="I381" s="1136"/>
      <c r="J381" s="1133" t="s">
        <v>7</v>
      </c>
      <c r="K381" s="198" t="s">
        <v>8</v>
      </c>
    </row>
    <row r="382" spans="1:14" x14ac:dyDescent="0.25">
      <c r="A382" s="1133"/>
      <c r="B382" s="1134"/>
      <c r="C382" s="1133"/>
      <c r="D382" s="198" t="s">
        <v>9</v>
      </c>
      <c r="E382" s="310" t="s">
        <v>10</v>
      </c>
      <c r="F382" s="310" t="s">
        <v>11</v>
      </c>
      <c r="G382" s="311" t="s">
        <v>12</v>
      </c>
      <c r="H382" s="310" t="s">
        <v>13</v>
      </c>
      <c r="I382" s="310" t="s">
        <v>11</v>
      </c>
      <c r="J382" s="1138"/>
      <c r="K382" s="192"/>
    </row>
    <row r="383" spans="1:14" x14ac:dyDescent="0.25">
      <c r="A383" s="1133"/>
      <c r="B383" s="1134"/>
      <c r="C383" s="1133"/>
      <c r="D383" s="197" t="s">
        <v>14</v>
      </c>
      <c r="E383" s="195" t="s">
        <v>14</v>
      </c>
      <c r="F383" s="195" t="s">
        <v>14</v>
      </c>
      <c r="G383" s="196" t="s">
        <v>15</v>
      </c>
      <c r="H383" s="195" t="s">
        <v>14</v>
      </c>
      <c r="I383" s="195" t="s">
        <v>14</v>
      </c>
      <c r="J383" s="197" t="s">
        <v>15</v>
      </c>
      <c r="K383" s="197"/>
    </row>
    <row r="384" spans="1:14" x14ac:dyDescent="0.25">
      <c r="A384" s="79" t="s">
        <v>185</v>
      </c>
      <c r="B384" s="199" t="s">
        <v>146</v>
      </c>
      <c r="C384" s="24"/>
      <c r="D384" s="10"/>
      <c r="E384" s="34"/>
      <c r="F384" s="34"/>
      <c r="G384" s="6"/>
      <c r="H384" s="34"/>
      <c r="I384" s="34"/>
      <c r="J384" s="10"/>
      <c r="K384" s="10"/>
    </row>
    <row r="385" spans="1:11" x14ac:dyDescent="0.25">
      <c r="A385" s="125" t="s">
        <v>184</v>
      </c>
      <c r="B385" s="280" t="s">
        <v>147</v>
      </c>
      <c r="C385" s="252">
        <f>SUM(C386:C387)</f>
        <v>1430900000</v>
      </c>
      <c r="D385" s="10"/>
      <c r="E385" s="34"/>
      <c r="F385" s="34"/>
      <c r="G385" s="6"/>
      <c r="H385" s="34"/>
      <c r="I385" s="34"/>
      <c r="J385" s="10"/>
      <c r="K385" s="10"/>
    </row>
    <row r="386" spans="1:11" ht="25.5" x14ac:dyDescent="0.25">
      <c r="A386" s="154" t="s">
        <v>44</v>
      </c>
      <c r="B386" s="707" t="s">
        <v>384</v>
      </c>
      <c r="C386" s="253">
        <v>30900000</v>
      </c>
      <c r="D386" s="134">
        <f>C386/C385*100</f>
        <v>2.1594800475225382</v>
      </c>
      <c r="E386" s="134">
        <f t="shared" ref="E386:E387" si="137">G386/C386*100</f>
        <v>0</v>
      </c>
      <c r="F386" s="134">
        <f t="shared" ref="F386:F387" si="138">(D386*E386)/100</f>
        <v>0</v>
      </c>
      <c r="G386" s="181">
        <v>0</v>
      </c>
      <c r="H386" s="134">
        <f t="shared" ref="H386:H387" si="139">G386/C386*100</f>
        <v>0</v>
      </c>
      <c r="I386" s="134">
        <f t="shared" ref="I386:I387" si="140">(D386*H386)/100</f>
        <v>0</v>
      </c>
      <c r="J386" s="6">
        <f t="shared" ref="J386:J387" si="141">G386-C386</f>
        <v>-30900000</v>
      </c>
      <c r="K386" s="10"/>
    </row>
    <row r="387" spans="1:11" x14ac:dyDescent="0.25">
      <c r="A387" s="124" t="s">
        <v>148</v>
      </c>
      <c r="B387" s="133" t="s">
        <v>534</v>
      </c>
      <c r="C387" s="256">
        <v>1400000000</v>
      </c>
      <c r="D387" s="134">
        <f>C387/C385*100</f>
        <v>97.840519952477464</v>
      </c>
      <c r="E387" s="134">
        <f t="shared" si="137"/>
        <v>0</v>
      </c>
      <c r="F387" s="134">
        <f t="shared" si="138"/>
        <v>0</v>
      </c>
      <c r="G387" s="181">
        <v>0</v>
      </c>
      <c r="H387" s="134">
        <f t="shared" si="139"/>
        <v>0</v>
      </c>
      <c r="I387" s="134">
        <f t="shared" si="140"/>
        <v>0</v>
      </c>
      <c r="J387" s="6">
        <f t="shared" si="141"/>
        <v>-1400000000</v>
      </c>
      <c r="K387" s="10"/>
    </row>
    <row r="388" spans="1:11" x14ac:dyDescent="0.25">
      <c r="A388" s="70"/>
      <c r="B388" s="129" t="s">
        <v>95</v>
      </c>
      <c r="C388" s="807">
        <f>SUM(C386:C387)</f>
        <v>1430900000</v>
      </c>
      <c r="D388" s="271">
        <f>SUM(D386:D387)</f>
        <v>100</v>
      </c>
      <c r="E388" s="134"/>
      <c r="F388" s="134"/>
      <c r="G388" s="181">
        <f>SUM(G386:G387)</f>
        <v>0</v>
      </c>
      <c r="H388" s="134"/>
      <c r="I388" s="134"/>
      <c r="J388" s="56">
        <v>0</v>
      </c>
      <c r="K388" s="130"/>
    </row>
    <row r="389" spans="1:11" x14ac:dyDescent="0.25">
      <c r="A389" s="5"/>
      <c r="B389" s="5"/>
      <c r="C389" s="5"/>
      <c r="D389" s="29"/>
      <c r="E389" s="30"/>
      <c r="F389" s="31"/>
      <c r="G389" s="36"/>
      <c r="H389" s="32"/>
      <c r="I389" s="31"/>
      <c r="J389" s="36"/>
      <c r="K389" s="37"/>
    </row>
    <row r="390" spans="1:11" x14ac:dyDescent="0.25">
      <c r="A390" s="1133" t="s">
        <v>2</v>
      </c>
      <c r="B390" s="1134" t="s">
        <v>175</v>
      </c>
      <c r="C390" s="1133" t="s">
        <v>4</v>
      </c>
      <c r="D390" s="1135" t="s">
        <v>5</v>
      </c>
      <c r="E390" s="1136"/>
      <c r="F390" s="1136"/>
      <c r="G390" s="1137" t="s">
        <v>6</v>
      </c>
      <c r="H390" s="1136"/>
      <c r="I390" s="1136"/>
      <c r="J390" s="1133" t="s">
        <v>7</v>
      </c>
      <c r="K390" s="198" t="s">
        <v>8</v>
      </c>
    </row>
    <row r="391" spans="1:11" x14ac:dyDescent="0.25">
      <c r="A391" s="1133"/>
      <c r="B391" s="1134"/>
      <c r="C391" s="1133"/>
      <c r="D391" s="198" t="s">
        <v>9</v>
      </c>
      <c r="E391" s="310" t="s">
        <v>10</v>
      </c>
      <c r="F391" s="310" t="s">
        <v>11</v>
      </c>
      <c r="G391" s="311" t="s">
        <v>12</v>
      </c>
      <c r="H391" s="310" t="s">
        <v>13</v>
      </c>
      <c r="I391" s="310" t="s">
        <v>11</v>
      </c>
      <c r="J391" s="1138"/>
      <c r="K391" s="192"/>
    </row>
    <row r="392" spans="1:11" x14ac:dyDescent="0.25">
      <c r="A392" s="1133"/>
      <c r="B392" s="1134"/>
      <c r="C392" s="1133"/>
      <c r="D392" s="197" t="s">
        <v>14</v>
      </c>
      <c r="E392" s="195" t="s">
        <v>14</v>
      </c>
      <c r="F392" s="195" t="s">
        <v>14</v>
      </c>
      <c r="G392" s="196" t="s">
        <v>15</v>
      </c>
      <c r="H392" s="195" t="s">
        <v>14</v>
      </c>
      <c r="I392" s="195" t="s">
        <v>14</v>
      </c>
      <c r="J392" s="197" t="s">
        <v>15</v>
      </c>
      <c r="K392" s="197"/>
    </row>
    <row r="393" spans="1:11" x14ac:dyDescent="0.25">
      <c r="A393" s="79" t="s">
        <v>185</v>
      </c>
      <c r="B393" s="199" t="s">
        <v>146</v>
      </c>
      <c r="C393" s="24"/>
      <c r="D393" s="10"/>
      <c r="E393" s="34"/>
      <c r="F393" s="34"/>
      <c r="G393" s="6"/>
      <c r="H393" s="34"/>
      <c r="I393" s="34"/>
      <c r="J393" s="10"/>
      <c r="K393" s="10"/>
    </row>
    <row r="394" spans="1:11" x14ac:dyDescent="0.25">
      <c r="A394" s="125" t="s">
        <v>187</v>
      </c>
      <c r="B394" s="280" t="s">
        <v>156</v>
      </c>
      <c r="C394" s="252">
        <f>SUM(C395:C398)</f>
        <v>870474720</v>
      </c>
      <c r="D394" s="10"/>
      <c r="E394" s="14"/>
      <c r="F394" s="34"/>
      <c r="G394" s="6"/>
      <c r="H394" s="34"/>
      <c r="I394" s="34"/>
      <c r="J394" s="35"/>
      <c r="K394" s="10"/>
    </row>
    <row r="395" spans="1:11" ht="25.5" x14ac:dyDescent="0.25">
      <c r="A395" s="49" t="s">
        <v>59</v>
      </c>
      <c r="B395" s="707" t="s">
        <v>384</v>
      </c>
      <c r="C395" s="256">
        <v>26160000</v>
      </c>
      <c r="D395" s="34">
        <f>C395/C394*100</f>
        <v>3.0052567178516112</v>
      </c>
      <c r="E395" s="134">
        <f t="shared" ref="E395:E397" si="142">G395/C395*100</f>
        <v>0</v>
      </c>
      <c r="F395" s="134">
        <f t="shared" ref="F395:F397" si="143">(D395*E395)/100</f>
        <v>0</v>
      </c>
      <c r="G395" s="181">
        <v>0</v>
      </c>
      <c r="H395" s="134">
        <f t="shared" ref="H395:H397" si="144">G395/C395*100</f>
        <v>0</v>
      </c>
      <c r="I395" s="134">
        <f t="shared" ref="I395:I397" si="145">(D395*H395)/100</f>
        <v>0</v>
      </c>
      <c r="J395" s="6">
        <f t="shared" ref="J395:J398" si="146">G395-C395</f>
        <v>-26160000</v>
      </c>
      <c r="K395" s="10"/>
    </row>
    <row r="396" spans="1:11" x14ac:dyDescent="0.25">
      <c r="A396" s="49" t="s">
        <v>148</v>
      </c>
      <c r="B396" s="133" t="s">
        <v>534</v>
      </c>
      <c r="C396" s="264">
        <v>600000000</v>
      </c>
      <c r="D396" s="134">
        <f>C396/C394*100</f>
        <v>68.927906372743365</v>
      </c>
      <c r="E396" s="134">
        <f t="shared" si="142"/>
        <v>0</v>
      </c>
      <c r="F396" s="134">
        <f t="shared" si="143"/>
        <v>0</v>
      </c>
      <c r="G396" s="181">
        <v>0</v>
      </c>
      <c r="H396" s="134">
        <f t="shared" si="144"/>
        <v>0</v>
      </c>
      <c r="I396" s="134">
        <f t="shared" si="145"/>
        <v>0</v>
      </c>
      <c r="J396" s="6">
        <f t="shared" si="146"/>
        <v>-600000000</v>
      </c>
      <c r="K396" s="3"/>
    </row>
    <row r="397" spans="1:11" s="84" customFormat="1" ht="25.5" x14ac:dyDescent="0.2">
      <c r="A397" s="723" t="s">
        <v>152</v>
      </c>
      <c r="B397" s="133" t="s">
        <v>153</v>
      </c>
      <c r="C397" s="264">
        <v>240000000</v>
      </c>
      <c r="D397" s="134">
        <f>C397/C394*100</f>
        <v>27.571162549097352</v>
      </c>
      <c r="E397" s="134">
        <f t="shared" si="142"/>
        <v>25</v>
      </c>
      <c r="F397" s="134">
        <f t="shared" si="143"/>
        <v>6.8927906372743379</v>
      </c>
      <c r="G397" s="181">
        <f>60000000</f>
        <v>60000000</v>
      </c>
      <c r="H397" s="134">
        <f t="shared" si="144"/>
        <v>25</v>
      </c>
      <c r="I397" s="134">
        <f t="shared" si="145"/>
        <v>6.8927906372743379</v>
      </c>
      <c r="J397" s="6">
        <f t="shared" si="146"/>
        <v>-180000000</v>
      </c>
      <c r="K397" s="85"/>
    </row>
    <row r="398" spans="1:11" s="84" customFormat="1" x14ac:dyDescent="0.2">
      <c r="A398" s="749" t="s">
        <v>234</v>
      </c>
      <c r="B398" s="133" t="s">
        <v>522</v>
      </c>
      <c r="C398" s="264">
        <v>4314720</v>
      </c>
      <c r="D398" s="804"/>
      <c r="E398" s="134"/>
      <c r="F398" s="134"/>
      <c r="G398" s="181"/>
      <c r="H398" s="134"/>
      <c r="I398" s="134"/>
      <c r="J398" s="6">
        <f t="shared" si="146"/>
        <v>-4314720</v>
      </c>
      <c r="K398" s="823"/>
    </row>
    <row r="399" spans="1:11" x14ac:dyDescent="0.25">
      <c r="A399" s="73"/>
      <c r="B399" s="136" t="s">
        <v>154</v>
      </c>
      <c r="C399" s="824">
        <f>SUM(C395:C398)</f>
        <v>870474720</v>
      </c>
      <c r="D399" s="272">
        <f>SUM(D395:D397)</f>
        <v>99.504325639692325</v>
      </c>
      <c r="E399" s="134"/>
      <c r="F399" s="134"/>
      <c r="G399" s="181">
        <f>SUM(G395:G398)</f>
        <v>60000000</v>
      </c>
      <c r="H399" s="134"/>
      <c r="I399" s="134"/>
      <c r="J399" s="56">
        <v>0</v>
      </c>
      <c r="K399" s="40"/>
    </row>
    <row r="400" spans="1:11" x14ac:dyDescent="0.25">
      <c r="A400" s="50"/>
      <c r="B400" s="5"/>
      <c r="C400" s="50" t="s">
        <v>141</v>
      </c>
      <c r="D400" s="9"/>
      <c r="E400" s="23"/>
      <c r="F400" s="23"/>
      <c r="G400" s="11"/>
      <c r="H400" s="23"/>
      <c r="I400" s="23"/>
      <c r="J400" s="9"/>
      <c r="K400" s="9"/>
    </row>
    <row r="401" spans="1:14" x14ac:dyDescent="0.25">
      <c r="A401" s="50"/>
      <c r="B401" s="5"/>
      <c r="C401" s="50"/>
      <c r="D401" s="9"/>
      <c r="E401" s="23"/>
      <c r="F401" s="23"/>
      <c r="G401" s="11"/>
      <c r="H401" s="23"/>
      <c r="I401" s="23"/>
      <c r="J401" s="9"/>
      <c r="K401" s="9"/>
    </row>
    <row r="402" spans="1:14" x14ac:dyDescent="0.25">
      <c r="A402" s="1123" t="s">
        <v>2</v>
      </c>
      <c r="B402" s="1126" t="s">
        <v>171</v>
      </c>
      <c r="C402" s="1123" t="s">
        <v>4</v>
      </c>
      <c r="D402" s="1155" t="s">
        <v>5</v>
      </c>
      <c r="E402" s="1156"/>
      <c r="F402" s="1157"/>
      <c r="G402" s="1158" t="s">
        <v>6</v>
      </c>
      <c r="H402" s="1159"/>
      <c r="I402" s="1160"/>
      <c r="J402" s="1123" t="s">
        <v>7</v>
      </c>
      <c r="K402" s="289" t="s">
        <v>8</v>
      </c>
    </row>
    <row r="403" spans="1:14" x14ac:dyDescent="0.25">
      <c r="A403" s="1124"/>
      <c r="B403" s="1127"/>
      <c r="C403" s="1124"/>
      <c r="D403" s="289" t="s">
        <v>9</v>
      </c>
      <c r="E403" s="308" t="s">
        <v>10</v>
      </c>
      <c r="F403" s="308" t="s">
        <v>11</v>
      </c>
      <c r="G403" s="309" t="s">
        <v>12</v>
      </c>
      <c r="H403" s="308" t="s">
        <v>13</v>
      </c>
      <c r="I403" s="308" t="s">
        <v>11</v>
      </c>
      <c r="J403" s="1124"/>
      <c r="K403" s="115"/>
    </row>
    <row r="404" spans="1:14" x14ac:dyDescent="0.25">
      <c r="A404" s="1125"/>
      <c r="B404" s="1128"/>
      <c r="C404" s="1125"/>
      <c r="D404" s="118" t="s">
        <v>14</v>
      </c>
      <c r="E404" s="119" t="s">
        <v>14</v>
      </c>
      <c r="F404" s="119" t="s">
        <v>14</v>
      </c>
      <c r="G404" s="120" t="s">
        <v>15</v>
      </c>
      <c r="H404" s="119" t="s">
        <v>14</v>
      </c>
      <c r="I404" s="119" t="s">
        <v>14</v>
      </c>
      <c r="J404" s="118" t="s">
        <v>15</v>
      </c>
      <c r="K404" s="118"/>
    </row>
    <row r="405" spans="1:14" ht="25.5" x14ac:dyDescent="0.25">
      <c r="A405" s="79" t="s">
        <v>180</v>
      </c>
      <c r="B405" s="696" t="s">
        <v>379</v>
      </c>
      <c r="C405" s="128"/>
      <c r="D405" s="10"/>
      <c r="E405" s="34"/>
      <c r="F405" s="34"/>
      <c r="G405" s="6"/>
      <c r="H405" s="34"/>
      <c r="I405" s="34"/>
      <c r="J405" s="10"/>
      <c r="K405" s="10"/>
    </row>
    <row r="406" spans="1:14" ht="25.5" x14ac:dyDescent="0.25">
      <c r="A406" s="158" t="s">
        <v>181</v>
      </c>
      <c r="B406" s="697" t="s">
        <v>380</v>
      </c>
      <c r="C406" s="265">
        <f>SUM(C407:C418)</f>
        <v>185000000</v>
      </c>
      <c r="D406" s="10"/>
      <c r="E406" s="34"/>
      <c r="F406" s="34"/>
      <c r="G406" s="6"/>
      <c r="H406" s="34"/>
      <c r="I406" s="34"/>
      <c r="J406" s="10"/>
      <c r="K406" s="10"/>
    </row>
    <row r="407" spans="1:14" ht="25.5" x14ac:dyDescent="0.25">
      <c r="A407" s="74" t="s">
        <v>44</v>
      </c>
      <c r="B407" s="707" t="s">
        <v>384</v>
      </c>
      <c r="C407" s="266">
        <v>8580000</v>
      </c>
      <c r="D407" s="134">
        <f>C407/C406*100</f>
        <v>4.6378378378378375</v>
      </c>
      <c r="E407" s="134">
        <f t="shared" ref="E407:E415" si="147">G407/C407*100</f>
        <v>0</v>
      </c>
      <c r="F407" s="134">
        <f t="shared" ref="F407:F415" si="148">(D407*E407)/100</f>
        <v>0</v>
      </c>
      <c r="G407" s="181">
        <v>0</v>
      </c>
      <c r="H407" s="134">
        <f t="shared" ref="H407:H415" si="149">G407/C407*100</f>
        <v>0</v>
      </c>
      <c r="I407" s="134">
        <f t="shared" ref="I407:I415" si="150">(D407*H407)/100</f>
        <v>0</v>
      </c>
      <c r="J407" s="6">
        <f t="shared" ref="J407:J418" si="151">G407-C407</f>
        <v>-8580000</v>
      </c>
      <c r="K407" s="10"/>
      <c r="L407" s="1"/>
      <c r="M407" s="1"/>
      <c r="N407" s="25"/>
    </row>
    <row r="408" spans="1:14" ht="25.5" x14ac:dyDescent="0.25">
      <c r="A408" s="74" t="s">
        <v>59</v>
      </c>
      <c r="B408" s="707" t="s">
        <v>197</v>
      </c>
      <c r="C408" s="266">
        <v>12180000</v>
      </c>
      <c r="D408" s="134">
        <f>C408/C406*100</f>
        <v>6.583783783783784</v>
      </c>
      <c r="E408" s="134">
        <f t="shared" si="147"/>
        <v>53.362479474548444</v>
      </c>
      <c r="F408" s="134">
        <f t="shared" si="148"/>
        <v>3.5132702702702705</v>
      </c>
      <c r="G408" s="181">
        <f>6499550</f>
        <v>6499550</v>
      </c>
      <c r="H408" s="134">
        <f t="shared" si="149"/>
        <v>53.362479474548444</v>
      </c>
      <c r="I408" s="134">
        <f t="shared" si="150"/>
        <v>3.5132702702702705</v>
      </c>
      <c r="J408" s="6">
        <f t="shared" si="151"/>
        <v>-5680450</v>
      </c>
      <c r="K408" s="10"/>
      <c r="L408" s="1"/>
      <c r="M408" s="1"/>
      <c r="N408" s="1"/>
    </row>
    <row r="409" spans="1:14" x14ac:dyDescent="0.25">
      <c r="A409" s="74" t="s">
        <v>62</v>
      </c>
      <c r="B409" s="707" t="s">
        <v>334</v>
      </c>
      <c r="C409" s="266">
        <v>9590000</v>
      </c>
      <c r="D409" s="134">
        <f>C409/C406*100</f>
        <v>5.1837837837837837</v>
      </c>
      <c r="E409" s="134">
        <f t="shared" si="147"/>
        <v>40.667361835245046</v>
      </c>
      <c r="F409" s="134">
        <f t="shared" si="148"/>
        <v>2.1081081081081079</v>
      </c>
      <c r="G409" s="181">
        <f>3900000</f>
        <v>3900000</v>
      </c>
      <c r="H409" s="134">
        <f t="shared" si="149"/>
        <v>40.667361835245046</v>
      </c>
      <c r="I409" s="134">
        <f t="shared" si="150"/>
        <v>2.1081081081081079</v>
      </c>
      <c r="J409" s="6">
        <f t="shared" si="151"/>
        <v>-5690000</v>
      </c>
      <c r="K409" s="10"/>
      <c r="L409" s="1"/>
      <c r="M409" s="1"/>
      <c r="N409" s="1"/>
    </row>
    <row r="410" spans="1:14" ht="25.5" x14ac:dyDescent="0.25">
      <c r="A410" s="49" t="s">
        <v>193</v>
      </c>
      <c r="B410" s="707" t="s">
        <v>537</v>
      </c>
      <c r="C410" s="266">
        <v>5250000</v>
      </c>
      <c r="D410" s="134"/>
      <c r="E410" s="134"/>
      <c r="F410" s="134"/>
      <c r="G410" s="181">
        <f>5250000</f>
        <v>5250000</v>
      </c>
      <c r="H410" s="134"/>
      <c r="I410" s="134"/>
      <c r="J410" s="6">
        <f t="shared" si="151"/>
        <v>0</v>
      </c>
      <c r="K410" s="10"/>
      <c r="L410" s="1"/>
      <c r="M410" s="1"/>
      <c r="N410" s="1"/>
    </row>
    <row r="411" spans="1:14" x14ac:dyDescent="0.25">
      <c r="A411" s="49" t="s">
        <v>148</v>
      </c>
      <c r="B411" s="133" t="s">
        <v>534</v>
      </c>
      <c r="C411" s="266">
        <v>8000000</v>
      </c>
      <c r="D411" s="134"/>
      <c r="E411" s="134"/>
      <c r="F411" s="134"/>
      <c r="G411" s="181">
        <f>8000000</f>
        <v>8000000</v>
      </c>
      <c r="H411" s="134"/>
      <c r="I411" s="134"/>
      <c r="J411" s="6">
        <f t="shared" si="151"/>
        <v>0</v>
      </c>
      <c r="K411" s="10"/>
      <c r="L411" s="1"/>
      <c r="M411" s="1"/>
      <c r="N411" s="1"/>
    </row>
    <row r="412" spans="1:14" x14ac:dyDescent="0.25">
      <c r="A412" s="74" t="s">
        <v>77</v>
      </c>
      <c r="B412" s="49" t="s">
        <v>143</v>
      </c>
      <c r="C412" s="266">
        <v>69700000</v>
      </c>
      <c r="D412" s="134">
        <f>C412/C406*100</f>
        <v>37.675675675675677</v>
      </c>
      <c r="E412" s="134">
        <f t="shared" si="147"/>
        <v>29.404591104734578</v>
      </c>
      <c r="F412" s="134">
        <f t="shared" si="148"/>
        <v>11.07837837837838</v>
      </c>
      <c r="G412" s="181">
        <f>20495000</f>
        <v>20495000</v>
      </c>
      <c r="H412" s="134">
        <f t="shared" si="149"/>
        <v>29.404591104734578</v>
      </c>
      <c r="I412" s="134">
        <f t="shared" si="150"/>
        <v>11.07837837837838</v>
      </c>
      <c r="J412" s="6">
        <f t="shared" si="151"/>
        <v>-49205000</v>
      </c>
      <c r="K412" s="10"/>
      <c r="L412" s="1"/>
      <c r="M412" s="1"/>
      <c r="N412" s="1"/>
    </row>
    <row r="413" spans="1:14" x14ac:dyDescent="0.25">
      <c r="A413" s="314" t="s">
        <v>183</v>
      </c>
      <c r="B413" s="49" t="s">
        <v>417</v>
      </c>
      <c r="C413" s="266">
        <v>14400000</v>
      </c>
      <c r="D413" s="134"/>
      <c r="E413" s="134"/>
      <c r="F413" s="134"/>
      <c r="G413" s="181"/>
      <c r="H413" s="134"/>
      <c r="I413" s="134"/>
      <c r="J413" s="6">
        <f t="shared" si="151"/>
        <v>-14400000</v>
      </c>
      <c r="K413" s="10"/>
      <c r="L413" s="1"/>
      <c r="M413" s="1"/>
      <c r="N413" s="1"/>
    </row>
    <row r="414" spans="1:14" x14ac:dyDescent="0.25">
      <c r="A414" s="74" t="s">
        <v>186</v>
      </c>
      <c r="B414" s="170" t="s">
        <v>182</v>
      </c>
      <c r="C414" s="266">
        <v>31000000</v>
      </c>
      <c r="D414" s="134">
        <f>C414/C406*100</f>
        <v>16.756756756756758</v>
      </c>
      <c r="E414" s="134">
        <f t="shared" si="147"/>
        <v>43.548387096774192</v>
      </c>
      <c r="F414" s="134">
        <f t="shared" si="148"/>
        <v>7.2972972972972983</v>
      </c>
      <c r="G414" s="181">
        <f>13500000</f>
        <v>13500000</v>
      </c>
      <c r="H414" s="134">
        <f t="shared" si="149"/>
        <v>43.548387096774192</v>
      </c>
      <c r="I414" s="134">
        <f t="shared" si="150"/>
        <v>7.2972972972972983</v>
      </c>
      <c r="J414" s="6">
        <f t="shared" si="151"/>
        <v>-17500000</v>
      </c>
      <c r="K414" s="10"/>
      <c r="L414" s="1"/>
      <c r="M414" s="1"/>
      <c r="N414" s="1"/>
    </row>
    <row r="415" spans="1:14" ht="25.5" x14ac:dyDescent="0.25">
      <c r="A415" s="74" t="s">
        <v>106</v>
      </c>
      <c r="B415" s="316" t="s">
        <v>375</v>
      </c>
      <c r="C415" s="266">
        <v>15300000</v>
      </c>
      <c r="D415" s="134">
        <f>C415/C406*100</f>
        <v>8.2702702702702702</v>
      </c>
      <c r="E415" s="134">
        <f t="shared" si="147"/>
        <v>76.470588235294116</v>
      </c>
      <c r="F415" s="134">
        <f t="shared" si="148"/>
        <v>6.3243243243243237</v>
      </c>
      <c r="G415" s="181">
        <f>11700000</f>
        <v>11700000</v>
      </c>
      <c r="H415" s="134">
        <f t="shared" si="149"/>
        <v>76.470588235294116</v>
      </c>
      <c r="I415" s="134">
        <f t="shared" si="150"/>
        <v>6.3243243243243237</v>
      </c>
      <c r="J415" s="6">
        <f t="shared" si="151"/>
        <v>-3600000</v>
      </c>
      <c r="K415" s="10"/>
      <c r="L415" s="1"/>
      <c r="M415" s="1"/>
      <c r="N415" s="1"/>
    </row>
    <row r="416" spans="1:14" x14ac:dyDescent="0.25">
      <c r="A416" s="755" t="s">
        <v>116</v>
      </c>
      <c r="B416" s="316" t="s">
        <v>538</v>
      </c>
      <c r="C416" s="266">
        <v>2000000</v>
      </c>
      <c r="D416" s="134">
        <f>C416/C407*100</f>
        <v>23.310023310023308</v>
      </c>
      <c r="E416" s="134"/>
      <c r="F416" s="134"/>
      <c r="G416" s="181">
        <f>2000000</f>
        <v>2000000</v>
      </c>
      <c r="H416" s="134"/>
      <c r="I416" s="134"/>
      <c r="J416" s="6">
        <f t="shared" si="151"/>
        <v>0</v>
      </c>
      <c r="K416" s="10"/>
      <c r="L416" s="1"/>
      <c r="M416" s="1"/>
      <c r="N416" s="1"/>
    </row>
    <row r="417" spans="1:14" x14ac:dyDescent="0.25">
      <c r="A417" s="755" t="s">
        <v>521</v>
      </c>
      <c r="B417" s="316" t="s">
        <v>539</v>
      </c>
      <c r="C417" s="266">
        <v>2000000</v>
      </c>
      <c r="D417" s="134"/>
      <c r="E417" s="134"/>
      <c r="F417" s="134"/>
      <c r="G417" s="181">
        <f>2000000</f>
        <v>2000000</v>
      </c>
      <c r="H417" s="134"/>
      <c r="I417" s="134"/>
      <c r="J417" s="6">
        <f t="shared" si="151"/>
        <v>0</v>
      </c>
      <c r="K417" s="10"/>
      <c r="L417" s="1"/>
      <c r="M417" s="1"/>
      <c r="N417" s="1"/>
    </row>
    <row r="418" spans="1:14" x14ac:dyDescent="0.25">
      <c r="A418" s="755" t="s">
        <v>65</v>
      </c>
      <c r="B418" s="316" t="s">
        <v>190</v>
      </c>
      <c r="C418" s="266">
        <v>7000000</v>
      </c>
      <c r="D418" s="134"/>
      <c r="E418" s="134"/>
      <c r="F418" s="134"/>
      <c r="G418" s="181"/>
      <c r="H418" s="134"/>
      <c r="I418" s="134"/>
      <c r="J418" s="6">
        <f t="shared" si="151"/>
        <v>-7000000</v>
      </c>
      <c r="K418" s="10"/>
      <c r="L418" s="1"/>
      <c r="M418" s="1"/>
      <c r="N418" s="1"/>
    </row>
    <row r="419" spans="1:14" x14ac:dyDescent="0.25">
      <c r="A419" s="1152" t="s">
        <v>128</v>
      </c>
      <c r="B419" s="1154"/>
      <c r="C419" s="57">
        <f>SUM(C407:C418)</f>
        <v>185000000</v>
      </c>
      <c r="D419" s="273">
        <f>SUM(D407:D415)</f>
        <v>79.108108108108112</v>
      </c>
      <c r="E419" s="134"/>
      <c r="F419" s="134"/>
      <c r="G419" s="13">
        <f>SUM(G407:G418)</f>
        <v>73344550</v>
      </c>
      <c r="H419" s="134"/>
      <c r="I419" s="134"/>
      <c r="J419" s="56">
        <v>0</v>
      </c>
      <c r="K419" s="12"/>
      <c r="L419" s="9"/>
      <c r="M419" s="9"/>
      <c r="N419" s="9"/>
    </row>
    <row r="420" spans="1:14" x14ac:dyDescent="0.25">
      <c r="A420" s="5"/>
      <c r="B420" s="5"/>
      <c r="C420" s="65"/>
      <c r="D420" s="66"/>
      <c r="E420" s="30"/>
      <c r="F420" s="31"/>
      <c r="G420" s="36"/>
      <c r="H420" s="30"/>
      <c r="I420" s="31"/>
      <c r="J420" s="33"/>
      <c r="K420" s="29"/>
      <c r="L420" s="9"/>
      <c r="M420" s="9"/>
      <c r="N420" s="9"/>
    </row>
    <row r="421" spans="1:14" ht="31.5" x14ac:dyDescent="0.25">
      <c r="A421" s="55"/>
      <c r="B421" s="46" t="s">
        <v>145</v>
      </c>
      <c r="C421" s="155"/>
      <c r="D421" s="44"/>
      <c r="E421" s="45"/>
      <c r="F421" s="45"/>
      <c r="G421" s="48"/>
      <c r="H421" s="45"/>
      <c r="I421" s="45"/>
      <c r="J421" s="44"/>
      <c r="K421" s="44"/>
      <c r="L421" s="1"/>
      <c r="M421" s="1"/>
      <c r="N421" s="1"/>
    </row>
    <row r="422" spans="1:14" x14ac:dyDescent="0.25">
      <c r="A422" s="1119" t="s">
        <v>2</v>
      </c>
      <c r="B422" s="1120" t="s">
        <v>171</v>
      </c>
      <c r="C422" s="1119" t="s">
        <v>4</v>
      </c>
      <c r="D422" s="1121" t="s">
        <v>5</v>
      </c>
      <c r="E422" s="1132"/>
      <c r="F422" s="1132"/>
      <c r="G422" s="1122" t="s">
        <v>6</v>
      </c>
      <c r="H422" s="1132"/>
      <c r="I422" s="1132"/>
      <c r="J422" s="1119" t="s">
        <v>7</v>
      </c>
      <c r="K422" s="289" t="s">
        <v>8</v>
      </c>
      <c r="L422" s="1"/>
      <c r="M422" s="1"/>
    </row>
    <row r="423" spans="1:14" x14ac:dyDescent="0.25">
      <c r="A423" s="1119"/>
      <c r="B423" s="1120"/>
      <c r="C423" s="1119"/>
      <c r="D423" s="289" t="s">
        <v>9</v>
      </c>
      <c r="E423" s="308" t="s">
        <v>10</v>
      </c>
      <c r="F423" s="308" t="s">
        <v>11</v>
      </c>
      <c r="G423" s="309" t="s">
        <v>12</v>
      </c>
      <c r="H423" s="308" t="s">
        <v>13</v>
      </c>
      <c r="I423" s="308" t="s">
        <v>11</v>
      </c>
      <c r="J423" s="1123"/>
      <c r="K423" s="115"/>
      <c r="L423" s="1"/>
      <c r="M423" s="1"/>
    </row>
    <row r="424" spans="1:14" x14ac:dyDescent="0.25">
      <c r="A424" s="1119"/>
      <c r="B424" s="1120"/>
      <c r="C424" s="1119"/>
      <c r="D424" s="118" t="s">
        <v>14</v>
      </c>
      <c r="E424" s="119" t="s">
        <v>14</v>
      </c>
      <c r="F424" s="119" t="s">
        <v>14</v>
      </c>
      <c r="G424" s="120" t="s">
        <v>15</v>
      </c>
      <c r="H424" s="119" t="s">
        <v>14</v>
      </c>
      <c r="I424" s="119" t="s">
        <v>14</v>
      </c>
      <c r="J424" s="118" t="s">
        <v>15</v>
      </c>
      <c r="K424" s="118"/>
      <c r="L424" s="1"/>
      <c r="M424" s="1"/>
    </row>
    <row r="425" spans="1:14" x14ac:dyDescent="0.25">
      <c r="A425" s="79" t="s">
        <v>185</v>
      </c>
      <c r="B425" s="199" t="s">
        <v>146</v>
      </c>
      <c r="C425" s="24"/>
      <c r="D425" s="10"/>
      <c r="E425" s="34"/>
      <c r="F425" s="34"/>
      <c r="G425" s="6"/>
      <c r="H425" s="34"/>
      <c r="I425" s="34"/>
      <c r="J425" s="10"/>
      <c r="K425" s="10"/>
      <c r="L425" s="1"/>
      <c r="M425" s="25"/>
    </row>
    <row r="426" spans="1:14" x14ac:dyDescent="0.25">
      <c r="A426" s="125" t="s">
        <v>184</v>
      </c>
      <c r="B426" s="280" t="s">
        <v>147</v>
      </c>
      <c r="C426" s="252">
        <f>SUM(C427:C428)</f>
        <v>5850440000</v>
      </c>
      <c r="D426" s="10"/>
      <c r="E426" s="34"/>
      <c r="F426" s="34"/>
      <c r="G426" s="6"/>
      <c r="H426" s="34"/>
      <c r="I426" s="34"/>
      <c r="J426" s="10"/>
      <c r="K426" s="10"/>
      <c r="L426" s="1"/>
      <c r="M426" s="1"/>
    </row>
    <row r="427" spans="1:14" x14ac:dyDescent="0.25">
      <c r="A427" s="154" t="s">
        <v>413</v>
      </c>
      <c r="B427" s="707" t="s">
        <v>414</v>
      </c>
      <c r="C427" s="253">
        <v>40440000</v>
      </c>
      <c r="D427" s="134" t="e">
        <f>C427/#REF!*100</f>
        <v>#REF!</v>
      </c>
      <c r="E427" s="134"/>
      <c r="F427" s="134"/>
      <c r="G427" s="181">
        <v>0</v>
      </c>
      <c r="H427" s="134"/>
      <c r="I427" s="134"/>
      <c r="J427" s="6">
        <f t="shared" ref="J427:J428" si="152">G427-C427</f>
        <v>-40440000</v>
      </c>
      <c r="K427" s="10"/>
      <c r="L427" s="1"/>
      <c r="M427" s="1"/>
    </row>
    <row r="428" spans="1:14" x14ac:dyDescent="0.25">
      <c r="A428" s="124" t="s">
        <v>148</v>
      </c>
      <c r="B428" s="133" t="s">
        <v>534</v>
      </c>
      <c r="C428" s="256">
        <v>5810000000</v>
      </c>
      <c r="D428" s="134">
        <f>C428/C426*100</f>
        <v>99.308769938671276</v>
      </c>
      <c r="E428" s="134">
        <f t="shared" ref="E428" si="153">G428/C428*100</f>
        <v>0</v>
      </c>
      <c r="F428" s="134">
        <f t="shared" ref="F428" si="154">(D428*E428)/100</f>
        <v>0</v>
      </c>
      <c r="G428" s="181">
        <v>0</v>
      </c>
      <c r="H428" s="134">
        <f t="shared" ref="H428" si="155">G428/C428*100</f>
        <v>0</v>
      </c>
      <c r="I428" s="134">
        <f t="shared" ref="I428" si="156">(D428*H428)/100</f>
        <v>0</v>
      </c>
      <c r="J428" s="6">
        <f t="shared" si="152"/>
        <v>-5810000000</v>
      </c>
      <c r="K428" s="10"/>
      <c r="L428" s="1"/>
      <c r="M428" s="1"/>
    </row>
    <row r="429" spans="1:14" x14ac:dyDescent="0.25">
      <c r="A429" s="72"/>
      <c r="B429" s="136" t="s">
        <v>154</v>
      </c>
      <c r="C429" s="808">
        <f>SUM(C427:C428)</f>
        <v>5850440000</v>
      </c>
      <c r="D429" s="271" t="e">
        <f>SUM(D427:D428)</f>
        <v>#REF!</v>
      </c>
      <c r="E429" s="134"/>
      <c r="F429" s="134"/>
      <c r="G429" s="181">
        <f>SUM(G427:G428)</f>
        <v>0</v>
      </c>
      <c r="H429" s="134"/>
      <c r="I429" s="134"/>
      <c r="J429" s="56">
        <v>0</v>
      </c>
      <c r="K429" s="130"/>
      <c r="L429" s="1"/>
      <c r="M429" s="1"/>
    </row>
    <row r="430" spans="1:14" x14ac:dyDescent="0.25">
      <c r="A430" s="5"/>
      <c r="B430" s="5"/>
      <c r="C430" s="65"/>
      <c r="D430" s="66"/>
      <c r="E430" s="30"/>
      <c r="F430" s="31"/>
      <c r="G430" s="36"/>
      <c r="H430" s="30"/>
      <c r="I430" s="31"/>
      <c r="J430" s="33"/>
      <c r="K430" s="29"/>
      <c r="L430" s="9"/>
      <c r="M430" s="9"/>
      <c r="N430" s="9"/>
    </row>
    <row r="431" spans="1:14" x14ac:dyDescent="0.25">
      <c r="A431" s="1119" t="s">
        <v>2</v>
      </c>
      <c r="B431" s="1120" t="s">
        <v>171</v>
      </c>
      <c r="C431" s="1119" t="s">
        <v>4</v>
      </c>
      <c r="D431" s="1121" t="s">
        <v>5</v>
      </c>
      <c r="E431" s="1132"/>
      <c r="F431" s="1132"/>
      <c r="G431" s="1122" t="s">
        <v>6</v>
      </c>
      <c r="H431" s="1132"/>
      <c r="I431" s="1132"/>
      <c r="J431" s="1119" t="s">
        <v>7</v>
      </c>
      <c r="K431" s="289" t="s">
        <v>8</v>
      </c>
      <c r="L431" s="1"/>
      <c r="M431" s="1"/>
    </row>
    <row r="432" spans="1:14" x14ac:dyDescent="0.25">
      <c r="A432" s="1119"/>
      <c r="B432" s="1120"/>
      <c r="C432" s="1119"/>
      <c r="D432" s="289" t="s">
        <v>9</v>
      </c>
      <c r="E432" s="308" t="s">
        <v>10</v>
      </c>
      <c r="F432" s="308" t="s">
        <v>11</v>
      </c>
      <c r="G432" s="309" t="s">
        <v>12</v>
      </c>
      <c r="H432" s="308" t="s">
        <v>13</v>
      </c>
      <c r="I432" s="308" t="s">
        <v>11</v>
      </c>
      <c r="J432" s="1123"/>
      <c r="K432" s="115"/>
      <c r="L432" s="1"/>
      <c r="M432" s="1"/>
    </row>
    <row r="433" spans="1:13" x14ac:dyDescent="0.25">
      <c r="A433" s="1119"/>
      <c r="B433" s="1120"/>
      <c r="C433" s="1119"/>
      <c r="D433" s="118" t="s">
        <v>14</v>
      </c>
      <c r="E433" s="119" t="s">
        <v>14</v>
      </c>
      <c r="F433" s="119" t="s">
        <v>14</v>
      </c>
      <c r="G433" s="120" t="s">
        <v>15</v>
      </c>
      <c r="H433" s="119" t="s">
        <v>14</v>
      </c>
      <c r="I433" s="119" t="s">
        <v>14</v>
      </c>
      <c r="J433" s="118" t="s">
        <v>15</v>
      </c>
      <c r="K433" s="118"/>
      <c r="L433" s="1"/>
      <c r="M433" s="1"/>
    </row>
    <row r="434" spans="1:13" x14ac:dyDescent="0.25">
      <c r="A434" s="79" t="s">
        <v>185</v>
      </c>
      <c r="B434" s="199" t="s">
        <v>146</v>
      </c>
      <c r="C434" s="24"/>
      <c r="D434" s="10"/>
      <c r="E434" s="34"/>
      <c r="F434" s="34"/>
      <c r="G434" s="6"/>
      <c r="H434" s="34"/>
      <c r="I434" s="34"/>
      <c r="J434" s="10"/>
      <c r="K434" s="10"/>
      <c r="L434" s="1"/>
      <c r="M434" s="1"/>
    </row>
    <row r="435" spans="1:13" x14ac:dyDescent="0.25">
      <c r="A435" s="125" t="s">
        <v>187</v>
      </c>
      <c r="B435" s="280" t="s">
        <v>164</v>
      </c>
      <c r="C435" s="252">
        <f>SUM(C436:C440)</f>
        <v>3539546088</v>
      </c>
      <c r="D435" s="10"/>
      <c r="E435" s="34"/>
      <c r="F435" s="34"/>
      <c r="G435" s="6"/>
      <c r="H435" s="34"/>
      <c r="I435" s="34"/>
      <c r="J435" s="10"/>
      <c r="K435" s="10"/>
      <c r="L435" s="1"/>
      <c r="M435" s="1"/>
    </row>
    <row r="436" spans="1:13" ht="25.5" x14ac:dyDescent="0.25">
      <c r="A436" s="154" t="s">
        <v>44</v>
      </c>
      <c r="B436" s="707" t="s">
        <v>384</v>
      </c>
      <c r="C436" s="253">
        <v>35255000</v>
      </c>
      <c r="D436" s="134">
        <f>C436/C435*100</f>
        <v>0.99603166969696488</v>
      </c>
      <c r="E436" s="134">
        <f t="shared" ref="E436:E439" si="157">G436/C436*100</f>
        <v>0</v>
      </c>
      <c r="F436" s="134">
        <f t="shared" ref="F436:F439" si="158">(D436*E436)/100</f>
        <v>0</v>
      </c>
      <c r="G436" s="181">
        <v>0</v>
      </c>
      <c r="H436" s="134">
        <f t="shared" ref="H436:H439" si="159">G436/C436*100</f>
        <v>0</v>
      </c>
      <c r="I436" s="134">
        <f t="shared" ref="I436:I439" si="160">(D436*H436)/100</f>
        <v>0</v>
      </c>
      <c r="J436" s="6">
        <f t="shared" ref="J436:J440" si="161">G436-C436</f>
        <v>-35255000</v>
      </c>
      <c r="K436" s="10"/>
      <c r="L436" s="1"/>
      <c r="M436" s="1"/>
    </row>
    <row r="437" spans="1:13" x14ac:dyDescent="0.25">
      <c r="A437" s="154" t="s">
        <v>413</v>
      </c>
      <c r="B437" s="707" t="s">
        <v>414</v>
      </c>
      <c r="C437" s="253">
        <v>385000</v>
      </c>
      <c r="D437" s="134"/>
      <c r="E437" s="134"/>
      <c r="F437" s="134"/>
      <c r="G437" s="181">
        <v>0</v>
      </c>
      <c r="H437" s="134"/>
      <c r="I437" s="134"/>
      <c r="J437" s="6">
        <f t="shared" si="161"/>
        <v>-385000</v>
      </c>
      <c r="K437" s="10"/>
      <c r="L437" s="1"/>
      <c r="M437" s="1"/>
    </row>
    <row r="438" spans="1:13" x14ac:dyDescent="0.25">
      <c r="A438" s="124" t="s">
        <v>148</v>
      </c>
      <c r="B438" s="133" t="s">
        <v>534</v>
      </c>
      <c r="C438" s="256">
        <v>2490000000</v>
      </c>
      <c r="D438" s="134">
        <f>C438/C435*100</f>
        <v>70.348003334149553</v>
      </c>
      <c r="E438" s="134">
        <f t="shared" si="157"/>
        <v>0</v>
      </c>
      <c r="F438" s="134">
        <f t="shared" si="158"/>
        <v>0</v>
      </c>
      <c r="G438" s="181">
        <v>0</v>
      </c>
      <c r="H438" s="134">
        <f t="shared" si="159"/>
        <v>0</v>
      </c>
      <c r="I438" s="134">
        <f t="shared" si="160"/>
        <v>0</v>
      </c>
      <c r="J438" s="6">
        <f t="shared" si="161"/>
        <v>-2490000000</v>
      </c>
      <c r="K438" s="10"/>
    </row>
    <row r="439" spans="1:13" s="84" customFormat="1" ht="25.5" x14ac:dyDescent="0.2">
      <c r="A439" s="124" t="s">
        <v>152</v>
      </c>
      <c r="B439" s="133" t="s">
        <v>166</v>
      </c>
      <c r="C439" s="256">
        <v>996000000</v>
      </c>
      <c r="D439" s="134">
        <f>C439/C435*100</f>
        <v>28.13920133365982</v>
      </c>
      <c r="E439" s="134">
        <f t="shared" si="157"/>
        <v>0</v>
      </c>
      <c r="F439" s="134">
        <f t="shared" si="158"/>
        <v>0</v>
      </c>
      <c r="G439" s="181">
        <v>0</v>
      </c>
      <c r="H439" s="134">
        <f t="shared" si="159"/>
        <v>0</v>
      </c>
      <c r="I439" s="134">
        <f t="shared" si="160"/>
        <v>0</v>
      </c>
      <c r="J439" s="6">
        <f t="shared" si="161"/>
        <v>-996000000</v>
      </c>
      <c r="K439" s="38"/>
    </row>
    <row r="440" spans="1:13" s="84" customFormat="1" x14ac:dyDescent="0.2">
      <c r="A440" s="825" t="s">
        <v>234</v>
      </c>
      <c r="B440" s="133" t="s">
        <v>522</v>
      </c>
      <c r="C440" s="256">
        <v>17906088</v>
      </c>
      <c r="D440" s="804"/>
      <c r="E440" s="134"/>
      <c r="F440" s="134"/>
      <c r="G440" s="181">
        <f>249000000</f>
        <v>249000000</v>
      </c>
      <c r="H440" s="134"/>
      <c r="I440" s="134"/>
      <c r="J440" s="6">
        <f t="shared" si="161"/>
        <v>231093912</v>
      </c>
      <c r="K440" s="805"/>
    </row>
    <row r="441" spans="1:13" x14ac:dyDescent="0.25">
      <c r="A441" s="70"/>
      <c r="B441" s="129" t="s">
        <v>95</v>
      </c>
      <c r="C441" s="807">
        <f>SUM(C436:C440)</f>
        <v>3539546088</v>
      </c>
      <c r="D441" s="271">
        <f>SUM(D436:D439)</f>
        <v>99.483236337506327</v>
      </c>
      <c r="E441" s="134"/>
      <c r="F441" s="134"/>
      <c r="G441" s="181">
        <f>SUM(G436:G440)</f>
        <v>249000000</v>
      </c>
      <c r="H441" s="134"/>
      <c r="I441" s="134"/>
      <c r="J441" s="780"/>
      <c r="K441" s="130"/>
    </row>
    <row r="442" spans="1:13" x14ac:dyDescent="0.25">
      <c r="J442" s="779"/>
    </row>
    <row r="444" spans="1:13" x14ac:dyDescent="0.25">
      <c r="A444" s="50"/>
      <c r="B444" s="5"/>
      <c r="C444" s="50"/>
      <c r="D444" s="29"/>
      <c r="E444" s="30"/>
      <c r="F444" s="31"/>
      <c r="G444" s="36"/>
      <c r="H444" s="32"/>
      <c r="I444" s="31"/>
      <c r="J444" s="36"/>
      <c r="K444" s="37"/>
    </row>
    <row r="445" spans="1:13" x14ac:dyDescent="0.25">
      <c r="A445" s="1"/>
      <c r="B445" s="16" t="s">
        <v>363</v>
      </c>
      <c r="C445" s="61"/>
      <c r="D445" s="1"/>
      <c r="E445" s="1"/>
      <c r="F445" s="1"/>
      <c r="G445" s="1"/>
      <c r="H445" s="1"/>
      <c r="I445" s="18" t="s">
        <v>552</v>
      </c>
      <c r="J445" s="17"/>
      <c r="K445" s="1"/>
    </row>
    <row r="446" spans="1:13" x14ac:dyDescent="0.25">
      <c r="A446" s="1"/>
      <c r="B446" s="19"/>
      <c r="C446" s="62"/>
      <c r="D446" s="1"/>
      <c r="E446" s="1"/>
      <c r="F446" s="1"/>
      <c r="G446" s="1"/>
      <c r="H446" s="1"/>
      <c r="I446" s="63"/>
      <c r="J446" s="16"/>
      <c r="K446" s="1"/>
    </row>
    <row r="447" spans="1:13" x14ac:dyDescent="0.25">
      <c r="A447" s="1"/>
      <c r="B447" s="19"/>
      <c r="C447" s="62"/>
      <c r="D447" s="1"/>
      <c r="E447" s="1"/>
      <c r="F447" s="1"/>
      <c r="G447" s="1"/>
      <c r="H447" s="1"/>
      <c r="I447" s="63"/>
      <c r="J447" s="16"/>
      <c r="K447" s="1"/>
    </row>
    <row r="448" spans="1:13" x14ac:dyDescent="0.25">
      <c r="A448" s="1"/>
      <c r="B448" s="19"/>
      <c r="C448" s="62"/>
      <c r="D448" s="1"/>
      <c r="E448" s="1"/>
      <c r="F448" s="1"/>
      <c r="G448" s="1"/>
      <c r="H448" s="1"/>
      <c r="I448" s="18"/>
      <c r="J448" s="19"/>
      <c r="K448" s="1"/>
    </row>
    <row r="449" spans="1:14" x14ac:dyDescent="0.25">
      <c r="A449" s="1"/>
      <c r="B449" s="75" t="s">
        <v>440</v>
      </c>
      <c r="C449" s="21"/>
      <c r="D449" s="1"/>
      <c r="E449" s="1"/>
      <c r="F449" s="1"/>
      <c r="G449" s="1"/>
      <c r="H449" s="1"/>
      <c r="I449" s="20"/>
      <c r="J449" s="21"/>
      <c r="K449" s="1"/>
    </row>
    <row r="450" spans="1:14" x14ac:dyDescent="0.25">
      <c r="A450" s="1"/>
      <c r="B450" s="739" t="s">
        <v>441</v>
      </c>
      <c r="C450" s="19"/>
      <c r="D450" s="1"/>
      <c r="E450" s="1"/>
      <c r="F450" s="1"/>
      <c r="G450" s="1"/>
      <c r="H450" s="1"/>
      <c r="I450" s="22"/>
      <c r="J450" s="19"/>
      <c r="K450" s="1"/>
    </row>
    <row r="451" spans="1:14" x14ac:dyDescent="0.25">
      <c r="A451" s="5"/>
      <c r="B451" s="5"/>
      <c r="C451" s="65"/>
      <c r="D451" s="66"/>
      <c r="E451" s="30"/>
      <c r="F451" s="31"/>
      <c r="G451" s="36"/>
      <c r="H451" s="30"/>
      <c r="I451" s="31"/>
      <c r="J451" s="33"/>
      <c r="K451" s="29"/>
      <c r="L451" s="9"/>
      <c r="M451" s="9"/>
      <c r="N451" s="9"/>
    </row>
  </sheetData>
  <mergeCells count="149">
    <mergeCell ref="J422:J423"/>
    <mergeCell ref="A431:A433"/>
    <mergeCell ref="B431:B433"/>
    <mergeCell ref="C431:C433"/>
    <mergeCell ref="D431:F431"/>
    <mergeCell ref="G431:I431"/>
    <mergeCell ref="J431:J432"/>
    <mergeCell ref="A419:B419"/>
    <mergeCell ref="A422:A424"/>
    <mergeCell ref="B422:B424"/>
    <mergeCell ref="C422:C424"/>
    <mergeCell ref="D422:F422"/>
    <mergeCell ref="G422:I422"/>
    <mergeCell ref="A402:A404"/>
    <mergeCell ref="B402:B404"/>
    <mergeCell ref="C402:C404"/>
    <mergeCell ref="D402:F402"/>
    <mergeCell ref="G402:I402"/>
    <mergeCell ref="J402:J403"/>
    <mergeCell ref="A390:A392"/>
    <mergeCell ref="B390:B392"/>
    <mergeCell ref="C390:C392"/>
    <mergeCell ref="D390:F390"/>
    <mergeCell ref="G390:I390"/>
    <mergeCell ref="J390:J391"/>
    <mergeCell ref="A381:A383"/>
    <mergeCell ref="B381:B383"/>
    <mergeCell ref="C381:C383"/>
    <mergeCell ref="D381:F381"/>
    <mergeCell ref="G381:I381"/>
    <mergeCell ref="J381:J382"/>
    <mergeCell ref="A357:A359"/>
    <mergeCell ref="B357:B359"/>
    <mergeCell ref="D357:F357"/>
    <mergeCell ref="G357:I357"/>
    <mergeCell ref="J357:J358"/>
    <mergeCell ref="A378:B378"/>
    <mergeCell ref="A344:A346"/>
    <mergeCell ref="B344:B346"/>
    <mergeCell ref="C344:C346"/>
    <mergeCell ref="D344:F344"/>
    <mergeCell ref="G344:I344"/>
    <mergeCell ref="J344:J345"/>
    <mergeCell ref="K309:K311"/>
    <mergeCell ref="A335:A337"/>
    <mergeCell ref="B335:B337"/>
    <mergeCell ref="C335:C337"/>
    <mergeCell ref="D335:F335"/>
    <mergeCell ref="G335:I335"/>
    <mergeCell ref="J335:J336"/>
    <mergeCell ref="A309:A311"/>
    <mergeCell ref="B309:B311"/>
    <mergeCell ref="C309:C311"/>
    <mergeCell ref="D309:F309"/>
    <mergeCell ref="G309:I309"/>
    <mergeCell ref="J309:J310"/>
    <mergeCell ref="A297:A299"/>
    <mergeCell ref="B297:B299"/>
    <mergeCell ref="C297:C299"/>
    <mergeCell ref="D297:F297"/>
    <mergeCell ref="G297:I297"/>
    <mergeCell ref="J297:J298"/>
    <mergeCell ref="K267:K269"/>
    <mergeCell ref="A288:A290"/>
    <mergeCell ref="B288:B290"/>
    <mergeCell ref="C288:C290"/>
    <mergeCell ref="D288:F288"/>
    <mergeCell ref="G288:I288"/>
    <mergeCell ref="J288:J289"/>
    <mergeCell ref="A267:A269"/>
    <mergeCell ref="B267:B269"/>
    <mergeCell ref="C267:C269"/>
    <mergeCell ref="D267:F267"/>
    <mergeCell ref="G267:I267"/>
    <mergeCell ref="J267:J268"/>
    <mergeCell ref="J244:J245"/>
    <mergeCell ref="A253:A255"/>
    <mergeCell ref="B253:B255"/>
    <mergeCell ref="C253:C255"/>
    <mergeCell ref="D253:F253"/>
    <mergeCell ref="G253:I253"/>
    <mergeCell ref="J253:J254"/>
    <mergeCell ref="A224:A226"/>
    <mergeCell ref="B224:B226"/>
    <mergeCell ref="D224:F224"/>
    <mergeCell ref="G224:I224"/>
    <mergeCell ref="J224:J225"/>
    <mergeCell ref="A244:A246"/>
    <mergeCell ref="B244:B246"/>
    <mergeCell ref="C244:C246"/>
    <mergeCell ref="D244:F244"/>
    <mergeCell ref="G244:I244"/>
    <mergeCell ref="A210:A212"/>
    <mergeCell ref="B210:B212"/>
    <mergeCell ref="C210:C212"/>
    <mergeCell ref="D210:F210"/>
    <mergeCell ref="G210:I210"/>
    <mergeCell ref="J210:J211"/>
    <mergeCell ref="A199:A201"/>
    <mergeCell ref="B199:B201"/>
    <mergeCell ref="C199:C201"/>
    <mergeCell ref="D199:F199"/>
    <mergeCell ref="G199:I199"/>
    <mergeCell ref="J199:J200"/>
    <mergeCell ref="A175:A177"/>
    <mergeCell ref="B175:B177"/>
    <mergeCell ref="C175:C177"/>
    <mergeCell ref="D175:F175"/>
    <mergeCell ref="G175:I175"/>
    <mergeCell ref="J175:J176"/>
    <mergeCell ref="A163:A165"/>
    <mergeCell ref="B163:B165"/>
    <mergeCell ref="C163:C165"/>
    <mergeCell ref="D163:F163"/>
    <mergeCell ref="G163:I163"/>
    <mergeCell ref="J163:J164"/>
    <mergeCell ref="K132:K134"/>
    <mergeCell ref="A150:B150"/>
    <mergeCell ref="A153:A155"/>
    <mergeCell ref="B153:B155"/>
    <mergeCell ref="C153:C155"/>
    <mergeCell ref="D153:F153"/>
    <mergeCell ref="G153:I153"/>
    <mergeCell ref="J153:J154"/>
    <mergeCell ref="A129:C129"/>
    <mergeCell ref="A132:A134"/>
    <mergeCell ref="B132:B134"/>
    <mergeCell ref="D132:F132"/>
    <mergeCell ref="G132:I132"/>
    <mergeCell ref="J132:J133"/>
    <mergeCell ref="A96:C96"/>
    <mergeCell ref="A98:K98"/>
    <mergeCell ref="A99:K99"/>
    <mergeCell ref="A100:K100"/>
    <mergeCell ref="A101:A103"/>
    <mergeCell ref="B101:B103"/>
    <mergeCell ref="C101:C103"/>
    <mergeCell ref="D101:F101"/>
    <mergeCell ref="G101:I101"/>
    <mergeCell ref="J101:J102"/>
    <mergeCell ref="A1:K1"/>
    <mergeCell ref="A2:K2"/>
    <mergeCell ref="A3:K3"/>
    <mergeCell ref="A5:A7"/>
    <mergeCell ref="B5:B7"/>
    <mergeCell ref="C5:C7"/>
    <mergeCell ref="D5:F5"/>
    <mergeCell ref="G5:I5"/>
    <mergeCell ref="J5:J6"/>
  </mergeCells>
  <printOptions horizontalCentered="1"/>
  <pageMargins left="0" right="0" top="0.75" bottom="0.75" header="0.3" footer="0.3"/>
  <pageSetup paperSize="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50"/>
  <sheetViews>
    <sheetView topLeftCell="A328" workbookViewId="0">
      <selection activeCell="N342" sqref="N342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553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859" t="s">
        <v>1</v>
      </c>
      <c r="B4" s="859"/>
      <c r="C4" s="859"/>
      <c r="D4" s="859"/>
      <c r="E4" s="860"/>
      <c r="F4" s="860"/>
      <c r="G4" s="47"/>
      <c r="H4" s="860"/>
      <c r="I4" s="860"/>
      <c r="J4" s="859"/>
      <c r="K4" s="859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C11+C16+C21+C29+C40+C45+C53+C55+C58+C63+C65+C69+C73+C77+C80+C86+C90+C92</f>
        <v>14557351544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/>
      <c r="H12" s="161"/>
      <c r="I12" s="161"/>
      <c r="J12" s="6">
        <f>G12-C12</f>
        <v>-1150000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0</v>
      </c>
      <c r="F13" s="134">
        <f>(D13*E13)/100</f>
        <v>0</v>
      </c>
      <c r="G13" s="6">
        <v>0</v>
      </c>
      <c r="H13" s="134">
        <f>G13/C13*100</f>
        <v>0</v>
      </c>
      <c r="I13" s="134">
        <f>(D13*H13)/100</f>
        <v>0</v>
      </c>
      <c r="J13" s="6">
        <f t="shared" ref="J13:J15" si="0">G13-C13</f>
        <v>-4430000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v>0</v>
      </c>
      <c r="H14" s="134"/>
      <c r="I14" s="134"/>
      <c r="J14" s="6">
        <f t="shared" si="0"/>
        <v>-4320000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v>0</v>
      </c>
      <c r="H15" s="134"/>
      <c r="I15" s="134"/>
      <c r="J15" s="6">
        <f t="shared" si="0"/>
        <v>-20100000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v>0</v>
      </c>
      <c r="H18" s="134"/>
      <c r="I18" s="134"/>
      <c r="J18" s="6">
        <f t="shared" si="1"/>
        <v>-4720000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v>0</v>
      </c>
      <c r="H19" s="134"/>
      <c r="I19" s="134"/>
      <c r="J19" s="6">
        <f t="shared" si="1"/>
        <v>-5730000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v>0</v>
      </c>
      <c r="H20" s="134"/>
      <c r="I20" s="134"/>
      <c r="J20" s="6">
        <f t="shared" si="1"/>
        <v>-9380000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0</v>
      </c>
      <c r="F24" s="134">
        <f t="shared" ref="F24:F26" si="3">(D24*E24)/100</f>
        <v>0</v>
      </c>
      <c r="G24" s="6">
        <v>0</v>
      </c>
      <c r="H24" s="134">
        <f t="shared" ref="H24:H26" si="4">G24/C24*100</f>
        <v>0</v>
      </c>
      <c r="I24" s="134">
        <f t="shared" ref="I24:I26" si="5">(D24*H24)/100</f>
        <v>0</v>
      </c>
      <c r="J24" s="6">
        <f t="shared" si="2"/>
        <v>-5459000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0</v>
      </c>
      <c r="F25" s="134">
        <f t="shared" si="3"/>
        <v>0</v>
      </c>
      <c r="G25" s="6">
        <v>0</v>
      </c>
      <c r="H25" s="134">
        <f t="shared" si="4"/>
        <v>0</v>
      </c>
      <c r="I25" s="134">
        <f t="shared" si="5"/>
        <v>0</v>
      </c>
      <c r="J25" s="6">
        <f t="shared" si="2"/>
        <v>-9661000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0</v>
      </c>
      <c r="F26" s="134">
        <f t="shared" si="3"/>
        <v>0</v>
      </c>
      <c r="G26" s="6">
        <v>0</v>
      </c>
      <c r="H26" s="134">
        <f t="shared" si="4"/>
        <v>0</v>
      </c>
      <c r="I26" s="134">
        <f t="shared" si="5"/>
        <v>0</v>
      </c>
      <c r="J26" s="6">
        <f t="shared" si="2"/>
        <v>-14400000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v>0</v>
      </c>
      <c r="H27" s="134"/>
      <c r="I27" s="134"/>
      <c r="J27" s="6">
        <f t="shared" si="2"/>
        <v>-18000000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4245540345</v>
      </c>
      <c r="D30" s="200">
        <f>C30/C29*100</f>
        <v>36.245950350934478</v>
      </c>
      <c r="E30" s="134">
        <f>G30/C30*100</f>
        <v>46.154443033563965</v>
      </c>
      <c r="F30" s="134">
        <f t="shared" ref="F30:F38" si="6">(D30*E30)/100</f>
        <v>16.729116506695931</v>
      </c>
      <c r="G30" s="6">
        <f>1959505500</f>
        <v>1959505500</v>
      </c>
      <c r="H30" s="134">
        <f>G30/C30*100</f>
        <v>46.154443033563965</v>
      </c>
      <c r="I30" s="134">
        <f t="shared" ref="I30:I38" si="7">(D30*H30)/100</f>
        <v>16.729116506695931</v>
      </c>
      <c r="J30" s="6">
        <f t="shared" ref="J30:J39" si="8">G30-C30</f>
        <v>-2286034845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9" si="9">G31/C31*100</f>
        <v>26.571347133270422</v>
      </c>
      <c r="F31" s="134">
        <f t="shared" si="6"/>
        <v>1.5989100843256585</v>
      </c>
      <c r="G31" s="6">
        <f>187282640</f>
        <v>187282640</v>
      </c>
      <c r="H31" s="134">
        <f t="shared" ref="H31:H39" si="10">G31/C31*100</f>
        <v>26.571347133270422</v>
      </c>
      <c r="I31" s="134">
        <f t="shared" si="7"/>
        <v>1.5989100843256585</v>
      </c>
      <c r="J31" s="6">
        <f t="shared" si="8"/>
        <v>-517546660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34.849854783767618</v>
      </c>
      <c r="F32" s="134">
        <f t="shared" si="6"/>
        <v>1.1662112276871202</v>
      </c>
      <c r="G32" s="6">
        <f>136600000</f>
        <v>136600000</v>
      </c>
      <c r="H32" s="134">
        <f t="shared" si="10"/>
        <v>34.849854783767618</v>
      </c>
      <c r="I32" s="134">
        <f t="shared" si="7"/>
        <v>1.1662112276871202</v>
      </c>
      <c r="J32" s="6">
        <f t="shared" si="8"/>
        <v>-255367200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17.104072398190045</v>
      </c>
      <c r="F33" s="134">
        <f t="shared" si="6"/>
        <v>6.4542876144323774E-2</v>
      </c>
      <c r="G33" s="6">
        <f>7560000</f>
        <v>7560000</v>
      </c>
      <c r="H33" s="134">
        <f t="shared" si="10"/>
        <v>17.104072398190045</v>
      </c>
      <c r="I33" s="134">
        <f t="shared" si="7"/>
        <v>6.4542876144323774E-2</v>
      </c>
      <c r="J33" s="6">
        <f t="shared" si="8"/>
        <v>-36640000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43.426976456597615</v>
      </c>
      <c r="F34" s="134">
        <f t="shared" si="6"/>
        <v>0.42213260726932406</v>
      </c>
      <c r="G34" s="6">
        <f>49445000</f>
        <v>49445000</v>
      </c>
      <c r="H34" s="134">
        <f>G34/C34*100</f>
        <v>43.426976456597615</v>
      </c>
      <c r="I34" s="134">
        <f t="shared" si="7"/>
        <v>0.42213260726932406</v>
      </c>
      <c r="J34" s="6">
        <f t="shared" si="8"/>
        <v>-64412800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43.12169312169312</v>
      </c>
      <c r="F35" s="134">
        <f t="shared" si="6"/>
        <v>1.0077960313897147</v>
      </c>
      <c r="G35" s="6">
        <f>118044600</f>
        <v>118044600</v>
      </c>
      <c r="H35" s="134">
        <f t="shared" si="10"/>
        <v>43.12169312169312</v>
      </c>
      <c r="I35" s="134">
        <f t="shared" si="7"/>
        <v>1.0077960313897147</v>
      </c>
      <c r="J35" s="6">
        <f t="shared" si="8"/>
        <v>-155703000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23.932133333333333</v>
      </c>
      <c r="F36" s="134">
        <f t="shared" si="6"/>
        <v>3.0647792015928096E-2</v>
      </c>
      <c r="G36" s="6">
        <f>3589820</f>
        <v>3589820</v>
      </c>
      <c r="H36" s="134">
        <f t="shared" si="10"/>
        <v>23.932133333333333</v>
      </c>
      <c r="I36" s="134">
        <f t="shared" si="7"/>
        <v>3.0647792015928096E-2</v>
      </c>
      <c r="J36" s="6">
        <f t="shared" si="8"/>
        <v>-11410180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4.4306136680613664</v>
      </c>
      <c r="F37" s="134">
        <f t="shared" si="6"/>
        <v>2.1696992782167256E-4</v>
      </c>
      <c r="G37" s="6">
        <f>25414</f>
        <v>25414</v>
      </c>
      <c r="H37" s="134">
        <f>G37/C37*100</f>
        <v>4.4306136680613664</v>
      </c>
      <c r="I37" s="134">
        <f t="shared" si="7"/>
        <v>2.1696992782167256E-4</v>
      </c>
      <c r="J37" s="6">
        <f t="shared" si="8"/>
        <v>-548186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5647177786</v>
      </c>
      <c r="D38" s="200">
        <f>C38/C29*100</f>
        <v>48.212314339520454</v>
      </c>
      <c r="E38" s="134">
        <f t="shared" si="9"/>
        <v>34.220101566322455</v>
      </c>
      <c r="F38" s="134">
        <f t="shared" si="6"/>
        <v>16.498302934458547</v>
      </c>
      <c r="G38" s="6">
        <f>1932469974</f>
        <v>1932469974</v>
      </c>
      <c r="H38" s="134">
        <f t="shared" si="10"/>
        <v>34.220101566322455</v>
      </c>
      <c r="I38" s="134">
        <f t="shared" si="7"/>
        <v>16.498302934458547</v>
      </c>
      <c r="J38" s="6">
        <f t="shared" si="8"/>
        <v>-3714707812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276250331</v>
      </c>
      <c r="D39" s="200"/>
      <c r="E39" s="134">
        <f t="shared" si="9"/>
        <v>37.500000316741698</v>
      </c>
      <c r="F39" s="134"/>
      <c r="G39" s="6">
        <f>103593875</f>
        <v>103593875</v>
      </c>
      <c r="H39" s="134">
        <f t="shared" si="10"/>
        <v>37.500000316741698</v>
      </c>
      <c r="I39" s="134"/>
      <c r="J39" s="6">
        <f t="shared" si="8"/>
        <v>-172656456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1853928000</v>
      </c>
      <c r="D40" s="241"/>
      <c r="E40" s="242"/>
      <c r="F40" s="242"/>
      <c r="G40" s="791">
        <v>0</v>
      </c>
      <c r="H40" s="242"/>
      <c r="I40" s="242"/>
      <c r="J40" s="791">
        <v>0</v>
      </c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1723250000</v>
      </c>
      <c r="D41" s="200">
        <f>C41/C40*100</f>
        <v>92.95129044925153</v>
      </c>
      <c r="E41" s="134">
        <f>G41/C41*100</f>
        <v>40.425068910488903</v>
      </c>
      <c r="F41" s="134">
        <f t="shared" ref="F41:F44" si="11">(D41*E41)/100</f>
        <v>37.57562321729862</v>
      </c>
      <c r="G41" s="6">
        <f>696625000</f>
        <v>696625000</v>
      </c>
      <c r="H41" s="134">
        <f t="shared" ref="H41:H44" si="12">G41/C41*100</f>
        <v>40.425068910488903</v>
      </c>
      <c r="I41" s="134">
        <f t="shared" ref="I41:I44" si="13">(D41*H41)/100</f>
        <v>37.57562321729862</v>
      </c>
      <c r="J41" s="6">
        <f t="shared" ref="J41:J44" si="14">G41-C41</f>
        <v>-1026625000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122730550</v>
      </c>
      <c r="D42" s="200">
        <f>C42/C40*100</f>
        <v>6.6200278543719069</v>
      </c>
      <c r="E42" s="134">
        <f t="shared" ref="E42:E44" si="15">G42/C42*100</f>
        <v>54.511263088122718</v>
      </c>
      <c r="F42" s="134">
        <f t="shared" si="11"/>
        <v>3.6086608002036757</v>
      </c>
      <c r="G42" s="6">
        <f>66901973</f>
        <v>66901973</v>
      </c>
      <c r="H42" s="134">
        <f t="shared" si="12"/>
        <v>54.511263088122718</v>
      </c>
      <c r="I42" s="134">
        <f t="shared" si="13"/>
        <v>3.6086608002036757</v>
      </c>
      <c r="J42" s="6">
        <f t="shared" si="14"/>
        <v>-55828577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3532200</v>
      </c>
      <c r="D43" s="200">
        <f>C43/C40*100</f>
        <v>0.19052519838958148</v>
      </c>
      <c r="E43" s="134">
        <f t="shared" si="15"/>
        <v>82.791319857312729</v>
      </c>
      <c r="F43" s="134">
        <f t="shared" si="11"/>
        <v>0.15773832640749805</v>
      </c>
      <c r="G43" s="6">
        <f>2924355</f>
        <v>2924355</v>
      </c>
      <c r="H43" s="134">
        <f t="shared" si="12"/>
        <v>82.791319857312729</v>
      </c>
      <c r="I43" s="134">
        <f t="shared" si="13"/>
        <v>0.15773832640749805</v>
      </c>
      <c r="J43" s="6">
        <f t="shared" si="14"/>
        <v>-607845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4415250</v>
      </c>
      <c r="D44" s="200">
        <f>C44/C40*100</f>
        <v>0.23815649798697683</v>
      </c>
      <c r="E44" s="134">
        <f t="shared" si="15"/>
        <v>82.791574656021737</v>
      </c>
      <c r="F44" s="134">
        <f t="shared" si="11"/>
        <v>0.19717351482905482</v>
      </c>
      <c r="G44" s="6">
        <f>3655455</f>
        <v>3655455</v>
      </c>
      <c r="H44" s="134">
        <f t="shared" si="12"/>
        <v>82.791574656021737</v>
      </c>
      <c r="I44" s="134">
        <f t="shared" si="13"/>
        <v>0.19717351482905482</v>
      </c>
      <c r="J44" s="6">
        <f t="shared" si="14"/>
        <v>-759795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</v>
      </c>
      <c r="D47" s="741"/>
      <c r="E47" s="742"/>
      <c r="F47" s="742"/>
      <c r="G47" s="6">
        <v>0</v>
      </c>
      <c r="H47" s="742"/>
      <c r="I47" s="742"/>
      <c r="J47" s="6">
        <f t="shared" si="16"/>
        <v>-170000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8775400</v>
      </c>
      <c r="D48" s="200">
        <f>C48/C45*100</f>
        <v>17.550799999999999</v>
      </c>
      <c r="E48" s="134">
        <f t="shared" ref="E48:E50" si="17">G48/C48*100</f>
        <v>55.287223374433069</v>
      </c>
      <c r="F48" s="134">
        <f t="shared" ref="F48:F50" si="18">(D48*E48)/100</f>
        <v>9.7033499999999986</v>
      </c>
      <c r="G48" s="6">
        <f>4851675</f>
        <v>4851675</v>
      </c>
      <c r="H48" s="134">
        <f t="shared" ref="H48:H50" si="19">G48/C48*100</f>
        <v>55.287223374433069</v>
      </c>
      <c r="I48" s="134">
        <f t="shared" ref="I48:I50" si="20">(D48*H48)/100</f>
        <v>9.7033499999999986</v>
      </c>
      <c r="J48" s="6">
        <f t="shared" si="16"/>
        <v>-3923725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0</v>
      </c>
      <c r="F49" s="134">
        <f t="shared" si="18"/>
        <v>0</v>
      </c>
      <c r="G49" s="6">
        <v>0</v>
      </c>
      <c r="H49" s="134">
        <f t="shared" si="19"/>
        <v>0</v>
      </c>
      <c r="I49" s="134">
        <f t="shared" si="20"/>
        <v>0</v>
      </c>
      <c r="J49" s="6">
        <f t="shared" si="16"/>
        <v>-4124600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14520000</v>
      </c>
      <c r="D50" s="200">
        <f>C50/C45*100</f>
        <v>29.04</v>
      </c>
      <c r="E50" s="134">
        <f t="shared" si="17"/>
        <v>34.380165289256198</v>
      </c>
      <c r="F50" s="134">
        <f t="shared" si="18"/>
        <v>9.984</v>
      </c>
      <c r="G50" s="6">
        <f>4992000</f>
        <v>4992000</v>
      </c>
      <c r="H50" s="134">
        <f t="shared" si="19"/>
        <v>34.380165289256198</v>
      </c>
      <c r="I50" s="134">
        <f t="shared" si="20"/>
        <v>9.984</v>
      </c>
      <c r="J50" s="6">
        <f t="shared" si="16"/>
        <v>-9528000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v>0</v>
      </c>
      <c r="H51" s="134"/>
      <c r="I51" s="134"/>
      <c r="J51" s="6">
        <f t="shared" si="16"/>
        <v>-20100000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20.149890550217044</v>
      </c>
      <c r="F54" s="134">
        <f t="shared" ref="F54:F57" si="21">(D54*E54)/100</f>
        <v>20.149890550217044</v>
      </c>
      <c r="G54" s="6">
        <f>2715500</f>
        <v>2715500</v>
      </c>
      <c r="H54" s="134">
        <f>G54/C54*100</f>
        <v>20.149890550217044</v>
      </c>
      <c r="I54" s="134">
        <f>(D54*H54)/100</f>
        <v>20.149890550217044</v>
      </c>
      <c r="J54" s="6">
        <f>G54-C54</f>
        <v>-10761000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SUM(C56:C57)</f>
        <v>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2.5342874180083479</v>
      </c>
      <c r="E56" s="134">
        <f t="shared" ref="E56:E57" si="22">G56/C56*100</f>
        <v>0</v>
      </c>
      <c r="F56" s="134">
        <f t="shared" si="21"/>
        <v>0</v>
      </c>
      <c r="G56" s="6">
        <v>0</v>
      </c>
      <c r="H56" s="134">
        <f t="shared" ref="H56:H58" si="23">G56/C56*100</f>
        <v>0</v>
      </c>
      <c r="I56" s="134">
        <f t="shared" ref="I56:I57" si="24">(D56*H56)/100</f>
        <v>0</v>
      </c>
      <c r="J56" s="6">
        <f t="shared" ref="J56:J57" si="25">G56-C56</f>
        <v>-170000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6538000</v>
      </c>
      <c r="D57" s="200">
        <f>C57/C55*100</f>
        <v>97.465712581991653</v>
      </c>
      <c r="E57" s="134">
        <f t="shared" si="22"/>
        <v>24.602324869990824</v>
      </c>
      <c r="F57" s="134">
        <f t="shared" si="21"/>
        <v>23.978831246273106</v>
      </c>
      <c r="G57" s="6">
        <f>1608500</f>
        <v>1608500</v>
      </c>
      <c r="H57" s="134">
        <f t="shared" si="23"/>
        <v>24.602324869990824</v>
      </c>
      <c r="I57" s="134">
        <f t="shared" si="24"/>
        <v>23.978831246273106</v>
      </c>
      <c r="J57" s="6">
        <f t="shared" si="25"/>
        <v>-4929500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238" t="s">
        <v>503</v>
      </c>
      <c r="B58" s="238" t="s">
        <v>61</v>
      </c>
      <c r="C58" s="239">
        <f>SUM(C59:C62)</f>
        <v>62599600</v>
      </c>
      <c r="D58" s="241"/>
      <c r="E58" s="242"/>
      <c r="F58" s="242"/>
      <c r="G58" s="791">
        <v>0</v>
      </c>
      <c r="H58" s="242">
        <f t="shared" si="23"/>
        <v>0</v>
      </c>
      <c r="I58" s="242"/>
      <c r="J58" s="791">
        <v>0</v>
      </c>
      <c r="K58" s="237"/>
      <c r="L58" s="4"/>
      <c r="M58" s="4"/>
      <c r="N58" s="4"/>
      <c r="O58" s="4"/>
      <c r="P58" s="4"/>
      <c r="Q58" s="4"/>
      <c r="R58" s="9"/>
    </row>
    <row r="59" spans="1:18" ht="22.5" customHeight="1" x14ac:dyDescent="0.25">
      <c r="A59" s="49" t="s">
        <v>450</v>
      </c>
      <c r="B59" s="707" t="s">
        <v>384</v>
      </c>
      <c r="C59" s="56">
        <v>3090000</v>
      </c>
      <c r="D59" s="200">
        <f>C59/C58*100</f>
        <v>4.9361337772126337</v>
      </c>
      <c r="E59" s="134">
        <f>G59/C59*100</f>
        <v>100</v>
      </c>
      <c r="F59" s="134">
        <f t="shared" ref="F59:F71" si="26">(D59*E59)/100</f>
        <v>4.9361337772126337</v>
      </c>
      <c r="G59" s="6">
        <f>3090000</f>
        <v>3090000</v>
      </c>
      <c r="H59" s="134">
        <f>G59/C59*100</f>
        <v>100</v>
      </c>
      <c r="I59" s="134">
        <f>(D59*H59)/100</f>
        <v>4.9361337772126337</v>
      </c>
      <c r="J59" s="6">
        <f t="shared" ref="J59:J62" si="27">G59-C59</f>
        <v>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448</v>
      </c>
      <c r="B60" s="707" t="s">
        <v>445</v>
      </c>
      <c r="C60" s="56">
        <v>170000</v>
      </c>
      <c r="D60" s="200"/>
      <c r="E60" s="134"/>
      <c r="F60" s="134"/>
      <c r="G60" s="6">
        <v>0</v>
      </c>
      <c r="H60" s="134"/>
      <c r="I60" s="134"/>
      <c r="J60" s="6">
        <f t="shared" si="27"/>
        <v>-170000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415</v>
      </c>
      <c r="B61" s="707" t="s">
        <v>197</v>
      </c>
      <c r="C61" s="56">
        <v>7993000</v>
      </c>
      <c r="D61" s="200"/>
      <c r="E61" s="134"/>
      <c r="F61" s="134"/>
      <c r="G61" s="6">
        <f>4891500+302500</f>
        <v>5194000</v>
      </c>
      <c r="H61" s="134"/>
      <c r="I61" s="134"/>
      <c r="J61" s="6">
        <f t="shared" si="27"/>
        <v>-2799000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413</v>
      </c>
      <c r="B62" s="707" t="s">
        <v>334</v>
      </c>
      <c r="C62" s="56">
        <v>51346600</v>
      </c>
      <c r="D62" s="200"/>
      <c r="E62" s="134"/>
      <c r="F62" s="134"/>
      <c r="G62" s="6">
        <f>7200000+9495800</f>
        <v>16695800</v>
      </c>
      <c r="H62" s="134"/>
      <c r="I62" s="134"/>
      <c r="J62" s="6">
        <f t="shared" si="27"/>
        <v>-34650800</v>
      </c>
      <c r="K62" s="163"/>
      <c r="L62" s="4"/>
      <c r="M62" s="4"/>
      <c r="N62" s="4"/>
      <c r="O62" s="4"/>
      <c r="P62" s="4"/>
      <c r="Q62" s="4"/>
      <c r="R62" s="9"/>
    </row>
    <row r="63" spans="1:18" s="796" customFormat="1" x14ac:dyDescent="0.25">
      <c r="A63" s="799" t="s">
        <v>468</v>
      </c>
      <c r="B63" s="736" t="s">
        <v>467</v>
      </c>
      <c r="C63" s="800">
        <v>3000000</v>
      </c>
      <c r="D63" s="789"/>
      <c r="E63" s="790"/>
      <c r="F63" s="790"/>
      <c r="G63" s="791">
        <v>0</v>
      </c>
      <c r="H63" s="790"/>
      <c r="I63" s="790"/>
      <c r="J63" s="791">
        <v>0</v>
      </c>
      <c r="K63" s="793"/>
      <c r="L63" s="794"/>
      <c r="M63" s="794"/>
      <c r="N63" s="794"/>
      <c r="O63" s="794"/>
      <c r="P63" s="794"/>
      <c r="Q63" s="794"/>
      <c r="R63" s="795"/>
    </row>
    <row r="64" spans="1:18" x14ac:dyDescent="0.25">
      <c r="A64" s="49" t="s">
        <v>413</v>
      </c>
      <c r="B64" s="707" t="s">
        <v>334</v>
      </c>
      <c r="C64" s="56">
        <v>3000000</v>
      </c>
      <c r="D64" s="200"/>
      <c r="E64" s="134"/>
      <c r="F64" s="134"/>
      <c r="G64" s="6">
        <v>0</v>
      </c>
      <c r="H64" s="134"/>
      <c r="I64" s="134"/>
      <c r="J64" s="6">
        <f>G64-C64</f>
        <v>-3000000</v>
      </c>
      <c r="K64" s="163"/>
      <c r="L64" s="4"/>
      <c r="M64" s="4"/>
      <c r="N64" s="4"/>
      <c r="O64" s="4"/>
      <c r="P64" s="4"/>
      <c r="Q64" s="4"/>
      <c r="R64" s="9"/>
    </row>
    <row r="65" spans="1:18" s="796" customFormat="1" x14ac:dyDescent="0.25">
      <c r="A65" s="799" t="s">
        <v>469</v>
      </c>
      <c r="B65" s="736" t="s">
        <v>470</v>
      </c>
      <c r="C65" s="800">
        <f>SUM(C66:C68)</f>
        <v>12000000</v>
      </c>
      <c r="D65" s="789"/>
      <c r="E65" s="790"/>
      <c r="F65" s="790"/>
      <c r="G65" s="791">
        <v>0</v>
      </c>
      <c r="H65" s="790"/>
      <c r="I65" s="790"/>
      <c r="J65" s="791">
        <v>0</v>
      </c>
      <c r="K65" s="793"/>
      <c r="L65" s="794"/>
      <c r="M65" s="794"/>
      <c r="N65" s="794"/>
      <c r="O65" s="794"/>
      <c r="P65" s="794"/>
      <c r="Q65" s="794"/>
      <c r="R65" s="795"/>
    </row>
    <row r="66" spans="1:18" x14ac:dyDescent="0.25">
      <c r="A66" s="49" t="s">
        <v>448</v>
      </c>
      <c r="B66" s="707" t="s">
        <v>445</v>
      </c>
      <c r="C66" s="56">
        <v>170000</v>
      </c>
      <c r="D66" s="200"/>
      <c r="E66" s="134"/>
      <c r="F66" s="134"/>
      <c r="G66" s="6">
        <v>0</v>
      </c>
      <c r="H66" s="134"/>
      <c r="I66" s="134"/>
      <c r="J66" s="6">
        <f t="shared" ref="J66:J68" si="28">G66-C66</f>
        <v>-170000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413</v>
      </c>
      <c r="B67" s="707" t="s">
        <v>334</v>
      </c>
      <c r="C67" s="56">
        <v>820000</v>
      </c>
      <c r="D67" s="200"/>
      <c r="E67" s="134"/>
      <c r="F67" s="134"/>
      <c r="G67" s="6">
        <v>0</v>
      </c>
      <c r="H67" s="134"/>
      <c r="I67" s="134"/>
      <c r="J67" s="6">
        <f t="shared" si="28"/>
        <v>-820000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391</v>
      </c>
      <c r="B68" s="218" t="s">
        <v>198</v>
      </c>
      <c r="C68" s="56">
        <v>11010000</v>
      </c>
      <c r="D68" s="200"/>
      <c r="E68" s="134"/>
      <c r="F68" s="134"/>
      <c r="G68" s="6">
        <v>0</v>
      </c>
      <c r="H68" s="134"/>
      <c r="I68" s="134"/>
      <c r="J68" s="6">
        <f t="shared" si="28"/>
        <v>-11010000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238" t="s">
        <v>504</v>
      </c>
      <c r="B69" s="238" t="s">
        <v>64</v>
      </c>
      <c r="C69" s="239">
        <f>SUM(C70:C71)</f>
        <v>148714000</v>
      </c>
      <c r="D69" s="241"/>
      <c r="E69" s="242"/>
      <c r="F69" s="242"/>
      <c r="G69" s="791">
        <v>0</v>
      </c>
      <c r="H69" s="242"/>
      <c r="I69" s="242"/>
      <c r="J69" s="791">
        <v>0</v>
      </c>
      <c r="K69" s="237"/>
      <c r="L69" s="4"/>
      <c r="M69" s="4"/>
      <c r="N69" s="4"/>
      <c r="O69" s="4"/>
      <c r="P69" s="4"/>
      <c r="Q69" s="4"/>
      <c r="R69" s="9"/>
    </row>
    <row r="70" spans="1:18" ht="21" customHeight="1" x14ac:dyDescent="0.25">
      <c r="A70" s="49" t="s">
        <v>450</v>
      </c>
      <c r="B70" s="707" t="s">
        <v>384</v>
      </c>
      <c r="C70" s="56">
        <v>3480000</v>
      </c>
      <c r="D70" s="200">
        <f>C70/C69*100</f>
        <v>2.3400621326842126</v>
      </c>
      <c r="E70" s="134">
        <f t="shared" ref="E70:E71" si="29">G70/C70*100</f>
        <v>0</v>
      </c>
      <c r="F70" s="134">
        <f t="shared" si="26"/>
        <v>0</v>
      </c>
      <c r="G70" s="6">
        <v>0</v>
      </c>
      <c r="H70" s="134">
        <f t="shared" ref="H70:H71" si="30">G70/C70*100</f>
        <v>0</v>
      </c>
      <c r="I70" s="134">
        <f t="shared" ref="I70:I71" si="31">(D70*H70)/100</f>
        <v>0</v>
      </c>
      <c r="J70" s="6">
        <f t="shared" ref="J70:J71" si="32">G70-C70</f>
        <v>-3480000</v>
      </c>
      <c r="K70" s="163"/>
      <c r="L70" s="4"/>
      <c r="M70" s="4"/>
      <c r="N70" s="4"/>
      <c r="O70" s="4"/>
      <c r="P70" s="4"/>
      <c r="Q70" s="4"/>
      <c r="R70" s="9"/>
    </row>
    <row r="71" spans="1:18" ht="15.75" thickBot="1" x14ac:dyDescent="0.3">
      <c r="A71" s="217" t="s">
        <v>449</v>
      </c>
      <c r="B71" s="78" t="s">
        <v>23</v>
      </c>
      <c r="C71" s="219">
        <v>145234000</v>
      </c>
      <c r="D71" s="200">
        <f>C71/C69*100</f>
        <v>97.659937867315776</v>
      </c>
      <c r="E71" s="134">
        <f t="shared" si="29"/>
        <v>45.732215596898797</v>
      </c>
      <c r="F71" s="134">
        <f t="shared" si="26"/>
        <v>44.662053337278259</v>
      </c>
      <c r="G71" s="6">
        <f>51608336+14810390</f>
        <v>66418726</v>
      </c>
      <c r="H71" s="134">
        <f t="shared" si="30"/>
        <v>45.732215596898797</v>
      </c>
      <c r="I71" s="134">
        <f t="shared" si="31"/>
        <v>44.662053337278259</v>
      </c>
      <c r="J71" s="6">
        <f t="shared" si="32"/>
        <v>-78815274</v>
      </c>
      <c r="K71" s="163"/>
      <c r="L71" s="4"/>
      <c r="M71" s="4"/>
      <c r="N71" s="4"/>
      <c r="O71" s="694"/>
      <c r="P71" s="4"/>
      <c r="Q71" s="4"/>
      <c r="R71" s="9"/>
    </row>
    <row r="72" spans="1:18" ht="15.75" thickBot="1" x14ac:dyDescent="0.3">
      <c r="A72" s="689" t="s">
        <v>248</v>
      </c>
      <c r="B72" s="708" t="s">
        <v>68</v>
      </c>
      <c r="C72" s="690"/>
      <c r="D72" s="216"/>
      <c r="E72" s="134"/>
      <c r="F72" s="134"/>
      <c r="G72" s="6">
        <v>0</v>
      </c>
      <c r="H72" s="134"/>
      <c r="I72" s="134"/>
      <c r="J72" s="6">
        <v>0</v>
      </c>
      <c r="K72" s="163"/>
      <c r="L72" s="4"/>
      <c r="M72" s="4"/>
      <c r="N72" s="4"/>
      <c r="O72" s="4"/>
      <c r="P72" s="4"/>
      <c r="Q72" s="4"/>
      <c r="R72" s="9"/>
    </row>
    <row r="73" spans="1:18" x14ac:dyDescent="0.25">
      <c r="A73" s="233" t="s">
        <v>249</v>
      </c>
      <c r="B73" s="696" t="s">
        <v>387</v>
      </c>
      <c r="C73" s="234">
        <f>SUM(C74:C76)</f>
        <v>237367500</v>
      </c>
      <c r="D73" s="241"/>
      <c r="E73" s="242"/>
      <c r="F73" s="242"/>
      <c r="G73" s="791">
        <v>0</v>
      </c>
      <c r="H73" s="242"/>
      <c r="I73" s="242"/>
      <c r="J73" s="791">
        <v>0</v>
      </c>
      <c r="K73" s="237"/>
      <c r="L73" s="4"/>
      <c r="M73" s="4"/>
      <c r="N73" s="4"/>
      <c r="O73" s="713"/>
      <c r="P73" s="4"/>
      <c r="Q73" s="4"/>
      <c r="R73" s="9"/>
    </row>
    <row r="74" spans="1:18" x14ac:dyDescent="0.25">
      <c r="A74" s="49" t="s">
        <v>471</v>
      </c>
      <c r="B74" s="78" t="s">
        <v>388</v>
      </c>
      <c r="C74" s="56">
        <v>54000000</v>
      </c>
      <c r="D74" s="200">
        <f>C74/C73*100</f>
        <v>22.749533950519762</v>
      </c>
      <c r="E74" s="134">
        <f t="shared" ref="E74:E76" si="33">G74/C74*100</f>
        <v>33.006087037037034</v>
      </c>
      <c r="F74" s="134">
        <f t="shared" ref="F74:F76" si="34">(D74*E74)/100</f>
        <v>7.5087309762288417</v>
      </c>
      <c r="G74" s="6">
        <f>17823287</f>
        <v>17823287</v>
      </c>
      <c r="H74" s="134">
        <f t="shared" ref="H74:H78" si="35">G74/C74*100</f>
        <v>33.006087037037034</v>
      </c>
      <c r="I74" s="134">
        <f t="shared" ref="I74:I76" si="36">(D74*H74)/100</f>
        <v>7.5087309762288417</v>
      </c>
      <c r="J74" s="6">
        <f t="shared" ref="J74:J76" si="37">G74-C74</f>
        <v>-36176713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472</v>
      </c>
      <c r="B75" s="78" t="s">
        <v>73</v>
      </c>
      <c r="C75" s="56">
        <v>39000000</v>
      </c>
      <c r="D75" s="200">
        <f>C75/C73*100</f>
        <v>16.430218964264274</v>
      </c>
      <c r="E75" s="134">
        <f t="shared" si="33"/>
        <v>25.274510256410252</v>
      </c>
      <c r="F75" s="134">
        <f t="shared" si="34"/>
        <v>4.1526573772736359</v>
      </c>
      <c r="G75" s="6">
        <f>9857059</f>
        <v>9857059</v>
      </c>
      <c r="H75" s="134">
        <f t="shared" si="35"/>
        <v>25.274510256410252</v>
      </c>
      <c r="I75" s="134">
        <f t="shared" si="36"/>
        <v>4.1526573772736359</v>
      </c>
      <c r="J75" s="6">
        <f t="shared" si="37"/>
        <v>-29142941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473</v>
      </c>
      <c r="B76" s="78" t="s">
        <v>75</v>
      </c>
      <c r="C76" s="56">
        <v>144367500</v>
      </c>
      <c r="D76" s="200">
        <f>C76/C73*100</f>
        <v>60.820247085215961</v>
      </c>
      <c r="E76" s="134">
        <f t="shared" si="33"/>
        <v>39.7993031672641</v>
      </c>
      <c r="F76" s="134">
        <f t="shared" si="34"/>
        <v>24.206034524524206</v>
      </c>
      <c r="G76" s="6">
        <f>57457259</f>
        <v>57457259</v>
      </c>
      <c r="H76" s="134">
        <f t="shared" si="35"/>
        <v>39.7993031672641</v>
      </c>
      <c r="I76" s="134">
        <f t="shared" si="36"/>
        <v>24.206034524524206</v>
      </c>
      <c r="J76" s="6">
        <f t="shared" si="37"/>
        <v>-86910241</v>
      </c>
      <c r="K76" s="163"/>
      <c r="L76" s="4"/>
      <c r="M76" s="4"/>
      <c r="N76" s="4"/>
      <c r="O76" s="4"/>
      <c r="P76" s="4"/>
      <c r="Q76" s="4"/>
      <c r="R76" s="9"/>
    </row>
    <row r="77" spans="1:18" x14ac:dyDescent="0.25">
      <c r="A77" s="238" t="s">
        <v>505</v>
      </c>
      <c r="B77" s="238" t="s">
        <v>76</v>
      </c>
      <c r="C77" s="239">
        <f>SUM(C78:C78)</f>
        <v>20000000</v>
      </c>
      <c r="D77" s="241"/>
      <c r="E77" s="242"/>
      <c r="F77" s="242"/>
      <c r="G77" s="791">
        <v>0</v>
      </c>
      <c r="H77" s="242"/>
      <c r="I77" s="242"/>
      <c r="J77" s="791">
        <v>0</v>
      </c>
      <c r="K77" s="237"/>
      <c r="L77" s="4"/>
      <c r="M77" s="4"/>
      <c r="N77" s="4"/>
      <c r="O77" s="4"/>
      <c r="P77" s="4"/>
      <c r="Q77" s="4"/>
      <c r="R77" s="9"/>
    </row>
    <row r="78" spans="1:18" ht="14.25" customHeight="1" thickBot="1" x14ac:dyDescent="0.3">
      <c r="A78" s="49" t="s">
        <v>450</v>
      </c>
      <c r="B78" s="707" t="s">
        <v>384</v>
      </c>
      <c r="C78" s="56">
        <v>20000000</v>
      </c>
      <c r="D78" s="200">
        <f>C78/C77*100</f>
        <v>100</v>
      </c>
      <c r="E78" s="134">
        <f t="shared" ref="E78" si="38">G78/C78*100</f>
        <v>0</v>
      </c>
      <c r="F78" s="134">
        <f t="shared" ref="F78" si="39">(D78*E78)/100</f>
        <v>0</v>
      </c>
      <c r="G78" s="6">
        <v>0</v>
      </c>
      <c r="H78" s="134">
        <f t="shared" si="35"/>
        <v>0</v>
      </c>
      <c r="I78" s="134">
        <f t="shared" ref="I78" si="40">(D78*H78)/100</f>
        <v>0</v>
      </c>
      <c r="J78" s="6">
        <f>G78-C78</f>
        <v>-20000000</v>
      </c>
      <c r="K78" s="163"/>
      <c r="L78" s="4"/>
      <c r="M78" s="4"/>
      <c r="N78" s="4"/>
      <c r="O78" s="4"/>
      <c r="P78" s="4"/>
      <c r="Q78" s="4"/>
      <c r="R78" s="9"/>
    </row>
    <row r="79" spans="1:18" ht="26.25" thickBot="1" x14ac:dyDescent="0.3">
      <c r="A79" s="689" t="s">
        <v>506</v>
      </c>
      <c r="B79" s="692" t="s">
        <v>377</v>
      </c>
      <c r="C79" s="690"/>
      <c r="D79" s="216"/>
      <c r="E79" s="134"/>
      <c r="F79" s="134"/>
      <c r="G79" s="6">
        <v>0</v>
      </c>
      <c r="H79" s="134"/>
      <c r="I79" s="134"/>
      <c r="J79" s="6">
        <v>0</v>
      </c>
      <c r="K79" s="163"/>
      <c r="L79" s="4"/>
      <c r="M79" s="4"/>
      <c r="N79" s="4"/>
      <c r="O79" s="694"/>
      <c r="P79" s="4"/>
      <c r="Q79" s="4"/>
      <c r="R79" s="9"/>
    </row>
    <row r="80" spans="1:18" ht="26.25" x14ac:dyDescent="0.25">
      <c r="A80" s="693" t="s">
        <v>507</v>
      </c>
      <c r="B80" s="691" t="s">
        <v>474</v>
      </c>
      <c r="C80" s="234">
        <f>SUM(C81:C85)</f>
        <v>151843982</v>
      </c>
      <c r="D80" s="241"/>
      <c r="E80" s="242"/>
      <c r="F80" s="242"/>
      <c r="G80" s="791">
        <v>0</v>
      </c>
      <c r="H80" s="242"/>
      <c r="I80" s="242"/>
      <c r="J80" s="791">
        <v>0</v>
      </c>
      <c r="K80" s="244"/>
      <c r="L80" s="4"/>
      <c r="M80" s="4"/>
      <c r="N80" s="4"/>
      <c r="O80" s="4"/>
      <c r="P80" s="4"/>
      <c r="Q80" s="4"/>
      <c r="R80" s="9"/>
    </row>
    <row r="81" spans="1:18" s="783" customFormat="1" ht="25.5" x14ac:dyDescent="0.25">
      <c r="A81" s="801" t="s">
        <v>450</v>
      </c>
      <c r="B81" s="707" t="s">
        <v>384</v>
      </c>
      <c r="C81" s="788">
        <v>7330000</v>
      </c>
      <c r="D81" s="741"/>
      <c r="E81" s="742"/>
      <c r="F81" s="742"/>
      <c r="G81" s="6">
        <v>0</v>
      </c>
      <c r="H81" s="742"/>
      <c r="I81" s="742"/>
      <c r="J81" s="6">
        <f t="shared" ref="J81:J85" si="41">G81-C81</f>
        <v>-7330000</v>
      </c>
      <c r="K81" s="743"/>
      <c r="L81" s="737"/>
      <c r="M81" s="737"/>
      <c r="N81" s="737"/>
      <c r="O81" s="737"/>
      <c r="P81" s="737"/>
      <c r="Q81" s="737"/>
      <c r="R81" s="782"/>
    </row>
    <row r="82" spans="1:18" x14ac:dyDescent="0.25">
      <c r="A82" s="224" t="s">
        <v>475</v>
      </c>
      <c r="B82" s="78" t="s">
        <v>81</v>
      </c>
      <c r="C82" s="56">
        <v>79356018</v>
      </c>
      <c r="D82" s="200">
        <f>C82/C80*100</f>
        <v>52.261549621373874</v>
      </c>
      <c r="E82" s="134">
        <f t="shared" ref="E82:E85" si="42">G82/C82*100</f>
        <v>44.281455755504261</v>
      </c>
      <c r="F82" s="134">
        <f t="shared" ref="F82:F85" si="43">(D82*E82)/100</f>
        <v>23.142174972729578</v>
      </c>
      <c r="G82" s="6">
        <f>35140000</f>
        <v>35140000</v>
      </c>
      <c r="H82" s="134">
        <f t="shared" ref="H82:H85" si="44">G82/C82*100</f>
        <v>44.281455755504261</v>
      </c>
      <c r="I82" s="134">
        <f t="shared" ref="I82:I85" si="45">(D82*H82)/100</f>
        <v>23.142174972729578</v>
      </c>
      <c r="J82" s="6">
        <f t="shared" si="41"/>
        <v>-44216018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476</v>
      </c>
      <c r="B83" s="78" t="s">
        <v>83</v>
      </c>
      <c r="C83" s="56">
        <v>22600000</v>
      </c>
      <c r="D83" s="200">
        <f>C83/C80*100</f>
        <v>14.883698189632566</v>
      </c>
      <c r="E83" s="134">
        <f t="shared" si="42"/>
        <v>14.752212389380531</v>
      </c>
      <c r="F83" s="134">
        <f t="shared" si="43"/>
        <v>2.1956747683289812</v>
      </c>
      <c r="G83" s="6">
        <f>3334000</f>
        <v>3334000</v>
      </c>
      <c r="H83" s="134">
        <f t="shared" si="44"/>
        <v>14.752212389380531</v>
      </c>
      <c r="I83" s="134">
        <f t="shared" si="45"/>
        <v>2.1956747683289812</v>
      </c>
      <c r="J83" s="6">
        <f t="shared" si="41"/>
        <v>-19266000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477</v>
      </c>
      <c r="B84" s="78" t="s">
        <v>85</v>
      </c>
      <c r="C84" s="56">
        <v>13307964</v>
      </c>
      <c r="D84" s="200">
        <f>C84/C80*100</f>
        <v>8.7642353847121832</v>
      </c>
      <c r="E84" s="134">
        <f t="shared" si="42"/>
        <v>2.6856099099757107</v>
      </c>
      <c r="F84" s="134">
        <f t="shared" si="43"/>
        <v>0.23537317402542826</v>
      </c>
      <c r="G84" s="6">
        <f>357400</f>
        <v>357400</v>
      </c>
      <c r="H84" s="134">
        <f t="shared" si="44"/>
        <v>2.6856099099757107</v>
      </c>
      <c r="I84" s="134">
        <f t="shared" si="45"/>
        <v>0.23537317402542826</v>
      </c>
      <c r="J84" s="6">
        <f t="shared" si="41"/>
        <v>-12950564</v>
      </c>
      <c r="K84" s="56"/>
      <c r="L84" s="4"/>
      <c r="M84" s="4"/>
      <c r="N84" s="4"/>
      <c r="O84" s="713"/>
      <c r="P84" s="4"/>
      <c r="Q84" s="4"/>
      <c r="R84" s="9"/>
    </row>
    <row r="85" spans="1:18" ht="25.5" x14ac:dyDescent="0.25">
      <c r="A85" s="49" t="s">
        <v>478</v>
      </c>
      <c r="B85" s="77" t="s">
        <v>87</v>
      </c>
      <c r="C85" s="56">
        <v>29250000</v>
      </c>
      <c r="D85" s="200">
        <f>C85/C80*100</f>
        <v>19.263193453396134</v>
      </c>
      <c r="E85" s="134">
        <f t="shared" si="42"/>
        <v>8.3487179487179493</v>
      </c>
      <c r="F85" s="134">
        <f t="shared" si="43"/>
        <v>1.6082296893399439</v>
      </c>
      <c r="G85" s="6">
        <f>2442000</f>
        <v>2442000</v>
      </c>
      <c r="H85" s="134">
        <f t="shared" si="44"/>
        <v>8.3487179487179493</v>
      </c>
      <c r="I85" s="134">
        <f t="shared" si="45"/>
        <v>1.6082296893399439</v>
      </c>
      <c r="J85" s="6">
        <f t="shared" si="41"/>
        <v>-26808000</v>
      </c>
      <c r="K85" s="56"/>
      <c r="L85" s="4"/>
      <c r="M85" s="4"/>
      <c r="N85" s="4"/>
      <c r="O85" s="4"/>
      <c r="P85" s="4"/>
      <c r="Q85" s="4"/>
      <c r="R85" s="9"/>
    </row>
    <row r="86" spans="1:18" s="796" customFormat="1" x14ac:dyDescent="0.25">
      <c r="A86" s="799" t="s">
        <v>483</v>
      </c>
      <c r="B86" s="691" t="s">
        <v>479</v>
      </c>
      <c r="C86" s="800">
        <f>SUM(C87:C89)</f>
        <v>30280000</v>
      </c>
      <c r="D86" s="789"/>
      <c r="E86" s="790"/>
      <c r="F86" s="790"/>
      <c r="G86" s="791">
        <v>0</v>
      </c>
      <c r="H86" s="790"/>
      <c r="I86" s="790"/>
      <c r="J86" s="791">
        <v>0</v>
      </c>
      <c r="K86" s="792"/>
      <c r="L86" s="794"/>
      <c r="M86" s="794"/>
      <c r="N86" s="794"/>
      <c r="O86" s="794"/>
      <c r="P86" s="794"/>
      <c r="Q86" s="794"/>
      <c r="R86" s="795"/>
    </row>
    <row r="87" spans="1:18" ht="25.5" x14ac:dyDescent="0.25">
      <c r="A87" s="49" t="s">
        <v>484</v>
      </c>
      <c r="B87" s="77" t="s">
        <v>480</v>
      </c>
      <c r="C87" s="56">
        <v>4110000</v>
      </c>
      <c r="D87" s="200"/>
      <c r="E87" s="134"/>
      <c r="F87" s="134"/>
      <c r="G87" s="132">
        <f>2870000</f>
        <v>2870000</v>
      </c>
      <c r="H87" s="134"/>
      <c r="I87" s="134"/>
      <c r="J87" s="6">
        <f t="shared" ref="J87:J89" si="46">G87-C87</f>
        <v>-1240000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485</v>
      </c>
      <c r="B88" s="77" t="s">
        <v>481</v>
      </c>
      <c r="C88" s="56">
        <v>14490000</v>
      </c>
      <c r="D88" s="200"/>
      <c r="E88" s="134"/>
      <c r="F88" s="134"/>
      <c r="G88" s="6">
        <f>2950000</f>
        <v>2950000</v>
      </c>
      <c r="H88" s="134"/>
      <c r="I88" s="134"/>
      <c r="J88" s="6">
        <f t="shared" si="46"/>
        <v>-11540000</v>
      </c>
      <c r="K88" s="56"/>
      <c r="L88" s="4"/>
      <c r="M88" s="4"/>
      <c r="N88" s="4"/>
      <c r="O88" s="4"/>
      <c r="P88" s="4"/>
      <c r="Q88" s="4"/>
      <c r="R88" s="9"/>
    </row>
    <row r="89" spans="1:18" ht="25.5" x14ac:dyDescent="0.25">
      <c r="A89" s="49" t="s">
        <v>486</v>
      </c>
      <c r="B89" s="77" t="s">
        <v>482</v>
      </c>
      <c r="C89" s="56">
        <v>11680000</v>
      </c>
      <c r="D89" s="200"/>
      <c r="E89" s="134"/>
      <c r="F89" s="134"/>
      <c r="G89" s="132">
        <f>5815000</f>
        <v>5815000</v>
      </c>
      <c r="H89" s="134"/>
      <c r="I89" s="134"/>
      <c r="J89" s="6">
        <f t="shared" si="46"/>
        <v>-5865000</v>
      </c>
      <c r="K89" s="56"/>
      <c r="L89" s="4"/>
      <c r="M89" s="4"/>
      <c r="N89" s="4"/>
      <c r="O89" s="4"/>
      <c r="P89" s="4"/>
      <c r="Q89" s="4"/>
      <c r="R89" s="9"/>
    </row>
    <row r="90" spans="1:18" s="796" customFormat="1" ht="25.5" x14ac:dyDescent="0.25">
      <c r="A90" s="799" t="s">
        <v>508</v>
      </c>
      <c r="B90" s="802" t="s">
        <v>90</v>
      </c>
      <c r="C90" s="800">
        <v>107280000</v>
      </c>
      <c r="D90" s="789"/>
      <c r="E90" s="790"/>
      <c r="F90" s="790"/>
      <c r="G90" s="791"/>
      <c r="H90" s="790"/>
      <c r="I90" s="790"/>
      <c r="J90" s="791"/>
      <c r="K90" s="792"/>
      <c r="L90" s="794"/>
      <c r="M90" s="794"/>
      <c r="N90" s="794"/>
      <c r="O90" s="794"/>
      <c r="P90" s="794"/>
      <c r="Q90" s="794"/>
      <c r="R90" s="795"/>
    </row>
    <row r="91" spans="1:18" ht="25.5" x14ac:dyDescent="0.25">
      <c r="A91" s="49" t="s">
        <v>487</v>
      </c>
      <c r="B91" s="77" t="s">
        <v>509</v>
      </c>
      <c r="C91" s="56">
        <v>107280000</v>
      </c>
      <c r="D91" s="200"/>
      <c r="E91" s="134"/>
      <c r="F91" s="134"/>
      <c r="G91" s="132">
        <f>1093000</f>
        <v>1093000</v>
      </c>
      <c r="H91" s="134"/>
      <c r="I91" s="134"/>
      <c r="J91" s="6">
        <f>G91-C91</f>
        <v>-106187000</v>
      </c>
      <c r="K91" s="56"/>
      <c r="L91" s="4"/>
      <c r="M91" s="4"/>
      <c r="N91" s="4"/>
      <c r="O91" s="4"/>
      <c r="P91" s="4"/>
      <c r="Q91" s="4"/>
      <c r="R91" s="9"/>
    </row>
    <row r="92" spans="1:18" ht="25.5" x14ac:dyDescent="0.25">
      <c r="A92" s="238" t="s">
        <v>510</v>
      </c>
      <c r="B92" s="240" t="s">
        <v>90</v>
      </c>
      <c r="C92" s="239">
        <v>47010000</v>
      </c>
      <c r="D92" s="241"/>
      <c r="E92" s="242"/>
      <c r="F92" s="242"/>
      <c r="G92" s="791">
        <v>0</v>
      </c>
      <c r="H92" s="242"/>
      <c r="I92" s="242"/>
      <c r="J92" s="791">
        <v>0</v>
      </c>
      <c r="K92" s="244"/>
      <c r="L92" s="4"/>
      <c r="M92" s="4"/>
      <c r="N92" s="4"/>
      <c r="O92" s="4"/>
      <c r="P92" s="4"/>
      <c r="Q92" s="4"/>
      <c r="R92" s="9"/>
    </row>
    <row r="93" spans="1:18" s="783" customFormat="1" x14ac:dyDescent="0.25">
      <c r="A93" s="124" t="s">
        <v>448</v>
      </c>
      <c r="B93" s="707" t="s">
        <v>445</v>
      </c>
      <c r="C93" s="743">
        <v>170000</v>
      </c>
      <c r="D93" s="741"/>
      <c r="E93" s="742"/>
      <c r="F93" s="742"/>
      <c r="G93" s="6">
        <v>0</v>
      </c>
      <c r="H93" s="742"/>
      <c r="I93" s="742"/>
      <c r="J93" s="6">
        <f t="shared" ref="J93:J95" si="47">G93-C93</f>
        <v>-170000</v>
      </c>
      <c r="K93" s="743"/>
      <c r="L93" s="737"/>
      <c r="M93" s="737"/>
      <c r="N93" s="737"/>
      <c r="O93" s="737"/>
      <c r="P93" s="737"/>
      <c r="Q93" s="737"/>
      <c r="R93" s="782"/>
    </row>
    <row r="94" spans="1:18" x14ac:dyDescent="0.25">
      <c r="A94" s="49" t="s">
        <v>490</v>
      </c>
      <c r="B94" s="316" t="s">
        <v>488</v>
      </c>
      <c r="C94" s="56">
        <v>8500000</v>
      </c>
      <c r="D94" s="200">
        <f>C94/C92*100</f>
        <v>18.081259306530526</v>
      </c>
      <c r="E94" s="134">
        <f t="shared" ref="E94:E95" si="48">G94/C94*100</f>
        <v>0</v>
      </c>
      <c r="F94" s="134">
        <f t="shared" ref="F94:F95" si="49">(D94*E94)/100</f>
        <v>0</v>
      </c>
      <c r="G94" s="6">
        <v>0</v>
      </c>
      <c r="H94" s="134">
        <f t="shared" ref="H94:H95" si="50">G94/C94*100</f>
        <v>0</v>
      </c>
      <c r="I94" s="134">
        <f t="shared" ref="I94:I95" si="51">(D94*H94)/100</f>
        <v>0</v>
      </c>
      <c r="J94" s="6">
        <f t="shared" si="47"/>
        <v>-8500000</v>
      </c>
      <c r="K94" s="56"/>
      <c r="L94" s="4"/>
      <c r="M94" s="4"/>
      <c r="N94" s="4"/>
      <c r="O94" s="4"/>
      <c r="P94" s="4"/>
      <c r="Q94" s="4"/>
      <c r="R94" s="9"/>
    </row>
    <row r="95" spans="1:18" ht="25.5" x14ac:dyDescent="0.25">
      <c r="A95" s="49" t="s">
        <v>491</v>
      </c>
      <c r="B95" s="77" t="s">
        <v>489</v>
      </c>
      <c r="C95" s="56">
        <v>38340000</v>
      </c>
      <c r="D95" s="200">
        <f>C95/C92*100</f>
        <v>81.557115507338864</v>
      </c>
      <c r="E95" s="134">
        <f t="shared" si="48"/>
        <v>15.881129368805425</v>
      </c>
      <c r="F95" s="134">
        <f t="shared" si="49"/>
        <v>12.952191023186556</v>
      </c>
      <c r="G95" s="138">
        <f>2380925+3707900</f>
        <v>6088825</v>
      </c>
      <c r="H95" s="134">
        <f t="shared" si="50"/>
        <v>15.881129368805425</v>
      </c>
      <c r="I95" s="134">
        <f t="shared" si="51"/>
        <v>12.952191023186556</v>
      </c>
      <c r="J95" s="6">
        <f t="shared" si="47"/>
        <v>-32251175</v>
      </c>
      <c r="K95" s="56"/>
      <c r="L95" s="4"/>
      <c r="M95" s="695"/>
      <c r="N95" s="4"/>
      <c r="O95" s="4"/>
      <c r="P95" s="4"/>
      <c r="Q95" s="4"/>
      <c r="R95" s="9"/>
    </row>
    <row r="96" spans="1:18" x14ac:dyDescent="0.25">
      <c r="A96" s="1045" t="s">
        <v>95</v>
      </c>
      <c r="B96" s="1046"/>
      <c r="C96" s="1047"/>
      <c r="D96" s="81"/>
      <c r="E96" s="134"/>
      <c r="F96" s="134"/>
      <c r="G96" s="768">
        <f>SUM(G12:G95)</f>
        <v>5523637637</v>
      </c>
      <c r="H96" s="134"/>
      <c r="I96" s="134"/>
      <c r="J96" s="781">
        <v>0</v>
      </c>
      <c r="K96" s="130"/>
      <c r="L96" s="1"/>
      <c r="M96" s="1"/>
      <c r="N96" s="1"/>
      <c r="O96" s="1"/>
      <c r="P96" s="1"/>
      <c r="Q96" s="1"/>
      <c r="R96" s="1"/>
    </row>
    <row r="97" spans="1:18" x14ac:dyDescent="0.25">
      <c r="A97" s="50"/>
      <c r="B97" s="5"/>
      <c r="C97" s="50"/>
      <c r="D97" s="9"/>
      <c r="E97" s="23"/>
      <c r="F97" s="23"/>
      <c r="G97" s="11"/>
      <c r="H97" s="23"/>
      <c r="I97" s="23"/>
      <c r="J97" s="4"/>
      <c r="K97" s="9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0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1"/>
      <c r="M98" s="1"/>
      <c r="N98" s="1"/>
      <c r="O98" s="1"/>
      <c r="P98" s="1"/>
      <c r="Q98" s="1"/>
      <c r="R98" s="1"/>
    </row>
    <row r="99" spans="1:18" x14ac:dyDescent="0.25">
      <c r="A99" s="1036" t="s">
        <v>511</v>
      </c>
      <c r="B99" s="1036"/>
      <c r="C99" s="1036"/>
      <c r="D99" s="1036"/>
      <c r="E99" s="1037"/>
      <c r="F99" s="1037"/>
      <c r="G99" s="1038"/>
      <c r="H99" s="1037"/>
      <c r="I99" s="1037"/>
      <c r="J99" s="1036"/>
      <c r="K99" s="1036"/>
      <c r="L99" s="9"/>
      <c r="M99" s="9"/>
      <c r="N99" s="9"/>
      <c r="O99" s="9"/>
      <c r="P99" s="9"/>
      <c r="Q99" s="9"/>
      <c r="R99" s="9"/>
    </row>
    <row r="100" spans="1:18" x14ac:dyDescent="0.25">
      <c r="A100" s="1161" t="s">
        <v>553</v>
      </c>
      <c r="B100" s="1161"/>
      <c r="C100" s="1161"/>
      <c r="D100" s="1161"/>
      <c r="E100" s="1161"/>
      <c r="F100" s="1161"/>
      <c r="G100" s="1161"/>
      <c r="H100" s="1161"/>
      <c r="I100" s="1161"/>
      <c r="J100" s="1161"/>
      <c r="K100" s="1161"/>
      <c r="L100" s="9"/>
      <c r="M100" s="9"/>
      <c r="N100" s="9"/>
      <c r="O100" s="9"/>
      <c r="P100" s="9"/>
      <c r="Q100" s="9"/>
      <c r="R100" s="9"/>
    </row>
    <row r="101" spans="1:18" x14ac:dyDescent="0.25">
      <c r="A101" s="1048" t="s">
        <v>2</v>
      </c>
      <c r="B101" s="1051" t="s">
        <v>3</v>
      </c>
      <c r="C101" s="1048" t="s">
        <v>4</v>
      </c>
      <c r="D101" s="1054" t="s">
        <v>5</v>
      </c>
      <c r="E101" s="1055"/>
      <c r="F101" s="1055"/>
      <c r="G101" s="1044" t="s">
        <v>6</v>
      </c>
      <c r="H101" s="1055"/>
      <c r="I101" s="1055"/>
      <c r="J101" s="1048" t="s">
        <v>7</v>
      </c>
      <c r="K101" s="213" t="s">
        <v>8</v>
      </c>
      <c r="L101" s="9"/>
      <c r="M101" s="9"/>
      <c r="N101" s="9"/>
      <c r="O101" s="9"/>
      <c r="P101" s="9"/>
      <c r="Q101" s="9"/>
      <c r="R101" s="9"/>
    </row>
    <row r="102" spans="1:18" x14ac:dyDescent="0.25">
      <c r="A102" s="1049"/>
      <c r="B102" s="1052"/>
      <c r="C102" s="1049"/>
      <c r="D102" s="209" t="s">
        <v>9</v>
      </c>
      <c r="E102" s="214" t="s">
        <v>10</v>
      </c>
      <c r="F102" s="214" t="s">
        <v>11</v>
      </c>
      <c r="G102" s="209" t="s">
        <v>12</v>
      </c>
      <c r="H102" s="214" t="s">
        <v>13</v>
      </c>
      <c r="I102" s="214" t="s">
        <v>11</v>
      </c>
      <c r="J102" s="1049"/>
      <c r="K102" s="209"/>
      <c r="L102" s="1"/>
      <c r="M102" s="1"/>
      <c r="N102" s="1"/>
      <c r="O102" s="1"/>
      <c r="P102" s="1"/>
      <c r="Q102" s="1"/>
      <c r="R102" s="1"/>
    </row>
    <row r="103" spans="1:18" x14ac:dyDescent="0.25">
      <c r="A103" s="1050"/>
      <c r="B103" s="1053"/>
      <c r="C103" s="1050"/>
      <c r="D103" s="212" t="s">
        <v>14</v>
      </c>
      <c r="E103" s="215" t="s">
        <v>14</v>
      </c>
      <c r="F103" s="215" t="s">
        <v>14</v>
      </c>
      <c r="G103" s="212" t="s">
        <v>15</v>
      </c>
      <c r="H103" s="215" t="s">
        <v>14</v>
      </c>
      <c r="I103" s="215" t="s">
        <v>14</v>
      </c>
      <c r="J103" s="212" t="s">
        <v>15</v>
      </c>
      <c r="K103" s="212"/>
      <c r="L103" s="1"/>
      <c r="M103" s="1"/>
      <c r="N103" s="1"/>
      <c r="O103" s="1"/>
      <c r="P103" s="1"/>
      <c r="Q103" s="1"/>
      <c r="R103" s="1"/>
    </row>
    <row r="104" spans="1:18" ht="26.25" thickBot="1" x14ac:dyDescent="0.3">
      <c r="A104" s="227" t="s">
        <v>220</v>
      </c>
      <c r="B104" s="704" t="s">
        <v>212</v>
      </c>
      <c r="C104" s="245">
        <f>SUM(C105:C105)</f>
        <v>1071720000</v>
      </c>
      <c r="D104" s="6"/>
      <c r="E104" s="203"/>
      <c r="F104" s="204"/>
      <c r="G104" s="6"/>
      <c r="H104" s="204"/>
      <c r="I104" s="204"/>
      <c r="J104" s="6"/>
      <c r="K104" s="6"/>
      <c r="L104" s="1"/>
      <c r="M104" s="1"/>
      <c r="N104" s="1"/>
      <c r="O104" s="714"/>
      <c r="P104" s="1"/>
      <c r="Q104" s="1"/>
      <c r="R104" s="1"/>
    </row>
    <row r="105" spans="1:18" ht="26.25" thickBot="1" x14ac:dyDescent="0.3">
      <c r="A105" s="703" t="s">
        <v>180</v>
      </c>
      <c r="B105" s="705" t="s">
        <v>379</v>
      </c>
      <c r="C105" s="246">
        <f>SUM(C106:C106)</f>
        <v>1071720000</v>
      </c>
      <c r="D105" s="226"/>
      <c r="E105" s="204"/>
      <c r="F105" s="204"/>
      <c r="G105" s="6"/>
      <c r="H105" s="204"/>
      <c r="I105" s="204"/>
      <c r="J105" s="6"/>
      <c r="K105" s="6"/>
      <c r="L105" s="1"/>
      <c r="M105" s="1"/>
      <c r="N105" s="1"/>
      <c r="O105" s="1"/>
      <c r="P105" s="1"/>
      <c r="Q105" s="1"/>
      <c r="R105" s="1"/>
    </row>
    <row r="106" spans="1:18" ht="25.5" x14ac:dyDescent="0.25">
      <c r="A106" s="698" t="s">
        <v>181</v>
      </c>
      <c r="B106" s="706" t="s">
        <v>380</v>
      </c>
      <c r="C106" s="246">
        <f>SUM(C107:C128)</f>
        <v>1071720000</v>
      </c>
      <c r="D106" s="236"/>
      <c r="E106" s="278"/>
      <c r="F106" s="278"/>
      <c r="G106" s="236"/>
      <c r="H106" s="278"/>
      <c r="I106" s="278"/>
      <c r="J106" s="236"/>
      <c r="K106" s="236"/>
      <c r="L106" s="1"/>
      <c r="M106" s="1"/>
      <c r="N106" s="1"/>
      <c r="O106" s="715"/>
      <c r="P106" s="1"/>
      <c r="Q106" s="1"/>
      <c r="R106" s="1"/>
    </row>
    <row r="107" spans="1:18" ht="15" customHeight="1" x14ac:dyDescent="0.25">
      <c r="A107" s="315" t="s">
        <v>44</v>
      </c>
      <c r="B107" s="707" t="s">
        <v>384</v>
      </c>
      <c r="C107" s="722">
        <v>53020000</v>
      </c>
      <c r="D107" s="722">
        <f>C107/C105*100</f>
        <v>4.947187698279401</v>
      </c>
      <c r="E107" s="134">
        <f t="shared" ref="E107:E127" si="52">G107/C107*100</f>
        <v>34.458694832138818</v>
      </c>
      <c r="F107" s="134">
        <f t="shared" ref="F107:F127" si="53">(D107*E107)/100</f>
        <v>1.7047363117232113</v>
      </c>
      <c r="G107" s="6">
        <f>18270000</f>
        <v>18270000</v>
      </c>
      <c r="H107" s="134">
        <f t="shared" ref="H107:H127" si="54">G107/C107*100</f>
        <v>34.458694832138818</v>
      </c>
      <c r="I107" s="134">
        <f t="shared" ref="I107:I127" si="55">(D107*H107)/100</f>
        <v>1.7047363117232113</v>
      </c>
      <c r="J107" s="6">
        <f t="shared" ref="J107:J128" si="56">G107-C107</f>
        <v>-34750000</v>
      </c>
      <c r="K107" s="6"/>
      <c r="L107" s="1"/>
      <c r="M107" s="1"/>
      <c r="N107" s="1"/>
      <c r="O107" s="1"/>
      <c r="P107" s="1"/>
      <c r="Q107" s="1"/>
      <c r="R107" s="1"/>
    </row>
    <row r="108" spans="1:18" ht="15" customHeight="1" x14ac:dyDescent="0.25">
      <c r="A108" s="315" t="s">
        <v>518</v>
      </c>
      <c r="B108" s="707" t="s">
        <v>512</v>
      </c>
      <c r="C108" s="722">
        <v>1500000</v>
      </c>
      <c r="D108" s="722"/>
      <c r="E108" s="134"/>
      <c r="F108" s="134"/>
      <c r="G108" s="6"/>
      <c r="H108" s="134"/>
      <c r="I108" s="134"/>
      <c r="J108" s="6">
        <f t="shared" si="56"/>
        <v>-1500000</v>
      </c>
      <c r="K108" s="6"/>
      <c r="L108" s="1"/>
      <c r="M108" s="1"/>
      <c r="N108" s="1"/>
      <c r="O108" s="1"/>
      <c r="P108" s="1"/>
      <c r="Q108" s="1"/>
      <c r="R108" s="1"/>
    </row>
    <row r="109" spans="1:18" x14ac:dyDescent="0.25">
      <c r="A109" s="315" t="s">
        <v>59</v>
      </c>
      <c r="B109" s="707" t="s">
        <v>197</v>
      </c>
      <c r="C109" s="247">
        <v>24044000</v>
      </c>
      <c r="D109" s="279">
        <f>C109/C105*100</f>
        <v>2.2434964356361737</v>
      </c>
      <c r="E109" s="134">
        <f t="shared" si="52"/>
        <v>58.286890700382635</v>
      </c>
      <c r="F109" s="134">
        <f t="shared" si="53"/>
        <v>1.3076643153062368</v>
      </c>
      <c r="G109" s="6">
        <f>11944500+2070000</f>
        <v>14014500</v>
      </c>
      <c r="H109" s="134">
        <f t="shared" si="54"/>
        <v>58.286890700382635</v>
      </c>
      <c r="I109" s="134">
        <f t="shared" si="55"/>
        <v>1.3076643153062368</v>
      </c>
      <c r="J109" s="6">
        <f t="shared" si="56"/>
        <v>-10029500</v>
      </c>
      <c r="K109" s="6"/>
      <c r="L109" s="1"/>
      <c r="M109" s="25"/>
    </row>
    <row r="110" spans="1:18" x14ac:dyDescent="0.25">
      <c r="A110" s="228" t="s">
        <v>62</v>
      </c>
      <c r="B110" s="707" t="s">
        <v>334</v>
      </c>
      <c r="C110" s="247">
        <v>25150000</v>
      </c>
      <c r="D110" s="279">
        <f>C110/C105*100</f>
        <v>2.3466950322845519</v>
      </c>
      <c r="E110" s="134">
        <f t="shared" si="52"/>
        <v>41.427833001988077</v>
      </c>
      <c r="F110" s="134">
        <f t="shared" si="53"/>
        <v>0.9721848990407943</v>
      </c>
      <c r="G110" s="6">
        <f>10419100</f>
        <v>10419100</v>
      </c>
      <c r="H110" s="134">
        <f t="shared" si="54"/>
        <v>41.427833001988077</v>
      </c>
      <c r="I110" s="134">
        <f t="shared" si="55"/>
        <v>0.9721848990407943</v>
      </c>
      <c r="J110" s="6">
        <f t="shared" si="56"/>
        <v>-14730900</v>
      </c>
      <c r="K110" s="6"/>
      <c r="L110" s="1"/>
      <c r="M110" s="1"/>
      <c r="O110" s="716"/>
    </row>
    <row r="111" spans="1:18" x14ac:dyDescent="0.25">
      <c r="A111" s="315" t="s">
        <v>54</v>
      </c>
      <c r="B111" s="707" t="s">
        <v>386</v>
      </c>
      <c r="C111" s="248">
        <v>6000000</v>
      </c>
      <c r="D111" s="279">
        <f>C111/C105*100</f>
        <v>0.55984772141977379</v>
      </c>
      <c r="E111" s="134">
        <f t="shared" si="52"/>
        <v>0</v>
      </c>
      <c r="F111" s="134">
        <f t="shared" si="53"/>
        <v>0</v>
      </c>
      <c r="G111" s="6">
        <v>0</v>
      </c>
      <c r="H111" s="134">
        <f t="shared" si="54"/>
        <v>0</v>
      </c>
      <c r="I111" s="134">
        <f t="shared" si="55"/>
        <v>0</v>
      </c>
      <c r="J111" s="6">
        <f t="shared" si="56"/>
        <v>-6000000</v>
      </c>
      <c r="K111" s="6"/>
      <c r="L111" s="1"/>
      <c r="M111" s="1"/>
    </row>
    <row r="112" spans="1:18" ht="25.5" x14ac:dyDescent="0.25">
      <c r="A112" s="315" t="s">
        <v>86</v>
      </c>
      <c r="B112" s="707" t="s">
        <v>545</v>
      </c>
      <c r="C112" s="732">
        <v>6000000</v>
      </c>
      <c r="D112" s="279"/>
      <c r="E112" s="134"/>
      <c r="F112" s="134"/>
      <c r="G112" s="6"/>
      <c r="H112" s="134"/>
      <c r="I112" s="134"/>
      <c r="J112" s="6">
        <f t="shared" si="56"/>
        <v>-6000000</v>
      </c>
      <c r="K112" s="6"/>
      <c r="L112" s="1"/>
      <c r="M112" s="1"/>
    </row>
    <row r="113" spans="1:13" ht="25.5" x14ac:dyDescent="0.25">
      <c r="A113" s="315" t="s">
        <v>193</v>
      </c>
      <c r="B113" s="316" t="s">
        <v>372</v>
      </c>
      <c r="C113" s="732">
        <v>20000000</v>
      </c>
      <c r="D113" s="279">
        <f>C113/C105*100</f>
        <v>1.8661590713992462</v>
      </c>
      <c r="E113" s="134">
        <f t="shared" si="52"/>
        <v>0</v>
      </c>
      <c r="F113" s="134">
        <f t="shared" si="53"/>
        <v>0</v>
      </c>
      <c r="G113" s="6">
        <v>0</v>
      </c>
      <c r="H113" s="134">
        <f t="shared" si="54"/>
        <v>0</v>
      </c>
      <c r="I113" s="134">
        <f t="shared" si="55"/>
        <v>0</v>
      </c>
      <c r="J113" s="6">
        <f t="shared" si="56"/>
        <v>-20000000</v>
      </c>
      <c r="K113" s="6"/>
      <c r="L113" s="1"/>
      <c r="M113" s="716"/>
    </row>
    <row r="114" spans="1:13" x14ac:dyDescent="0.25">
      <c r="A114" s="315" t="s">
        <v>519</v>
      </c>
      <c r="B114" s="315" t="s">
        <v>513</v>
      </c>
      <c r="C114" s="248">
        <v>2292000</v>
      </c>
      <c r="D114" s="279">
        <f>C114/C105*100</f>
        <v>0.21386182958235359</v>
      </c>
      <c r="E114" s="134">
        <v>0</v>
      </c>
      <c r="F114" s="134">
        <f t="shared" si="53"/>
        <v>0</v>
      </c>
      <c r="G114" s="6">
        <v>0</v>
      </c>
      <c r="H114" s="134">
        <v>0</v>
      </c>
      <c r="I114" s="134">
        <f t="shared" si="55"/>
        <v>0</v>
      </c>
      <c r="J114" s="6">
        <f t="shared" si="56"/>
        <v>-2292000</v>
      </c>
      <c r="K114" s="6"/>
      <c r="L114" s="1"/>
      <c r="M114" s="1"/>
    </row>
    <row r="115" spans="1:13" x14ac:dyDescent="0.25">
      <c r="A115" s="228" t="s">
        <v>77</v>
      </c>
      <c r="B115" s="315" t="s">
        <v>103</v>
      </c>
      <c r="C115" s="247">
        <v>325910000</v>
      </c>
      <c r="D115" s="279">
        <f>C115/C105*100</f>
        <v>30.409995147986415</v>
      </c>
      <c r="E115" s="134">
        <f t="shared" si="52"/>
        <v>39.678131999631802</v>
      </c>
      <c r="F115" s="134">
        <f t="shared" si="53"/>
        <v>12.066118015899676</v>
      </c>
      <c r="G115" s="6">
        <f>127905000+1410000</f>
        <v>129315000</v>
      </c>
      <c r="H115" s="134">
        <f t="shared" si="54"/>
        <v>39.678131999631802</v>
      </c>
      <c r="I115" s="134">
        <f t="shared" si="55"/>
        <v>12.066118015899676</v>
      </c>
      <c r="J115" s="6">
        <f t="shared" si="56"/>
        <v>-196595000</v>
      </c>
      <c r="K115" s="6"/>
      <c r="L115" s="1"/>
      <c r="M115" s="1"/>
    </row>
    <row r="116" spans="1:13" x14ac:dyDescent="0.25">
      <c r="A116" s="228" t="s">
        <v>225</v>
      </c>
      <c r="B116" s="315" t="s">
        <v>217</v>
      </c>
      <c r="C116" s="247">
        <v>600000</v>
      </c>
      <c r="D116" s="279">
        <f>C116/C105*100</f>
        <v>5.5984772141977376E-2</v>
      </c>
      <c r="E116" s="134">
        <f t="shared" si="52"/>
        <v>100</v>
      </c>
      <c r="F116" s="134">
        <f t="shared" si="53"/>
        <v>5.5984772141977376E-2</v>
      </c>
      <c r="G116" s="6">
        <f>600000</f>
        <v>600000</v>
      </c>
      <c r="H116" s="134">
        <f t="shared" si="54"/>
        <v>100</v>
      </c>
      <c r="I116" s="134">
        <f t="shared" si="55"/>
        <v>5.5984772141977376E-2</v>
      </c>
      <c r="J116" s="6">
        <f t="shared" si="56"/>
        <v>0</v>
      </c>
      <c r="K116" s="6"/>
      <c r="L116" s="1"/>
      <c r="M116" s="1"/>
    </row>
    <row r="117" spans="1:13" x14ac:dyDescent="0.25">
      <c r="A117" s="228" t="s">
        <v>283</v>
      </c>
      <c r="B117" s="315" t="s">
        <v>514</v>
      </c>
      <c r="C117" s="247">
        <v>5000000</v>
      </c>
      <c r="D117" s="279">
        <f>C117/C105*100</f>
        <v>0.46653976784981155</v>
      </c>
      <c r="E117" s="134">
        <f t="shared" si="52"/>
        <v>100</v>
      </c>
      <c r="F117" s="134">
        <f t="shared" si="53"/>
        <v>0.46653976784981155</v>
      </c>
      <c r="G117" s="6">
        <f>5000000</f>
        <v>5000000</v>
      </c>
      <c r="H117" s="134">
        <f t="shared" si="54"/>
        <v>100</v>
      </c>
      <c r="I117" s="134">
        <f t="shared" si="55"/>
        <v>0.46653976784981155</v>
      </c>
      <c r="J117" s="6">
        <f t="shared" si="56"/>
        <v>0</v>
      </c>
      <c r="K117" s="6"/>
      <c r="L117" s="1"/>
      <c r="M117" s="1"/>
    </row>
    <row r="118" spans="1:13" x14ac:dyDescent="0.25">
      <c r="A118" s="228" t="s">
        <v>104</v>
      </c>
      <c r="B118" s="315" t="s">
        <v>105</v>
      </c>
      <c r="C118" s="249">
        <v>76700000</v>
      </c>
      <c r="D118" s="279">
        <f>C118/C105*100</f>
        <v>7.1567200388161085</v>
      </c>
      <c r="E118" s="134">
        <f t="shared" si="52"/>
        <v>22.816166883963493</v>
      </c>
      <c r="F118" s="134">
        <f t="shared" si="53"/>
        <v>1.6328891874743403</v>
      </c>
      <c r="G118" s="6">
        <f>17500000</f>
        <v>17500000</v>
      </c>
      <c r="H118" s="134">
        <f t="shared" si="54"/>
        <v>22.816166883963493</v>
      </c>
      <c r="I118" s="134">
        <f t="shared" si="55"/>
        <v>1.6328891874743403</v>
      </c>
      <c r="J118" s="6">
        <f t="shared" si="56"/>
        <v>-59200000</v>
      </c>
      <c r="K118" s="6"/>
      <c r="L118" s="1"/>
      <c r="M118" s="1"/>
    </row>
    <row r="119" spans="1:13" x14ac:dyDescent="0.25">
      <c r="A119" s="228" t="s">
        <v>130</v>
      </c>
      <c r="B119" s="315" t="s">
        <v>392</v>
      </c>
      <c r="C119" s="249">
        <v>28200000</v>
      </c>
      <c r="D119" s="279"/>
      <c r="E119" s="134"/>
      <c r="F119" s="134"/>
      <c r="G119" s="6">
        <f>28200000</f>
        <v>28200000</v>
      </c>
      <c r="H119" s="134"/>
      <c r="I119" s="134"/>
      <c r="J119" s="6">
        <f t="shared" si="56"/>
        <v>0</v>
      </c>
      <c r="K119" s="6"/>
      <c r="L119" s="1"/>
      <c r="M119" s="1"/>
    </row>
    <row r="120" spans="1:13" ht="25.5" x14ac:dyDescent="0.25">
      <c r="A120" s="228" t="s">
        <v>106</v>
      </c>
      <c r="B120" s="316" t="s">
        <v>107</v>
      </c>
      <c r="C120" s="251">
        <v>139200000</v>
      </c>
      <c r="D120" s="279">
        <f>C120/C105*100</f>
        <v>12.988467136938752</v>
      </c>
      <c r="E120" s="134">
        <f t="shared" si="52"/>
        <v>46.443965517241381</v>
      </c>
      <c r="F120" s="134">
        <f t="shared" si="53"/>
        <v>6.032359198298062</v>
      </c>
      <c r="G120" s="135">
        <f>49500000+15150000</f>
        <v>64650000</v>
      </c>
      <c r="H120" s="134">
        <f t="shared" si="54"/>
        <v>46.443965517241381</v>
      </c>
      <c r="I120" s="134">
        <f t="shared" si="55"/>
        <v>6.032359198298062</v>
      </c>
      <c r="J120" s="6">
        <f t="shared" si="56"/>
        <v>-74550000</v>
      </c>
      <c r="K120" s="6"/>
      <c r="L120" s="1"/>
      <c r="M120" s="1"/>
    </row>
    <row r="121" spans="1:13" x14ac:dyDescent="0.25">
      <c r="A121" s="228" t="s">
        <v>227</v>
      </c>
      <c r="B121" s="315" t="s">
        <v>218</v>
      </c>
      <c r="C121" s="250">
        <v>219000000</v>
      </c>
      <c r="D121" s="279">
        <f>C121/C105*100</f>
        <v>20.434441831821744</v>
      </c>
      <c r="E121" s="134">
        <f t="shared" si="52"/>
        <v>20</v>
      </c>
      <c r="F121" s="134">
        <f t="shared" si="53"/>
        <v>4.0868883663643487</v>
      </c>
      <c r="G121" s="6">
        <f>21900000+21900000</f>
        <v>43800000</v>
      </c>
      <c r="H121" s="134">
        <f t="shared" si="54"/>
        <v>20</v>
      </c>
      <c r="I121" s="134">
        <f t="shared" si="55"/>
        <v>4.0868883663643487</v>
      </c>
      <c r="J121" s="6">
        <f t="shared" si="56"/>
        <v>-175200000</v>
      </c>
      <c r="K121" s="6"/>
      <c r="L121" s="1"/>
      <c r="M121" s="1"/>
    </row>
    <row r="122" spans="1:13" x14ac:dyDescent="0.25">
      <c r="A122" s="315" t="s">
        <v>108</v>
      </c>
      <c r="B122" s="315" t="s">
        <v>109</v>
      </c>
      <c r="C122" s="250">
        <v>1200000</v>
      </c>
      <c r="D122" s="279">
        <f>C122/C105*100</f>
        <v>0.11196954428395475</v>
      </c>
      <c r="E122" s="134">
        <f t="shared" si="52"/>
        <v>0</v>
      </c>
      <c r="F122" s="134">
        <f t="shared" si="53"/>
        <v>0</v>
      </c>
      <c r="G122" s="6">
        <v>0</v>
      </c>
      <c r="H122" s="134">
        <f t="shared" si="54"/>
        <v>0</v>
      </c>
      <c r="I122" s="134">
        <f t="shared" si="55"/>
        <v>0</v>
      </c>
      <c r="J122" s="6">
        <f t="shared" si="56"/>
        <v>-1200000</v>
      </c>
      <c r="K122" s="6"/>
      <c r="L122" s="1"/>
      <c r="M122" s="1"/>
    </row>
    <row r="123" spans="1:13" x14ac:dyDescent="0.25">
      <c r="A123" s="83" t="s">
        <v>162</v>
      </c>
      <c r="B123" s="315" t="s">
        <v>515</v>
      </c>
      <c r="C123" s="250">
        <v>3000000</v>
      </c>
      <c r="D123" s="279">
        <f>C123/C105*100</f>
        <v>0.2799238607098869</v>
      </c>
      <c r="E123" s="134">
        <f t="shared" si="52"/>
        <v>0</v>
      </c>
      <c r="F123" s="134">
        <f t="shared" si="53"/>
        <v>0</v>
      </c>
      <c r="G123" s="6">
        <v>0</v>
      </c>
      <c r="H123" s="134">
        <f t="shared" si="54"/>
        <v>0</v>
      </c>
      <c r="I123" s="134">
        <f t="shared" si="55"/>
        <v>0</v>
      </c>
      <c r="J123" s="6">
        <f t="shared" si="56"/>
        <v>-3000000</v>
      </c>
      <c r="K123" s="6"/>
      <c r="L123" s="1"/>
      <c r="M123" s="1"/>
    </row>
    <row r="124" spans="1:13" ht="25.5" x14ac:dyDescent="0.25">
      <c r="A124" s="315" t="s">
        <v>116</v>
      </c>
      <c r="B124" s="316" t="s">
        <v>516</v>
      </c>
      <c r="C124" s="250">
        <v>7603000</v>
      </c>
      <c r="D124" s="279">
        <f>C124/C105*100</f>
        <v>0.70942037099242339</v>
      </c>
      <c r="E124" s="134">
        <f t="shared" si="52"/>
        <v>0</v>
      </c>
      <c r="F124" s="134">
        <f t="shared" si="53"/>
        <v>0</v>
      </c>
      <c r="G124" s="6">
        <v>0</v>
      </c>
      <c r="H124" s="134">
        <f t="shared" si="54"/>
        <v>0</v>
      </c>
      <c r="I124" s="134">
        <f t="shared" si="55"/>
        <v>0</v>
      </c>
      <c r="J124" s="6">
        <f t="shared" si="56"/>
        <v>-7603000</v>
      </c>
      <c r="K124" s="6"/>
      <c r="L124" s="1"/>
      <c r="M124" s="1"/>
    </row>
    <row r="125" spans="1:13" x14ac:dyDescent="0.25">
      <c r="A125" s="228" t="s">
        <v>65</v>
      </c>
      <c r="B125" s="315" t="s">
        <v>393</v>
      </c>
      <c r="C125" s="251">
        <v>43666000</v>
      </c>
      <c r="D125" s="279">
        <f>C125/C106*100</f>
        <v>4.0743851005859737</v>
      </c>
      <c r="E125" s="134">
        <f t="shared" si="52"/>
        <v>0</v>
      </c>
      <c r="F125" s="134">
        <f t="shared" si="53"/>
        <v>0</v>
      </c>
      <c r="G125" s="6">
        <v>0</v>
      </c>
      <c r="H125" s="134">
        <f t="shared" si="54"/>
        <v>0</v>
      </c>
      <c r="I125" s="134">
        <f t="shared" si="55"/>
        <v>0</v>
      </c>
      <c r="J125" s="6">
        <f t="shared" si="56"/>
        <v>-43666000</v>
      </c>
      <c r="K125" s="6"/>
    </row>
    <row r="126" spans="1:13" x14ac:dyDescent="0.25">
      <c r="A126" s="228" t="s">
        <v>66</v>
      </c>
      <c r="B126" s="315" t="s">
        <v>120</v>
      </c>
      <c r="C126" s="251">
        <v>38885000</v>
      </c>
      <c r="D126" s="279">
        <f>C126/C107*100</f>
        <v>73.340248962655593</v>
      </c>
      <c r="E126" s="134">
        <f t="shared" si="52"/>
        <v>70.875658994470882</v>
      </c>
      <c r="F126" s="134">
        <f t="shared" si="53"/>
        <v>51.98038476046775</v>
      </c>
      <c r="G126" s="6">
        <f>25760000+1800000</f>
        <v>27560000</v>
      </c>
      <c r="H126" s="134">
        <v>0</v>
      </c>
      <c r="I126" s="134">
        <v>0</v>
      </c>
      <c r="J126" s="6">
        <f t="shared" si="56"/>
        <v>-11325000</v>
      </c>
      <c r="K126" s="6"/>
    </row>
    <row r="127" spans="1:13" x14ac:dyDescent="0.25">
      <c r="A127" s="315" t="s">
        <v>287</v>
      </c>
      <c r="B127" s="315" t="s">
        <v>191</v>
      </c>
      <c r="C127" s="250">
        <v>15000000</v>
      </c>
      <c r="D127" s="279">
        <f>C127/C105*100</f>
        <v>1.3996193035494346</v>
      </c>
      <c r="E127" s="134">
        <f t="shared" si="52"/>
        <v>0</v>
      </c>
      <c r="F127" s="134">
        <f t="shared" si="53"/>
        <v>0</v>
      </c>
      <c r="G127" s="6">
        <v>0</v>
      </c>
      <c r="H127" s="134">
        <f t="shared" si="54"/>
        <v>0</v>
      </c>
      <c r="I127" s="134">
        <f t="shared" si="55"/>
        <v>0</v>
      </c>
      <c r="J127" s="6">
        <f t="shared" si="56"/>
        <v>-15000000</v>
      </c>
      <c r="K127" s="6"/>
    </row>
    <row r="128" spans="1:13" x14ac:dyDescent="0.25">
      <c r="A128" s="803" t="s">
        <v>520</v>
      </c>
      <c r="B128" s="315" t="s">
        <v>517</v>
      </c>
      <c r="C128" s="250">
        <v>29750000</v>
      </c>
      <c r="D128" s="279"/>
      <c r="E128" s="134"/>
      <c r="F128" s="134"/>
      <c r="G128" s="6">
        <f>29750000</f>
        <v>29750000</v>
      </c>
      <c r="H128" s="134"/>
      <c r="I128" s="134"/>
      <c r="J128" s="6">
        <f t="shared" si="56"/>
        <v>0</v>
      </c>
      <c r="K128" s="6"/>
    </row>
    <row r="129" spans="1:15" x14ac:dyDescent="0.25">
      <c r="A129" s="1066" t="s">
        <v>95</v>
      </c>
      <c r="B129" s="1067"/>
      <c r="C129" s="1068"/>
      <c r="D129" s="277"/>
      <c r="E129" s="134"/>
      <c r="F129" s="134"/>
      <c r="G129" s="26">
        <f>SUM(G107:G128)</f>
        <v>389078600</v>
      </c>
      <c r="H129" s="134"/>
      <c r="I129" s="134"/>
      <c r="J129" s="734"/>
      <c r="K129" s="26">
        <v>0</v>
      </c>
    </row>
    <row r="130" spans="1:15" x14ac:dyDescent="0.25">
      <c r="A130" s="52"/>
      <c r="B130" s="8"/>
      <c r="C130" s="52"/>
      <c r="D130" s="27"/>
      <c r="E130" s="28"/>
      <c r="F130" s="23"/>
      <c r="G130" s="11"/>
      <c r="H130" s="23"/>
      <c r="I130" s="23"/>
      <c r="J130" s="9"/>
      <c r="K130" s="9"/>
    </row>
    <row r="131" spans="1:15" x14ac:dyDescent="0.25">
      <c r="A131" s="50"/>
      <c r="B131" s="5"/>
      <c r="C131" s="50"/>
      <c r="D131" s="9"/>
      <c r="E131" s="23"/>
      <c r="F131" s="23"/>
      <c r="G131" s="11"/>
      <c r="H131" s="23"/>
      <c r="I131" s="23"/>
      <c r="J131" s="9"/>
      <c r="K131" s="9"/>
    </row>
    <row r="132" spans="1:15" x14ac:dyDescent="0.25">
      <c r="A132" s="1069" t="s">
        <v>2</v>
      </c>
      <c r="B132" s="1069" t="s">
        <v>123</v>
      </c>
      <c r="C132" s="856"/>
      <c r="D132" s="1063" t="s">
        <v>5</v>
      </c>
      <c r="E132" s="1064"/>
      <c r="F132" s="1064"/>
      <c r="G132" s="1065" t="s">
        <v>6</v>
      </c>
      <c r="H132" s="1064"/>
      <c r="I132" s="1064"/>
      <c r="J132" s="1056" t="s">
        <v>7</v>
      </c>
      <c r="K132" s="1056" t="s">
        <v>8</v>
      </c>
    </row>
    <row r="133" spans="1:15" x14ac:dyDescent="0.25">
      <c r="A133" s="1070"/>
      <c r="B133" s="1070"/>
      <c r="C133" s="857" t="s">
        <v>124</v>
      </c>
      <c r="D133" s="89" t="s">
        <v>9</v>
      </c>
      <c r="E133" s="90" t="s">
        <v>10</v>
      </c>
      <c r="F133" s="90" t="s">
        <v>11</v>
      </c>
      <c r="G133" s="91" t="s">
        <v>12</v>
      </c>
      <c r="H133" s="90" t="s">
        <v>13</v>
      </c>
      <c r="I133" s="90" t="s">
        <v>11</v>
      </c>
      <c r="J133" s="1057"/>
      <c r="K133" s="1057"/>
      <c r="O133" s="713"/>
    </row>
    <row r="134" spans="1:15" x14ac:dyDescent="0.25">
      <c r="A134" s="1071"/>
      <c r="B134" s="1071"/>
      <c r="C134" s="857"/>
      <c r="D134" s="92" t="s">
        <v>14</v>
      </c>
      <c r="E134" s="93" t="s">
        <v>14</v>
      </c>
      <c r="F134" s="93" t="s">
        <v>14</v>
      </c>
      <c r="G134" s="94" t="s">
        <v>15</v>
      </c>
      <c r="H134" s="93" t="s">
        <v>14</v>
      </c>
      <c r="I134" s="93" t="s">
        <v>14</v>
      </c>
      <c r="J134" s="92" t="s">
        <v>15</v>
      </c>
      <c r="K134" s="1058"/>
    </row>
    <row r="135" spans="1:15" ht="25.5" x14ac:dyDescent="0.25">
      <c r="A135" s="139" t="s">
        <v>180</v>
      </c>
      <c r="B135" s="696" t="s">
        <v>379</v>
      </c>
      <c r="C135" s="58"/>
      <c r="D135" s="38"/>
      <c r="E135" s="134"/>
      <c r="F135" s="134"/>
      <c r="G135" s="135"/>
      <c r="H135" s="134"/>
      <c r="I135" s="134"/>
      <c r="J135" s="38"/>
      <c r="K135" s="10"/>
    </row>
    <row r="136" spans="1:15" ht="25.5" x14ac:dyDescent="0.25">
      <c r="A136" s="176" t="s">
        <v>181</v>
      </c>
      <c r="B136" s="697" t="s">
        <v>380</v>
      </c>
      <c r="C136" s="86">
        <f>SUM(C137:C149)</f>
        <v>185000000</v>
      </c>
      <c r="D136" s="179"/>
      <c r="E136" s="180"/>
      <c r="F136" s="180"/>
      <c r="G136" s="181"/>
      <c r="H136" s="180"/>
      <c r="I136" s="180"/>
      <c r="J136" s="179"/>
      <c r="K136" s="167"/>
    </row>
    <row r="137" spans="1:15" ht="25.5" x14ac:dyDescent="0.25">
      <c r="A137" s="170" t="s">
        <v>44</v>
      </c>
      <c r="B137" s="707" t="s">
        <v>384</v>
      </c>
      <c r="C137" s="58">
        <v>8580000</v>
      </c>
      <c r="D137" s="180">
        <f>C137/C136*100</f>
        <v>4.6378378378378375</v>
      </c>
      <c r="E137" s="134">
        <f t="shared" ref="E137:E144" si="57">G137/C137*100</f>
        <v>89.16083916083916</v>
      </c>
      <c r="F137" s="134">
        <f t="shared" ref="F137:F144" si="58">(D137*E137)/100</f>
        <v>4.1351351351351351</v>
      </c>
      <c r="G137" s="181">
        <f>7650000</f>
        <v>7650000</v>
      </c>
      <c r="H137" s="134">
        <f t="shared" ref="H137:H144" si="59">G137/C137*100</f>
        <v>89.16083916083916</v>
      </c>
      <c r="I137" s="134">
        <f t="shared" ref="I137:I144" si="60">(D137*H137)/100</f>
        <v>4.1351351351351351</v>
      </c>
      <c r="J137" s="6">
        <f t="shared" ref="J137:J149" si="61">G137-C137</f>
        <v>-930000</v>
      </c>
      <c r="K137" s="167"/>
    </row>
    <row r="138" spans="1:15" x14ac:dyDescent="0.25">
      <c r="A138" s="170" t="s">
        <v>59</v>
      </c>
      <c r="B138" s="707" t="s">
        <v>197</v>
      </c>
      <c r="C138" s="58">
        <v>13390000</v>
      </c>
      <c r="D138" s="180">
        <f>C138/C136*100</f>
        <v>7.2378378378378381</v>
      </c>
      <c r="E138" s="134">
        <f t="shared" si="57"/>
        <v>66.691560866318142</v>
      </c>
      <c r="F138" s="134">
        <f t="shared" si="58"/>
        <v>4.8270270270270261</v>
      </c>
      <c r="G138" s="181">
        <f>8930000</f>
        <v>8930000</v>
      </c>
      <c r="H138" s="134">
        <f t="shared" si="59"/>
        <v>66.691560866318142</v>
      </c>
      <c r="I138" s="134">
        <f t="shared" si="60"/>
        <v>4.8270270270270261</v>
      </c>
      <c r="J138" s="6">
        <f t="shared" si="61"/>
        <v>-4460000</v>
      </c>
      <c r="K138" s="167"/>
    </row>
    <row r="139" spans="1:15" x14ac:dyDescent="0.25">
      <c r="A139" s="170" t="s">
        <v>62</v>
      </c>
      <c r="B139" s="707" t="s">
        <v>334</v>
      </c>
      <c r="C139" s="58">
        <v>8840000</v>
      </c>
      <c r="D139" s="180">
        <v>2.34</v>
      </c>
      <c r="E139" s="134">
        <f t="shared" si="57"/>
        <v>54.751131221719461</v>
      </c>
      <c r="F139" s="134">
        <f t="shared" si="58"/>
        <v>1.2811764705882354</v>
      </c>
      <c r="G139" s="181">
        <f>4840000</f>
        <v>4840000</v>
      </c>
      <c r="H139" s="134">
        <f t="shared" si="59"/>
        <v>54.751131221719461</v>
      </c>
      <c r="I139" s="134">
        <f t="shared" si="60"/>
        <v>1.2811764705882354</v>
      </c>
      <c r="J139" s="6">
        <f t="shared" si="61"/>
        <v>-4000000</v>
      </c>
      <c r="K139" s="167"/>
    </row>
    <row r="140" spans="1:15" ht="25.5" x14ac:dyDescent="0.25">
      <c r="A140" s="170" t="s">
        <v>193</v>
      </c>
      <c r="B140" s="316" t="s">
        <v>372</v>
      </c>
      <c r="C140" s="58">
        <v>6300000</v>
      </c>
      <c r="D140" s="180"/>
      <c r="E140" s="134"/>
      <c r="F140" s="134"/>
      <c r="G140" s="181">
        <f>6300000</f>
        <v>6300000</v>
      </c>
      <c r="H140" s="134"/>
      <c r="I140" s="134"/>
      <c r="J140" s="6">
        <f t="shared" si="61"/>
        <v>0</v>
      </c>
      <c r="K140" s="167"/>
    </row>
    <row r="141" spans="1:15" x14ac:dyDescent="0.25">
      <c r="A141" s="170" t="s">
        <v>148</v>
      </c>
      <c r="B141" s="133" t="s">
        <v>531</v>
      </c>
      <c r="C141" s="58">
        <v>10000000</v>
      </c>
      <c r="D141" s="180"/>
      <c r="E141" s="134"/>
      <c r="F141" s="134"/>
      <c r="G141" s="181">
        <f>10000000</f>
        <v>10000000</v>
      </c>
      <c r="H141" s="134"/>
      <c r="I141" s="134"/>
      <c r="J141" s="6">
        <f t="shared" si="61"/>
        <v>0</v>
      </c>
      <c r="K141" s="167"/>
    </row>
    <row r="142" spans="1:15" x14ac:dyDescent="0.25">
      <c r="A142" s="170" t="s">
        <v>77</v>
      </c>
      <c r="B142" s="170" t="s">
        <v>127</v>
      </c>
      <c r="C142" s="58">
        <v>67741000</v>
      </c>
      <c r="D142" s="180">
        <f>C142/C136*100</f>
        <v>36.616756756756757</v>
      </c>
      <c r="E142" s="134">
        <f t="shared" si="57"/>
        <v>33.871658227661236</v>
      </c>
      <c r="F142" s="134">
        <f t="shared" si="58"/>
        <v>12.402702702702703</v>
      </c>
      <c r="G142" s="181">
        <f>22945000</f>
        <v>22945000</v>
      </c>
      <c r="H142" s="134">
        <f t="shared" si="59"/>
        <v>33.871658227661236</v>
      </c>
      <c r="I142" s="134">
        <f t="shared" si="60"/>
        <v>12.402702702702703</v>
      </c>
      <c r="J142" s="6">
        <f t="shared" si="61"/>
        <v>-44796000</v>
      </c>
      <c r="K142" s="167"/>
    </row>
    <row r="143" spans="1:15" x14ac:dyDescent="0.25">
      <c r="A143" s="170" t="s">
        <v>183</v>
      </c>
      <c r="B143" s="170" t="s">
        <v>178</v>
      </c>
      <c r="C143" s="58">
        <v>12000000</v>
      </c>
      <c r="D143" s="180">
        <f>C143/C136*100</f>
        <v>6.4864864864864868</v>
      </c>
      <c r="E143" s="134">
        <f t="shared" si="57"/>
        <v>58.333333333333336</v>
      </c>
      <c r="F143" s="134">
        <f t="shared" si="58"/>
        <v>3.7837837837837842</v>
      </c>
      <c r="G143" s="181">
        <f>7000000</f>
        <v>7000000</v>
      </c>
      <c r="H143" s="134">
        <f t="shared" si="59"/>
        <v>58.333333333333336</v>
      </c>
      <c r="I143" s="134">
        <f t="shared" si="60"/>
        <v>3.7837837837837842</v>
      </c>
      <c r="J143" s="6">
        <f t="shared" si="61"/>
        <v>-5000000</v>
      </c>
      <c r="K143" s="167"/>
    </row>
    <row r="144" spans="1:15" x14ac:dyDescent="0.25">
      <c r="A144" s="170" t="s">
        <v>104</v>
      </c>
      <c r="B144" s="170" t="s">
        <v>182</v>
      </c>
      <c r="C144" s="58">
        <v>23200000</v>
      </c>
      <c r="D144" s="180">
        <f>C144/C136*100</f>
        <v>12.54054054054054</v>
      </c>
      <c r="E144" s="134">
        <f t="shared" si="57"/>
        <v>48.275862068965516</v>
      </c>
      <c r="F144" s="134">
        <f t="shared" si="58"/>
        <v>6.0540540540540544</v>
      </c>
      <c r="G144" s="181">
        <f>11200000</f>
        <v>11200000</v>
      </c>
      <c r="H144" s="134">
        <f t="shared" si="59"/>
        <v>48.275862068965516</v>
      </c>
      <c r="I144" s="134">
        <f t="shared" si="60"/>
        <v>6.0540540540540544</v>
      </c>
      <c r="J144" s="6">
        <f t="shared" si="61"/>
        <v>-12000000</v>
      </c>
      <c r="K144" s="167"/>
    </row>
    <row r="145" spans="1:14" ht="25.5" x14ac:dyDescent="0.25">
      <c r="A145" s="170" t="s">
        <v>106</v>
      </c>
      <c r="B145" s="316" t="s">
        <v>107</v>
      </c>
      <c r="C145" s="58">
        <v>22200000</v>
      </c>
      <c r="D145" s="180"/>
      <c r="E145" s="134"/>
      <c r="F145" s="134"/>
      <c r="G145" s="181">
        <f>17400000</f>
        <v>17400000</v>
      </c>
      <c r="H145" s="134"/>
      <c r="I145" s="134"/>
      <c r="J145" s="6">
        <f t="shared" si="61"/>
        <v>-4800000</v>
      </c>
      <c r="K145" s="167"/>
    </row>
    <row r="146" spans="1:14" x14ac:dyDescent="0.25">
      <c r="A146" s="170" t="s">
        <v>162</v>
      </c>
      <c r="B146" s="315" t="s">
        <v>515</v>
      </c>
      <c r="C146" s="58">
        <v>2000000</v>
      </c>
      <c r="D146" s="180"/>
      <c r="E146" s="134"/>
      <c r="F146" s="134"/>
      <c r="G146" s="181">
        <f>2000000</f>
        <v>2000000</v>
      </c>
      <c r="H146" s="134"/>
      <c r="I146" s="134"/>
      <c r="J146" s="6">
        <f t="shared" si="61"/>
        <v>0</v>
      </c>
      <c r="K146" s="167"/>
    </row>
    <row r="147" spans="1:14" x14ac:dyDescent="0.25">
      <c r="A147" s="170" t="s">
        <v>521</v>
      </c>
      <c r="B147" s="316" t="s">
        <v>526</v>
      </c>
      <c r="C147" s="58">
        <v>1000000</v>
      </c>
      <c r="D147" s="180"/>
      <c r="E147" s="134"/>
      <c r="F147" s="134"/>
      <c r="G147" s="181">
        <f>1000000</f>
        <v>1000000</v>
      </c>
      <c r="H147" s="134"/>
      <c r="I147" s="134"/>
      <c r="J147" s="6">
        <f t="shared" si="61"/>
        <v>0</v>
      </c>
      <c r="K147" s="167"/>
    </row>
    <row r="148" spans="1:14" ht="25.5" x14ac:dyDescent="0.25">
      <c r="A148" s="747" t="s">
        <v>116</v>
      </c>
      <c r="B148" s="316" t="s">
        <v>420</v>
      </c>
      <c r="C148" s="58">
        <v>2749000</v>
      </c>
      <c r="D148" s="180"/>
      <c r="E148" s="134"/>
      <c r="F148" s="134"/>
      <c r="G148" s="181">
        <f>2749000</f>
        <v>2749000</v>
      </c>
      <c r="H148" s="134"/>
      <c r="I148" s="134"/>
      <c r="J148" s="6">
        <f t="shared" si="61"/>
        <v>0</v>
      </c>
      <c r="K148" s="167"/>
    </row>
    <row r="149" spans="1:14" x14ac:dyDescent="0.25">
      <c r="A149" s="747" t="s">
        <v>65</v>
      </c>
      <c r="B149" s="315" t="s">
        <v>393</v>
      </c>
      <c r="C149" s="58">
        <v>7000000</v>
      </c>
      <c r="D149" s="180"/>
      <c r="E149" s="134"/>
      <c r="F149" s="134"/>
      <c r="G149" s="181">
        <v>0</v>
      </c>
      <c r="H149" s="134"/>
      <c r="I149" s="134"/>
      <c r="J149" s="6">
        <f t="shared" si="61"/>
        <v>-7000000</v>
      </c>
      <c r="K149" s="167"/>
    </row>
    <row r="150" spans="1:14" x14ac:dyDescent="0.25">
      <c r="A150" s="1059" t="s">
        <v>128</v>
      </c>
      <c r="B150" s="1060"/>
      <c r="C150" s="60">
        <f>SUM(C137:C149)</f>
        <v>185000000</v>
      </c>
      <c r="D150" s="276">
        <f>SUM(D137:D147)</f>
        <v>69.859459459459458</v>
      </c>
      <c r="E150" s="134"/>
      <c r="F150" s="134"/>
      <c r="G150" s="837">
        <f>SUM(G137:G149)</f>
        <v>102014000</v>
      </c>
      <c r="H150" s="134"/>
      <c r="I150" s="134"/>
      <c r="J150" s="56">
        <v>0</v>
      </c>
      <c r="K150" s="3"/>
    </row>
    <row r="151" spans="1:14" x14ac:dyDescent="0.25">
      <c r="A151" s="54"/>
      <c r="B151" s="54"/>
      <c r="C151" s="59"/>
      <c r="D151" s="182"/>
      <c r="E151" s="183"/>
      <c r="F151" s="183"/>
      <c r="G151" s="184"/>
      <c r="H151" s="183"/>
      <c r="I151" s="183"/>
      <c r="J151" s="185"/>
      <c r="K151" s="37"/>
    </row>
    <row r="152" spans="1:14" ht="31.5" x14ac:dyDescent="0.25">
      <c r="A152" s="55"/>
      <c r="B152" s="46" t="s">
        <v>145</v>
      </c>
      <c r="C152" s="155"/>
      <c r="D152" s="44"/>
      <c r="E152" s="45"/>
      <c r="F152" s="45"/>
      <c r="G152" s="48"/>
      <c r="H152" s="45"/>
      <c r="I152" s="45"/>
      <c r="J152" s="44"/>
      <c r="K152" s="44"/>
      <c r="L152" s="1"/>
      <c r="M152" s="1"/>
      <c r="N152" s="1"/>
    </row>
    <row r="153" spans="1:14" x14ac:dyDescent="0.25">
      <c r="A153" s="1061" t="s">
        <v>2</v>
      </c>
      <c r="B153" s="1062" t="s">
        <v>176</v>
      </c>
      <c r="C153" s="1061" t="s">
        <v>4</v>
      </c>
      <c r="D153" s="1063" t="s">
        <v>5</v>
      </c>
      <c r="E153" s="1064"/>
      <c r="F153" s="1064"/>
      <c r="G153" s="1065" t="s">
        <v>6</v>
      </c>
      <c r="H153" s="1064"/>
      <c r="I153" s="1064"/>
      <c r="J153" s="1061" t="s">
        <v>7</v>
      </c>
      <c r="K153" s="281" t="s">
        <v>8</v>
      </c>
      <c r="L153" s="1"/>
      <c r="M153" s="1"/>
      <c r="N153" s="1"/>
    </row>
    <row r="154" spans="1:14" x14ac:dyDescent="0.25">
      <c r="A154" s="1061"/>
      <c r="B154" s="1062"/>
      <c r="C154" s="1061"/>
      <c r="D154" s="281" t="s">
        <v>9</v>
      </c>
      <c r="E154" s="292" t="s">
        <v>10</v>
      </c>
      <c r="F154" s="292" t="s">
        <v>11</v>
      </c>
      <c r="G154" s="293" t="s">
        <v>12</v>
      </c>
      <c r="H154" s="292" t="s">
        <v>13</v>
      </c>
      <c r="I154" s="292" t="s">
        <v>11</v>
      </c>
      <c r="J154" s="1056"/>
      <c r="K154" s="89"/>
    </row>
    <row r="155" spans="1:14" x14ac:dyDescent="0.25">
      <c r="A155" s="1061"/>
      <c r="B155" s="1062"/>
      <c r="C155" s="1061"/>
      <c r="D155" s="92" t="s">
        <v>14</v>
      </c>
      <c r="E155" s="93" t="s">
        <v>14</v>
      </c>
      <c r="F155" s="93" t="s">
        <v>14</v>
      </c>
      <c r="G155" s="94" t="s">
        <v>15</v>
      </c>
      <c r="H155" s="93" t="s">
        <v>14</v>
      </c>
      <c r="I155" s="93" t="s">
        <v>14</v>
      </c>
      <c r="J155" s="92" t="s">
        <v>15</v>
      </c>
      <c r="K155" s="92"/>
    </row>
    <row r="156" spans="1:14" x14ac:dyDescent="0.25">
      <c r="A156" s="79" t="s">
        <v>185</v>
      </c>
      <c r="B156" s="199" t="s">
        <v>146</v>
      </c>
      <c r="C156" s="24"/>
      <c r="D156" s="10"/>
      <c r="E156" s="34"/>
      <c r="F156" s="34"/>
      <c r="G156" s="6"/>
      <c r="H156" s="34"/>
      <c r="I156" s="34"/>
      <c r="J156" s="10"/>
      <c r="K156" s="10"/>
    </row>
    <row r="157" spans="1:14" x14ac:dyDescent="0.25">
      <c r="A157" s="125" t="s">
        <v>184</v>
      </c>
      <c r="B157" s="280" t="s">
        <v>147</v>
      </c>
      <c r="C157" s="252">
        <f>SUM(C158:C159)</f>
        <v>2975640000</v>
      </c>
      <c r="D157" s="10"/>
      <c r="E157" s="34"/>
      <c r="F157" s="34"/>
      <c r="G157" s="6"/>
      <c r="H157" s="34"/>
      <c r="I157" s="34"/>
      <c r="J157" s="10"/>
      <c r="K157" s="10"/>
    </row>
    <row r="158" spans="1:14" ht="25.5" x14ac:dyDescent="0.25">
      <c r="A158" s="154" t="s">
        <v>44</v>
      </c>
      <c r="B158" s="707" t="s">
        <v>384</v>
      </c>
      <c r="C158" s="253">
        <v>35640000</v>
      </c>
      <c r="D158" s="134">
        <f>C158/C157*100</f>
        <v>1.1977255313142718</v>
      </c>
      <c r="E158" s="134">
        <f t="shared" ref="E158:E159" si="62">G158/C158*100</f>
        <v>33.333333333333329</v>
      </c>
      <c r="F158" s="134">
        <f t="shared" ref="F158:F159" si="63">(D158*E158)/100</f>
        <v>0.39924184377142391</v>
      </c>
      <c r="G158" s="181">
        <f>11880000</f>
        <v>11880000</v>
      </c>
      <c r="H158" s="134">
        <f t="shared" ref="H158:H159" si="64">G158/C158*100</f>
        <v>33.333333333333329</v>
      </c>
      <c r="I158" s="134">
        <f t="shared" ref="I158:I159" si="65">(D158*H158)/100</f>
        <v>0.39924184377142391</v>
      </c>
      <c r="J158" s="6">
        <f t="shared" ref="J158:J159" si="66">G158-C158</f>
        <v>-23760000</v>
      </c>
      <c r="K158" s="10"/>
    </row>
    <row r="159" spans="1:14" x14ac:dyDescent="0.25">
      <c r="A159" s="124" t="s">
        <v>148</v>
      </c>
      <c r="B159" s="133" t="s">
        <v>531</v>
      </c>
      <c r="C159" s="253">
        <v>2940000000</v>
      </c>
      <c r="D159" s="134">
        <f>C159/C157*100</f>
        <v>98.802274468685724</v>
      </c>
      <c r="E159" s="134">
        <f t="shared" si="62"/>
        <v>8.8738095238095234</v>
      </c>
      <c r="F159" s="134">
        <f t="shared" si="63"/>
        <v>8.7675256415426581</v>
      </c>
      <c r="G159" s="181">
        <f>260890000</f>
        <v>260890000</v>
      </c>
      <c r="H159" s="134">
        <f t="shared" si="64"/>
        <v>8.8738095238095234</v>
      </c>
      <c r="I159" s="134">
        <f t="shared" si="65"/>
        <v>8.7675256415426581</v>
      </c>
      <c r="J159" s="6">
        <f t="shared" si="66"/>
        <v>-2679110000</v>
      </c>
      <c r="K159" s="10"/>
    </row>
    <row r="160" spans="1:14" x14ac:dyDescent="0.25">
      <c r="A160" s="70"/>
      <c r="B160" s="129" t="s">
        <v>95</v>
      </c>
      <c r="C160" s="807">
        <f>SUM(C158:C159)</f>
        <v>2975640000</v>
      </c>
      <c r="D160" s="271">
        <f>SUM(D158:D159)</f>
        <v>100</v>
      </c>
      <c r="E160" s="134"/>
      <c r="F160" s="134"/>
      <c r="G160" s="181">
        <f>SUM(G158:G159)</f>
        <v>272770000</v>
      </c>
      <c r="H160" s="134"/>
      <c r="I160" s="134"/>
      <c r="J160" s="734"/>
      <c r="K160" s="130"/>
    </row>
    <row r="161" spans="1:11" x14ac:dyDescent="0.25">
      <c r="A161" s="54"/>
      <c r="B161" s="2"/>
      <c r="C161" s="59"/>
      <c r="D161" s="29"/>
      <c r="E161" s="31"/>
      <c r="F161" s="31"/>
      <c r="G161" s="36"/>
      <c r="H161" s="31"/>
      <c r="I161" s="31"/>
      <c r="J161" s="15"/>
      <c r="K161" s="37"/>
    </row>
    <row r="162" spans="1:11" x14ac:dyDescent="0.25">
      <c r="A162" s="50"/>
      <c r="B162" s="5"/>
      <c r="C162" s="50"/>
      <c r="D162" s="29"/>
      <c r="E162" s="30"/>
      <c r="F162" s="31"/>
      <c r="G162" s="36"/>
      <c r="H162" s="32"/>
      <c r="I162" s="31"/>
      <c r="J162" s="36"/>
      <c r="K162" s="37"/>
    </row>
    <row r="163" spans="1:11" x14ac:dyDescent="0.25">
      <c r="A163" s="1061" t="s">
        <v>2</v>
      </c>
      <c r="B163" s="1062" t="s">
        <v>176</v>
      </c>
      <c r="C163" s="1061" t="s">
        <v>4</v>
      </c>
      <c r="D163" s="1063" t="s">
        <v>5</v>
      </c>
      <c r="E163" s="1064"/>
      <c r="F163" s="1064"/>
      <c r="G163" s="1065" t="s">
        <v>6</v>
      </c>
      <c r="H163" s="1064"/>
      <c r="I163" s="1064"/>
      <c r="J163" s="1061" t="s">
        <v>7</v>
      </c>
      <c r="K163" s="281" t="s">
        <v>8</v>
      </c>
    </row>
    <row r="164" spans="1:11" x14ac:dyDescent="0.25">
      <c r="A164" s="1061"/>
      <c r="B164" s="1062"/>
      <c r="C164" s="1061"/>
      <c r="D164" s="281" t="s">
        <v>9</v>
      </c>
      <c r="E164" s="292" t="s">
        <v>10</v>
      </c>
      <c r="F164" s="292" t="s">
        <v>11</v>
      </c>
      <c r="G164" s="293" t="s">
        <v>12</v>
      </c>
      <c r="H164" s="292" t="s">
        <v>13</v>
      </c>
      <c r="I164" s="292" t="s">
        <v>11</v>
      </c>
      <c r="J164" s="1056"/>
      <c r="K164" s="89"/>
    </row>
    <row r="165" spans="1:11" x14ac:dyDescent="0.25">
      <c r="A165" s="1061"/>
      <c r="B165" s="1062"/>
      <c r="C165" s="1061"/>
      <c r="D165" s="92" t="s">
        <v>14</v>
      </c>
      <c r="E165" s="93" t="s">
        <v>14</v>
      </c>
      <c r="F165" s="93" t="s">
        <v>14</v>
      </c>
      <c r="G165" s="94" t="s">
        <v>15</v>
      </c>
      <c r="H165" s="93" t="s">
        <v>14</v>
      </c>
      <c r="I165" s="93" t="s">
        <v>14</v>
      </c>
      <c r="J165" s="92" t="s">
        <v>15</v>
      </c>
      <c r="K165" s="92"/>
    </row>
    <row r="166" spans="1:11" x14ac:dyDescent="0.25">
      <c r="A166" s="79" t="s">
        <v>185</v>
      </c>
      <c r="B166" s="199" t="s">
        <v>146</v>
      </c>
      <c r="C166" s="153"/>
      <c r="D166" s="150"/>
      <c r="E166" s="151"/>
      <c r="F166" s="151"/>
      <c r="G166" s="152"/>
      <c r="H166" s="151"/>
      <c r="I166" s="151"/>
      <c r="J166" s="150"/>
      <c r="K166" s="150"/>
    </row>
    <row r="167" spans="1:11" x14ac:dyDescent="0.25">
      <c r="A167" s="125" t="s">
        <v>184</v>
      </c>
      <c r="B167" s="280" t="s">
        <v>150</v>
      </c>
      <c r="C167" s="254">
        <f>SUM(C168:C171)</f>
        <v>1803960912</v>
      </c>
      <c r="D167" s="10"/>
      <c r="E167" s="34"/>
      <c r="F167" s="34"/>
      <c r="G167" s="6"/>
      <c r="H167" s="34"/>
      <c r="I167" s="34"/>
      <c r="J167" s="10"/>
      <c r="K167" s="10"/>
    </row>
    <row r="168" spans="1:11" ht="25.5" x14ac:dyDescent="0.25">
      <c r="A168" s="38" t="s">
        <v>44</v>
      </c>
      <c r="B168" s="707" t="s">
        <v>384</v>
      </c>
      <c r="C168" s="255">
        <v>30310000</v>
      </c>
      <c r="D168" s="134">
        <f>C168/C167*100</f>
        <v>1.6801916160365231</v>
      </c>
      <c r="E168" s="134">
        <f t="shared" ref="E168:E170" si="67">G168/C168*100</f>
        <v>35.499835037941274</v>
      </c>
      <c r="F168" s="134">
        <f t="shared" ref="F168:F170" si="68">(D168*E168)/100</f>
        <v>0.59646525201428535</v>
      </c>
      <c r="G168" s="181">
        <f>10760000</f>
        <v>10760000</v>
      </c>
      <c r="H168" s="134">
        <f t="shared" ref="H168:H170" si="69">G168/C168*100</f>
        <v>35.499835037941274</v>
      </c>
      <c r="I168" s="134">
        <f t="shared" ref="I168:I170" si="70">(D168*H168)/100</f>
        <v>0.59646525201428535</v>
      </c>
      <c r="J168" s="6">
        <f t="shared" ref="J168:J171" si="71">G168-C168</f>
        <v>-19550000</v>
      </c>
      <c r="K168" s="10"/>
    </row>
    <row r="169" spans="1:11" x14ac:dyDescent="0.25">
      <c r="A169" s="49" t="s">
        <v>148</v>
      </c>
      <c r="B169" s="133" t="s">
        <v>531</v>
      </c>
      <c r="C169" s="256">
        <v>1260590000</v>
      </c>
      <c r="D169" s="134">
        <f>C169/C167*100</f>
        <v>69.87900855359554</v>
      </c>
      <c r="E169" s="134">
        <f t="shared" si="67"/>
        <v>7.6844969419081544</v>
      </c>
      <c r="F169" s="134">
        <f t="shared" si="68"/>
        <v>5.3698502753367867</v>
      </c>
      <c r="G169" s="181">
        <f>96870000</f>
        <v>96870000</v>
      </c>
      <c r="H169" s="134">
        <f t="shared" si="69"/>
        <v>7.6844969419081544</v>
      </c>
      <c r="I169" s="134">
        <f t="shared" si="70"/>
        <v>5.3698502753367867</v>
      </c>
      <c r="J169" s="6">
        <f t="shared" si="71"/>
        <v>-1163720000</v>
      </c>
      <c r="K169" s="10"/>
    </row>
    <row r="170" spans="1:11" s="84" customFormat="1" ht="25.5" x14ac:dyDescent="0.2">
      <c r="A170" s="49" t="s">
        <v>152</v>
      </c>
      <c r="B170" s="133" t="s">
        <v>153</v>
      </c>
      <c r="C170" s="256">
        <v>504000000</v>
      </c>
      <c r="D170" s="134">
        <f>C170/C167*100</f>
        <v>27.9385210980669</v>
      </c>
      <c r="E170" s="134">
        <f t="shared" si="67"/>
        <v>25</v>
      </c>
      <c r="F170" s="134">
        <f t="shared" si="68"/>
        <v>6.984630274516725</v>
      </c>
      <c r="G170" s="181">
        <f>126000000</f>
        <v>126000000</v>
      </c>
      <c r="H170" s="134">
        <f t="shared" si="69"/>
        <v>25</v>
      </c>
      <c r="I170" s="134">
        <f t="shared" si="70"/>
        <v>6.984630274516725</v>
      </c>
      <c r="J170" s="6">
        <f t="shared" si="71"/>
        <v>-378000000</v>
      </c>
      <c r="K170" s="38"/>
    </row>
    <row r="171" spans="1:11" s="84" customFormat="1" x14ac:dyDescent="0.2">
      <c r="A171" s="749" t="s">
        <v>234</v>
      </c>
      <c r="B171" s="133" t="s">
        <v>522</v>
      </c>
      <c r="C171" s="256">
        <v>9060912</v>
      </c>
      <c r="D171" s="804"/>
      <c r="E171" s="134"/>
      <c r="F171" s="134"/>
      <c r="G171" s="181"/>
      <c r="H171" s="134"/>
      <c r="I171" s="134"/>
      <c r="J171" s="6">
        <f t="shared" si="71"/>
        <v>-9060912</v>
      </c>
      <c r="K171" s="805"/>
    </row>
    <row r="172" spans="1:11" x14ac:dyDescent="0.25">
      <c r="A172" s="858"/>
      <c r="B172" s="129" t="s">
        <v>154</v>
      </c>
      <c r="C172" s="826">
        <f>SUM(C168:C171)</f>
        <v>1803960912</v>
      </c>
      <c r="D172" s="272">
        <f>SUM(D168:D170)</f>
        <v>99.497721267698964</v>
      </c>
      <c r="E172" s="134"/>
      <c r="F172" s="134"/>
      <c r="G172" s="181">
        <f>SUM(G168:G171)</f>
        <v>233630000</v>
      </c>
      <c r="H172" s="134"/>
      <c r="I172" s="134"/>
      <c r="J172" s="734"/>
      <c r="K172" s="40"/>
    </row>
    <row r="173" spans="1:11" x14ac:dyDescent="0.25">
      <c r="A173" s="54"/>
      <c r="B173" s="54"/>
      <c r="C173" s="59"/>
      <c r="D173" s="182"/>
      <c r="E173" s="183"/>
      <c r="F173" s="183"/>
      <c r="G173" s="184"/>
      <c r="H173" s="183"/>
      <c r="I173" s="183"/>
      <c r="J173" s="185"/>
      <c r="K173" s="37"/>
    </row>
    <row r="174" spans="1:11" x14ac:dyDescent="0.25">
      <c r="A174" s="50"/>
      <c r="B174" s="5"/>
      <c r="C174" s="50"/>
      <c r="D174" s="9"/>
      <c r="E174" s="23"/>
      <c r="F174" s="23"/>
      <c r="G174" s="11"/>
      <c r="H174" s="23"/>
      <c r="I174" s="23"/>
      <c r="J174" s="9"/>
      <c r="K174" s="9"/>
    </row>
    <row r="175" spans="1:11" x14ac:dyDescent="0.25">
      <c r="A175" s="1072" t="s">
        <v>2</v>
      </c>
      <c r="B175" s="1072" t="s">
        <v>129</v>
      </c>
      <c r="C175" s="1072" t="s">
        <v>124</v>
      </c>
      <c r="D175" s="1075" t="s">
        <v>5</v>
      </c>
      <c r="E175" s="1076"/>
      <c r="F175" s="1076"/>
      <c r="G175" s="1077" t="s">
        <v>6</v>
      </c>
      <c r="H175" s="1076"/>
      <c r="I175" s="1076"/>
      <c r="J175" s="1078" t="s">
        <v>7</v>
      </c>
      <c r="K175" s="95" t="s">
        <v>8</v>
      </c>
    </row>
    <row r="176" spans="1:11" x14ac:dyDescent="0.25">
      <c r="A176" s="1073"/>
      <c r="B176" s="1073"/>
      <c r="C176" s="1073"/>
      <c r="D176" s="95" t="s">
        <v>9</v>
      </c>
      <c r="E176" s="294" t="s">
        <v>10</v>
      </c>
      <c r="F176" s="294" t="s">
        <v>11</v>
      </c>
      <c r="G176" s="96" t="s">
        <v>12</v>
      </c>
      <c r="H176" s="97" t="s">
        <v>13</v>
      </c>
      <c r="I176" s="97" t="s">
        <v>11</v>
      </c>
      <c r="J176" s="1079"/>
      <c r="K176" s="98"/>
    </row>
    <row r="177" spans="1:15" x14ac:dyDescent="0.25">
      <c r="A177" s="1074"/>
      <c r="B177" s="1074"/>
      <c r="C177" s="1074"/>
      <c r="D177" s="101" t="s">
        <v>14</v>
      </c>
      <c r="E177" s="100" t="s">
        <v>14</v>
      </c>
      <c r="F177" s="100" t="s">
        <v>14</v>
      </c>
      <c r="G177" s="99" t="s">
        <v>15</v>
      </c>
      <c r="H177" s="100" t="s">
        <v>14</v>
      </c>
      <c r="I177" s="100" t="s">
        <v>14</v>
      </c>
      <c r="J177" s="101" t="s">
        <v>15</v>
      </c>
      <c r="K177" s="101"/>
    </row>
    <row r="178" spans="1:15" ht="25.5" x14ac:dyDescent="0.25">
      <c r="A178" s="175" t="s">
        <v>180</v>
      </c>
      <c r="B178" s="696" t="s">
        <v>379</v>
      </c>
      <c r="C178" s="126"/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6" t="s">
        <v>181</v>
      </c>
      <c r="B179" s="697" t="s">
        <v>380</v>
      </c>
      <c r="C179" s="86">
        <f>SUM(C180:C195)</f>
        <v>335000000</v>
      </c>
      <c r="D179" s="121"/>
      <c r="E179" s="122"/>
      <c r="F179" s="122"/>
      <c r="G179" s="123"/>
      <c r="H179" s="122"/>
      <c r="I179" s="122"/>
      <c r="J179" s="121"/>
      <c r="K179" s="121"/>
    </row>
    <row r="180" spans="1:15" ht="25.5" x14ac:dyDescent="0.25">
      <c r="A180" s="170" t="s">
        <v>44</v>
      </c>
      <c r="B180" s="707" t="s">
        <v>384</v>
      </c>
      <c r="C180" s="58">
        <v>16310000</v>
      </c>
      <c r="D180" s="134">
        <f>C180/C179*100</f>
        <v>4.8686567164179104</v>
      </c>
      <c r="E180" s="134">
        <f t="shared" ref="E180:E192" si="72">G180/C180*100</f>
        <v>49.294911097486207</v>
      </c>
      <c r="F180" s="134">
        <f t="shared" ref="F180:F192" si="73">(D180*E180)/100</f>
        <v>2.4</v>
      </c>
      <c r="G180" s="181">
        <f>8040000</f>
        <v>8040000</v>
      </c>
      <c r="H180" s="134">
        <f t="shared" ref="H180:H192" si="74">G180/C180*100</f>
        <v>49.294911097486207</v>
      </c>
      <c r="I180" s="134">
        <f t="shared" ref="I180:I192" si="75">(D180*H180)/100</f>
        <v>2.4</v>
      </c>
      <c r="J180" s="6">
        <f t="shared" ref="J180:J195" si="76">G180-C180</f>
        <v>-8270000</v>
      </c>
      <c r="K180" s="121"/>
    </row>
    <row r="181" spans="1:15" x14ac:dyDescent="0.25">
      <c r="A181" s="170" t="s">
        <v>59</v>
      </c>
      <c r="B181" s="707" t="s">
        <v>197</v>
      </c>
      <c r="C181" s="58">
        <v>13836500</v>
      </c>
      <c r="D181" s="180">
        <f>C181/C179*100</f>
        <v>4.1302985074626868</v>
      </c>
      <c r="E181" s="134">
        <f t="shared" si="72"/>
        <v>50</v>
      </c>
      <c r="F181" s="134">
        <f t="shared" si="73"/>
        <v>2.0651492537313434</v>
      </c>
      <c r="G181" s="181">
        <f>6918250</f>
        <v>6918250</v>
      </c>
      <c r="H181" s="134">
        <f t="shared" si="74"/>
        <v>50</v>
      </c>
      <c r="I181" s="134">
        <f t="shared" si="75"/>
        <v>2.0651492537313434</v>
      </c>
      <c r="J181" s="6">
        <f t="shared" si="76"/>
        <v>-6918250</v>
      </c>
      <c r="K181" s="167"/>
    </row>
    <row r="182" spans="1:15" ht="25.5" x14ac:dyDescent="0.25">
      <c r="A182" s="170" t="s">
        <v>62</v>
      </c>
      <c r="B182" s="707" t="s">
        <v>385</v>
      </c>
      <c r="C182" s="58">
        <v>10871000</v>
      </c>
      <c r="D182" s="726">
        <f>C182/C179*100</f>
        <v>3.2450746268656716</v>
      </c>
      <c r="E182" s="134">
        <f t="shared" si="72"/>
        <v>0</v>
      </c>
      <c r="F182" s="134">
        <f t="shared" si="73"/>
        <v>0</v>
      </c>
      <c r="G182" s="181">
        <v>0</v>
      </c>
      <c r="H182" s="134">
        <f t="shared" si="74"/>
        <v>0</v>
      </c>
      <c r="I182" s="134">
        <f t="shared" si="75"/>
        <v>0</v>
      </c>
      <c r="J182" s="6">
        <f t="shared" si="76"/>
        <v>-10871000</v>
      </c>
      <c r="K182" s="167"/>
    </row>
    <row r="183" spans="1:15" x14ac:dyDescent="0.25">
      <c r="A183" s="170" t="s">
        <v>148</v>
      </c>
      <c r="B183" s="133" t="s">
        <v>531</v>
      </c>
      <c r="C183" s="58">
        <v>10000000</v>
      </c>
      <c r="D183" s="726"/>
      <c r="E183" s="134"/>
      <c r="F183" s="134"/>
      <c r="G183" s="181">
        <f>10000000</f>
        <v>10000000</v>
      </c>
      <c r="H183" s="134"/>
      <c r="I183" s="134"/>
      <c r="J183" s="6">
        <f t="shared" si="76"/>
        <v>0</v>
      </c>
      <c r="K183" s="167"/>
    </row>
    <row r="184" spans="1:15" x14ac:dyDescent="0.25">
      <c r="A184" s="170" t="s">
        <v>77</v>
      </c>
      <c r="B184" s="170" t="s">
        <v>127</v>
      </c>
      <c r="C184" s="58">
        <v>61010000</v>
      </c>
      <c r="D184" s="726">
        <f>C184/C179*100</f>
        <v>18.211940298507461</v>
      </c>
      <c r="E184" s="134">
        <f t="shared" si="72"/>
        <v>52.696279298475659</v>
      </c>
      <c r="F184" s="134">
        <f t="shared" si="73"/>
        <v>9.5970149253731343</v>
      </c>
      <c r="G184" s="181">
        <f>32150000</f>
        <v>32150000</v>
      </c>
      <c r="H184" s="134">
        <f t="shared" si="74"/>
        <v>52.696279298475659</v>
      </c>
      <c r="I184" s="134">
        <f t="shared" si="75"/>
        <v>9.5970149253731343</v>
      </c>
      <c r="J184" s="6">
        <f t="shared" si="76"/>
        <v>-28860000</v>
      </c>
      <c r="K184" s="167"/>
      <c r="O184" s="190"/>
    </row>
    <row r="185" spans="1:15" x14ac:dyDescent="0.25">
      <c r="A185" s="170" t="s">
        <v>183</v>
      </c>
      <c r="B185" s="170" t="s">
        <v>178</v>
      </c>
      <c r="C185" s="58">
        <v>44625000</v>
      </c>
      <c r="D185" s="726">
        <f>C185/C179*100</f>
        <v>13.32089552238806</v>
      </c>
      <c r="E185" s="134">
        <f t="shared" si="72"/>
        <v>22.408963585434176</v>
      </c>
      <c r="F185" s="134">
        <f t="shared" si="73"/>
        <v>2.9850746268656718</v>
      </c>
      <c r="G185" s="181">
        <f>10000000</f>
        <v>10000000</v>
      </c>
      <c r="H185" s="134">
        <f t="shared" si="74"/>
        <v>22.408963585434176</v>
      </c>
      <c r="I185" s="134">
        <f t="shared" si="75"/>
        <v>2.9850746268656718</v>
      </c>
      <c r="J185" s="6">
        <f t="shared" si="76"/>
        <v>-34625000</v>
      </c>
      <c r="K185" s="167"/>
    </row>
    <row r="186" spans="1:15" x14ac:dyDescent="0.25">
      <c r="A186" s="170" t="s">
        <v>186</v>
      </c>
      <c r="B186" s="170" t="s">
        <v>179</v>
      </c>
      <c r="C186" s="58">
        <v>44100000</v>
      </c>
      <c r="D186" s="726">
        <f>C186/C179*100</f>
        <v>13.164179104477611</v>
      </c>
      <c r="E186" s="134">
        <f t="shared" si="72"/>
        <v>79.365079365079367</v>
      </c>
      <c r="F186" s="134">
        <f t="shared" si="73"/>
        <v>10.447761194029852</v>
      </c>
      <c r="G186" s="181">
        <f>35000000</f>
        <v>35000000</v>
      </c>
      <c r="H186" s="134">
        <f t="shared" si="74"/>
        <v>79.365079365079367</v>
      </c>
      <c r="I186" s="134">
        <f t="shared" si="75"/>
        <v>10.447761194029852</v>
      </c>
      <c r="J186" s="6">
        <f t="shared" si="76"/>
        <v>-9100000</v>
      </c>
      <c r="K186" s="167"/>
    </row>
    <row r="187" spans="1:15" ht="25.5" x14ac:dyDescent="0.25">
      <c r="A187" s="170" t="s">
        <v>106</v>
      </c>
      <c r="B187" s="316" t="s">
        <v>375</v>
      </c>
      <c r="C187" s="58">
        <v>44000000</v>
      </c>
      <c r="D187" s="726">
        <f>C187/C179*100</f>
        <v>13.134328358208954</v>
      </c>
      <c r="E187" s="134">
        <f t="shared" si="72"/>
        <v>87.727272727272734</v>
      </c>
      <c r="F187" s="134">
        <f t="shared" si="73"/>
        <v>11.522388059701493</v>
      </c>
      <c r="G187" s="181">
        <f>38600000</f>
        <v>38600000</v>
      </c>
      <c r="H187" s="134">
        <f t="shared" si="74"/>
        <v>87.727272727272734</v>
      </c>
      <c r="I187" s="134">
        <f t="shared" si="75"/>
        <v>11.522388059701493</v>
      </c>
      <c r="J187" s="6">
        <f t="shared" si="76"/>
        <v>-5400000</v>
      </c>
      <c r="K187" s="167"/>
    </row>
    <row r="188" spans="1:15" x14ac:dyDescent="0.25">
      <c r="A188" s="170" t="s">
        <v>162</v>
      </c>
      <c r="B188" s="315" t="s">
        <v>515</v>
      </c>
      <c r="C188" s="58">
        <v>36000000</v>
      </c>
      <c r="D188" s="726"/>
      <c r="E188" s="134"/>
      <c r="F188" s="134"/>
      <c r="G188" s="181">
        <f>36000000</f>
        <v>36000000</v>
      </c>
      <c r="H188" s="134"/>
      <c r="I188" s="134"/>
      <c r="J188" s="6">
        <f t="shared" si="76"/>
        <v>0</v>
      </c>
      <c r="K188" s="167"/>
    </row>
    <row r="189" spans="1:15" x14ac:dyDescent="0.25">
      <c r="A189" s="170" t="s">
        <v>527</v>
      </c>
      <c r="B189" s="316" t="s">
        <v>523</v>
      </c>
      <c r="C189" s="58">
        <v>5625000</v>
      </c>
      <c r="D189" s="726"/>
      <c r="E189" s="134"/>
      <c r="F189" s="134"/>
      <c r="G189" s="181">
        <f>5625000</f>
        <v>5625000</v>
      </c>
      <c r="H189" s="134"/>
      <c r="I189" s="134"/>
      <c r="J189" s="6">
        <f t="shared" si="76"/>
        <v>0</v>
      </c>
      <c r="K189" s="167"/>
    </row>
    <row r="190" spans="1:15" x14ac:dyDescent="0.25">
      <c r="A190" s="170" t="s">
        <v>528</v>
      </c>
      <c r="B190" s="316" t="s">
        <v>524</v>
      </c>
      <c r="C190" s="58">
        <v>16000000</v>
      </c>
      <c r="D190" s="726"/>
      <c r="E190" s="134"/>
      <c r="F190" s="134"/>
      <c r="G190" s="181">
        <f>16000000</f>
        <v>16000000</v>
      </c>
      <c r="H190" s="134"/>
      <c r="I190" s="134"/>
      <c r="J190" s="6">
        <f t="shared" si="76"/>
        <v>0</v>
      </c>
      <c r="K190" s="167"/>
    </row>
    <row r="191" spans="1:15" x14ac:dyDescent="0.25">
      <c r="A191" s="170" t="s">
        <v>529</v>
      </c>
      <c r="B191" s="316" t="s">
        <v>525</v>
      </c>
      <c r="C191" s="58">
        <v>4000000</v>
      </c>
      <c r="D191" s="726"/>
      <c r="E191" s="134"/>
      <c r="F191" s="134"/>
      <c r="G191" s="181">
        <f>4000000</f>
        <v>4000000</v>
      </c>
      <c r="H191" s="134"/>
      <c r="I191" s="134"/>
      <c r="J191" s="6">
        <f t="shared" si="76"/>
        <v>0</v>
      </c>
      <c r="K191" s="167"/>
    </row>
    <row r="192" spans="1:15" ht="25.5" x14ac:dyDescent="0.25">
      <c r="A192" s="170" t="s">
        <v>116</v>
      </c>
      <c r="B192" s="133" t="s">
        <v>371</v>
      </c>
      <c r="C192" s="178">
        <v>1622500</v>
      </c>
      <c r="D192" s="726">
        <f>C192/C179*100</f>
        <v>0.4843283582089552</v>
      </c>
      <c r="E192" s="134">
        <f t="shared" si="72"/>
        <v>0</v>
      </c>
      <c r="F192" s="134">
        <f t="shared" si="73"/>
        <v>0</v>
      </c>
      <c r="G192" s="181">
        <v>0</v>
      </c>
      <c r="H192" s="134">
        <f t="shared" si="74"/>
        <v>0</v>
      </c>
      <c r="I192" s="134">
        <f t="shared" si="75"/>
        <v>0</v>
      </c>
      <c r="J192" s="6">
        <f t="shared" si="76"/>
        <v>-1622500</v>
      </c>
      <c r="K192" s="167"/>
      <c r="M192" s="190"/>
    </row>
    <row r="193" spans="1:14" x14ac:dyDescent="0.25">
      <c r="A193" s="748" t="s">
        <v>65</v>
      </c>
      <c r="B193" s="315" t="s">
        <v>393</v>
      </c>
      <c r="C193" s="178">
        <v>7000000</v>
      </c>
      <c r="D193" s="726"/>
      <c r="E193" s="134"/>
      <c r="F193" s="134"/>
      <c r="G193" s="181"/>
      <c r="H193" s="134"/>
      <c r="I193" s="134"/>
      <c r="J193" s="6">
        <f t="shared" si="76"/>
        <v>-7000000</v>
      </c>
      <c r="K193" s="167"/>
      <c r="M193" s="190"/>
    </row>
    <row r="194" spans="1:14" x14ac:dyDescent="0.25">
      <c r="A194" s="748" t="s">
        <v>287</v>
      </c>
      <c r="B194" s="315" t="s">
        <v>191</v>
      </c>
      <c r="C194" s="178">
        <v>15000000</v>
      </c>
      <c r="D194" s="726"/>
      <c r="E194" s="134"/>
      <c r="F194" s="134"/>
      <c r="G194" s="181">
        <f>15000000</f>
        <v>15000000</v>
      </c>
      <c r="H194" s="134"/>
      <c r="I194" s="134"/>
      <c r="J194" s="6">
        <f t="shared" si="76"/>
        <v>0</v>
      </c>
      <c r="K194" s="167"/>
      <c r="M194" s="190"/>
    </row>
    <row r="195" spans="1:14" x14ac:dyDescent="0.25">
      <c r="A195" s="748" t="s">
        <v>275</v>
      </c>
      <c r="B195" s="133" t="s">
        <v>421</v>
      </c>
      <c r="C195" s="178">
        <v>5000000</v>
      </c>
      <c r="D195" s="726"/>
      <c r="E195" s="134"/>
      <c r="F195" s="134"/>
      <c r="G195" s="181">
        <v>0</v>
      </c>
      <c r="H195" s="134"/>
      <c r="I195" s="134"/>
      <c r="J195" s="6">
        <f t="shared" si="76"/>
        <v>-5000000</v>
      </c>
      <c r="K195" s="167"/>
      <c r="M195" s="190"/>
    </row>
    <row r="196" spans="1:14" x14ac:dyDescent="0.25">
      <c r="A196" s="69"/>
      <c r="B196" s="67" t="s">
        <v>128</v>
      </c>
      <c r="C196" s="60">
        <f>SUM(C180:C195)</f>
        <v>335000000</v>
      </c>
      <c r="D196" s="275">
        <f>SUM(D180:D192)</f>
        <v>70.5597014925373</v>
      </c>
      <c r="E196" s="134"/>
      <c r="F196" s="134"/>
      <c r="G196" s="42">
        <f>SUM(G180:G195)</f>
        <v>217333250</v>
      </c>
      <c r="H196" s="134"/>
      <c r="I196" s="134"/>
      <c r="J196" s="734"/>
      <c r="K196" s="38"/>
    </row>
    <row r="197" spans="1:14" x14ac:dyDescent="0.25">
      <c r="A197" s="186"/>
      <c r="B197" s="2"/>
      <c r="C197" s="187"/>
      <c r="D197" s="188"/>
      <c r="E197" s="183"/>
      <c r="F197" s="183"/>
      <c r="G197" s="184"/>
      <c r="H197" s="183"/>
      <c r="I197" s="183"/>
      <c r="J197" s="189"/>
      <c r="K197" s="53"/>
    </row>
    <row r="198" spans="1:14" ht="31.5" x14ac:dyDescent="0.25">
      <c r="A198" s="55"/>
      <c r="B198" s="46" t="s">
        <v>145</v>
      </c>
      <c r="C198" s="155"/>
      <c r="D198" s="44"/>
      <c r="E198" s="45"/>
      <c r="F198" s="45"/>
      <c r="G198" s="48"/>
      <c r="H198" s="45"/>
      <c r="I198" s="45"/>
      <c r="J198" s="44"/>
      <c r="K198" s="44"/>
      <c r="L198" s="1"/>
      <c r="M198" s="1"/>
      <c r="N198" s="1"/>
    </row>
    <row r="199" spans="1:14" x14ac:dyDescent="0.25">
      <c r="A199" s="1082" t="s">
        <v>2</v>
      </c>
      <c r="B199" s="1081" t="s">
        <v>168</v>
      </c>
      <c r="C199" s="1082" t="s">
        <v>4</v>
      </c>
      <c r="D199" s="1083" t="s">
        <v>5</v>
      </c>
      <c r="E199" s="1084"/>
      <c r="F199" s="1084"/>
      <c r="G199" s="1085" t="s">
        <v>6</v>
      </c>
      <c r="H199" s="1084"/>
      <c r="I199" s="1084"/>
      <c r="J199" s="1082" t="s">
        <v>7</v>
      </c>
      <c r="K199" s="283" t="s">
        <v>8</v>
      </c>
    </row>
    <row r="200" spans="1:14" x14ac:dyDescent="0.25">
      <c r="A200" s="1082"/>
      <c r="B200" s="1081"/>
      <c r="C200" s="1082"/>
      <c r="D200" s="283" t="s">
        <v>9</v>
      </c>
      <c r="E200" s="297" t="s">
        <v>10</v>
      </c>
      <c r="F200" s="297" t="s">
        <v>11</v>
      </c>
      <c r="G200" s="298" t="s">
        <v>12</v>
      </c>
      <c r="H200" s="297" t="s">
        <v>13</v>
      </c>
      <c r="I200" s="297" t="s">
        <v>11</v>
      </c>
      <c r="J200" s="1086"/>
      <c r="K200" s="284"/>
    </row>
    <row r="201" spans="1:14" x14ac:dyDescent="0.25">
      <c r="A201" s="1082"/>
      <c r="B201" s="1081"/>
      <c r="C201" s="1082"/>
      <c r="D201" s="282" t="s">
        <v>14</v>
      </c>
      <c r="E201" s="295" t="s">
        <v>14</v>
      </c>
      <c r="F201" s="295" t="s">
        <v>14</v>
      </c>
      <c r="G201" s="296" t="s">
        <v>15</v>
      </c>
      <c r="H201" s="295" t="s">
        <v>14</v>
      </c>
      <c r="I201" s="295" t="s">
        <v>14</v>
      </c>
      <c r="J201" s="282" t="s">
        <v>15</v>
      </c>
      <c r="K201" s="282"/>
    </row>
    <row r="202" spans="1:14" x14ac:dyDescent="0.25">
      <c r="A202" s="79" t="s">
        <v>185</v>
      </c>
      <c r="B202" s="199" t="s">
        <v>146</v>
      </c>
      <c r="C202" s="145"/>
      <c r="D202" s="146"/>
      <c r="E202" s="147"/>
      <c r="F202" s="147"/>
      <c r="G202" s="148"/>
      <c r="H202" s="147"/>
      <c r="I202" s="147"/>
      <c r="J202" s="146"/>
      <c r="K202" s="146"/>
    </row>
    <row r="203" spans="1:14" x14ac:dyDescent="0.25">
      <c r="A203" s="125" t="s">
        <v>184</v>
      </c>
      <c r="B203" s="280" t="s">
        <v>147</v>
      </c>
      <c r="C203" s="257">
        <f>SUM(C204:C207)</f>
        <v>2695640000</v>
      </c>
      <c r="D203" s="146"/>
      <c r="E203" s="147"/>
      <c r="F203" s="147"/>
      <c r="G203" s="148"/>
      <c r="H203" s="147"/>
      <c r="I203" s="147"/>
      <c r="J203" s="146"/>
      <c r="K203" s="146"/>
    </row>
    <row r="204" spans="1:14" x14ac:dyDescent="0.25">
      <c r="A204" s="317" t="s">
        <v>44</v>
      </c>
      <c r="B204" s="133" t="s">
        <v>531</v>
      </c>
      <c r="C204" s="258">
        <f>140000000</f>
        <v>140000000</v>
      </c>
      <c r="D204" s="267">
        <f>C204/C203*100</f>
        <v>5.1935718419373504</v>
      </c>
      <c r="E204" s="134">
        <f t="shared" ref="E204:E206" si="77">G204/C204*100</f>
        <v>0</v>
      </c>
      <c r="F204" s="134">
        <f t="shared" ref="F204:F206" si="78">(D204*E204)/100</f>
        <v>0</v>
      </c>
      <c r="G204" s="181">
        <v>0</v>
      </c>
      <c r="H204" s="134">
        <f t="shared" ref="H204:H206" si="79">G204/C204*100</f>
        <v>0</v>
      </c>
      <c r="I204" s="134">
        <f t="shared" ref="I204:I206" si="80">(D204*H204)/100</f>
        <v>0</v>
      </c>
      <c r="J204" s="6">
        <f t="shared" ref="J204:J206" si="81">G204-C204</f>
        <v>-140000000</v>
      </c>
      <c r="K204" s="146"/>
    </row>
    <row r="205" spans="1:14" ht="25.5" x14ac:dyDescent="0.25">
      <c r="A205" s="319" t="s">
        <v>59</v>
      </c>
      <c r="B205" s="707" t="s">
        <v>384</v>
      </c>
      <c r="C205" s="258">
        <f>33350000</f>
        <v>33350000</v>
      </c>
      <c r="D205" s="267"/>
      <c r="E205" s="134"/>
      <c r="F205" s="134"/>
      <c r="G205" s="181"/>
      <c r="H205" s="134"/>
      <c r="I205" s="134"/>
      <c r="J205" s="6">
        <f t="shared" si="81"/>
        <v>-33350000</v>
      </c>
      <c r="K205" s="146"/>
    </row>
    <row r="206" spans="1:14" x14ac:dyDescent="0.25">
      <c r="A206" s="49" t="s">
        <v>148</v>
      </c>
      <c r="B206" s="707" t="s">
        <v>197</v>
      </c>
      <c r="C206" s="259">
        <f>2290000</f>
        <v>2290000</v>
      </c>
      <c r="D206" s="267">
        <f>C206/C203*100</f>
        <v>8.4951996557403806E-2</v>
      </c>
      <c r="E206" s="134">
        <f t="shared" si="77"/>
        <v>0</v>
      </c>
      <c r="F206" s="134">
        <f t="shared" si="78"/>
        <v>0</v>
      </c>
      <c r="G206" s="181">
        <v>0</v>
      </c>
      <c r="H206" s="134">
        <f t="shared" si="79"/>
        <v>0</v>
      </c>
      <c r="I206" s="134">
        <f t="shared" si="80"/>
        <v>0</v>
      </c>
      <c r="J206" s="6">
        <f t="shared" si="81"/>
        <v>-2290000</v>
      </c>
      <c r="K206" s="146"/>
    </row>
    <row r="207" spans="1:14" x14ac:dyDescent="0.25">
      <c r="A207" s="749"/>
      <c r="B207" s="133" t="s">
        <v>531</v>
      </c>
      <c r="C207" s="259">
        <f>2520000000</f>
        <v>2520000000</v>
      </c>
      <c r="D207" s="848"/>
      <c r="E207" s="134"/>
      <c r="F207" s="134"/>
      <c r="G207" s="181"/>
      <c r="H207" s="134"/>
      <c r="I207" s="134"/>
      <c r="J207" s="6"/>
      <c r="K207" s="849"/>
    </row>
    <row r="208" spans="1:14" x14ac:dyDescent="0.25">
      <c r="A208" s="71"/>
      <c r="B208" s="76" t="s">
        <v>95</v>
      </c>
      <c r="C208" s="806">
        <f>SUM(C204:C207)</f>
        <v>2695640000</v>
      </c>
      <c r="D208" s="141">
        <f>SUM(D204:D206)</f>
        <v>5.2785238384947544</v>
      </c>
      <c r="E208" s="134"/>
      <c r="F208" s="134"/>
      <c r="G208" s="181">
        <f>SUM(G204:G207)</f>
        <v>0</v>
      </c>
      <c r="H208" s="134"/>
      <c r="I208" s="134"/>
      <c r="J208" s="56">
        <v>0</v>
      </c>
      <c r="K208" s="143"/>
    </row>
    <row r="209" spans="1:11" x14ac:dyDescent="0.25">
      <c r="A209" s="186"/>
      <c r="B209" s="2"/>
      <c r="C209" s="187"/>
      <c r="D209" s="188"/>
      <c r="E209" s="183"/>
      <c r="F209" s="183"/>
      <c r="G209" s="184"/>
      <c r="H209" s="183"/>
      <c r="I209" s="183"/>
      <c r="J209" s="189"/>
      <c r="K209" s="53"/>
    </row>
    <row r="210" spans="1:11" x14ac:dyDescent="0.25">
      <c r="A210" s="1080" t="s">
        <v>2</v>
      </c>
      <c r="B210" s="1081" t="s">
        <v>168</v>
      </c>
      <c r="C210" s="1080" t="s">
        <v>4</v>
      </c>
      <c r="D210" s="1075" t="s">
        <v>5</v>
      </c>
      <c r="E210" s="1076"/>
      <c r="F210" s="1076"/>
      <c r="G210" s="1077" t="s">
        <v>6</v>
      </c>
      <c r="H210" s="1076"/>
      <c r="I210" s="1076"/>
      <c r="J210" s="1080" t="s">
        <v>7</v>
      </c>
      <c r="K210" s="95" t="s">
        <v>8</v>
      </c>
    </row>
    <row r="211" spans="1:11" x14ac:dyDescent="0.25">
      <c r="A211" s="1080"/>
      <c r="B211" s="1081"/>
      <c r="C211" s="1080"/>
      <c r="D211" s="95" t="s">
        <v>9</v>
      </c>
      <c r="E211" s="294" t="s">
        <v>10</v>
      </c>
      <c r="F211" s="294" t="s">
        <v>11</v>
      </c>
      <c r="G211" s="299" t="s">
        <v>12</v>
      </c>
      <c r="H211" s="294" t="s">
        <v>13</v>
      </c>
      <c r="I211" s="294" t="s">
        <v>11</v>
      </c>
      <c r="J211" s="1078"/>
      <c r="K211" s="98"/>
    </row>
    <row r="212" spans="1:11" x14ac:dyDescent="0.25">
      <c r="A212" s="1080"/>
      <c r="B212" s="1081"/>
      <c r="C212" s="1080"/>
      <c r="D212" s="101" t="s">
        <v>14</v>
      </c>
      <c r="E212" s="100" t="s">
        <v>14</v>
      </c>
      <c r="F212" s="100" t="s">
        <v>14</v>
      </c>
      <c r="G212" s="99" t="s">
        <v>15</v>
      </c>
      <c r="H212" s="100" t="s">
        <v>14</v>
      </c>
      <c r="I212" s="100" t="s">
        <v>14</v>
      </c>
      <c r="J212" s="101" t="s">
        <v>15</v>
      </c>
      <c r="K212" s="101"/>
    </row>
    <row r="213" spans="1:11" x14ac:dyDescent="0.25">
      <c r="A213" s="79" t="s">
        <v>185</v>
      </c>
      <c r="B213" s="199" t="s">
        <v>146</v>
      </c>
      <c r="C213" s="24"/>
      <c r="D213" s="10"/>
      <c r="E213" s="34"/>
      <c r="F213" s="34"/>
      <c r="G213" s="6"/>
      <c r="H213" s="34"/>
      <c r="I213" s="34"/>
      <c r="J213" s="10"/>
      <c r="K213" s="10"/>
    </row>
    <row r="214" spans="1:11" x14ac:dyDescent="0.25">
      <c r="A214" s="125" t="s">
        <v>187</v>
      </c>
      <c r="B214" s="280" t="s">
        <v>150</v>
      </c>
      <c r="C214" s="252">
        <f>SUM(C215:C219)</f>
        <v>1635097968</v>
      </c>
      <c r="D214" s="10"/>
      <c r="E214" s="34"/>
      <c r="F214" s="34"/>
      <c r="G214" s="6"/>
      <c r="H214" s="34"/>
      <c r="I214" s="34"/>
      <c r="J214" s="10"/>
      <c r="K214" s="10"/>
    </row>
    <row r="215" spans="1:11" ht="25.5" x14ac:dyDescent="0.25">
      <c r="A215" s="313" t="s">
        <v>44</v>
      </c>
      <c r="B215" s="707" t="s">
        <v>384</v>
      </c>
      <c r="C215" s="253">
        <v>29600000</v>
      </c>
      <c r="D215" s="134">
        <f>C215/C214*100</f>
        <v>1.8102890823236593</v>
      </c>
      <c r="E215" s="134">
        <f t="shared" ref="E215:E218" si="82">G215/C215*100</f>
        <v>100</v>
      </c>
      <c r="F215" s="134">
        <f t="shared" ref="F215:F218" si="83">(D215*E215)/100</f>
        <v>1.8102890823236593</v>
      </c>
      <c r="G215" s="181">
        <f>29600000</f>
        <v>29600000</v>
      </c>
      <c r="H215" s="134">
        <f t="shared" ref="H215:H218" si="84">G215/C215*100</f>
        <v>100</v>
      </c>
      <c r="I215" s="134">
        <f t="shared" ref="I215:I218" si="85">(D215*H215)/100</f>
        <v>1.8102890823236593</v>
      </c>
      <c r="J215" s="6">
        <f t="shared" ref="J215:J219" si="86">G215-C215</f>
        <v>0</v>
      </c>
      <c r="K215" s="10"/>
    </row>
    <row r="216" spans="1:11" x14ac:dyDescent="0.25">
      <c r="A216" s="319" t="s">
        <v>59</v>
      </c>
      <c r="B216" s="707" t="s">
        <v>197</v>
      </c>
      <c r="C216" s="253">
        <v>1300000</v>
      </c>
      <c r="D216" s="134"/>
      <c r="E216" s="134"/>
      <c r="F216" s="134"/>
      <c r="G216" s="181"/>
      <c r="H216" s="134"/>
      <c r="I216" s="134"/>
      <c r="J216" s="6">
        <f t="shared" si="86"/>
        <v>-1300000</v>
      </c>
      <c r="K216" s="10"/>
    </row>
    <row r="217" spans="1:11" x14ac:dyDescent="0.25">
      <c r="A217" s="49" t="s">
        <v>148</v>
      </c>
      <c r="B217" s="133" t="s">
        <v>531</v>
      </c>
      <c r="C217" s="256">
        <f>1140000000</f>
        <v>1140000000</v>
      </c>
      <c r="D217" s="134">
        <f>C217/C214*100</f>
        <v>69.720593035438228</v>
      </c>
      <c r="E217" s="134">
        <f t="shared" si="82"/>
        <v>37.521929824561404</v>
      </c>
      <c r="F217" s="134">
        <f t="shared" si="83"/>
        <v>26.160511992025178</v>
      </c>
      <c r="G217" s="181">
        <f>427750000</f>
        <v>427750000</v>
      </c>
      <c r="H217" s="134">
        <f t="shared" si="84"/>
        <v>37.521929824561404</v>
      </c>
      <c r="I217" s="134">
        <f t="shared" si="85"/>
        <v>26.160511992025178</v>
      </c>
      <c r="J217" s="6">
        <f t="shared" si="86"/>
        <v>-712250000</v>
      </c>
      <c r="K217" s="10"/>
    </row>
    <row r="218" spans="1:11" s="84" customFormat="1" ht="25.5" x14ac:dyDescent="0.2">
      <c r="A218" s="49" t="s">
        <v>152</v>
      </c>
      <c r="B218" s="133" t="s">
        <v>153</v>
      </c>
      <c r="C218" s="256">
        <v>456000000</v>
      </c>
      <c r="D218" s="134">
        <f>C218/C214*100</f>
        <v>27.888237214175295</v>
      </c>
      <c r="E218" s="134">
        <f t="shared" si="82"/>
        <v>25</v>
      </c>
      <c r="F218" s="134">
        <f t="shared" si="83"/>
        <v>6.9720593035438245</v>
      </c>
      <c r="G218" s="181">
        <f>114000000</f>
        <v>114000000</v>
      </c>
      <c r="H218" s="134">
        <f t="shared" si="84"/>
        <v>25</v>
      </c>
      <c r="I218" s="134">
        <f t="shared" si="85"/>
        <v>6.9720593035438245</v>
      </c>
      <c r="J218" s="6">
        <f t="shared" si="86"/>
        <v>-342000000</v>
      </c>
      <c r="K218" s="38"/>
    </row>
    <row r="219" spans="1:11" s="84" customFormat="1" x14ac:dyDescent="0.2">
      <c r="A219" s="749" t="s">
        <v>234</v>
      </c>
      <c r="B219" s="133" t="s">
        <v>522</v>
      </c>
      <c r="C219" s="256">
        <v>8197968</v>
      </c>
      <c r="D219" s="804"/>
      <c r="E219" s="134"/>
      <c r="F219" s="134"/>
      <c r="G219" s="181">
        <f>8197968</f>
        <v>8197968</v>
      </c>
      <c r="H219" s="134"/>
      <c r="I219" s="134"/>
      <c r="J219" s="6">
        <f t="shared" si="86"/>
        <v>0</v>
      </c>
      <c r="K219" s="805"/>
    </row>
    <row r="220" spans="1:11" x14ac:dyDescent="0.25">
      <c r="A220" s="70"/>
      <c r="B220" s="129" t="s">
        <v>95</v>
      </c>
      <c r="C220" s="807">
        <f>SUM(C215:C219)</f>
        <v>1635097968</v>
      </c>
      <c r="D220" s="271">
        <f>SUM(D215:D218)</f>
        <v>99.419119331937182</v>
      </c>
      <c r="E220" s="134"/>
      <c r="F220" s="134"/>
      <c r="G220" s="181">
        <f>SUM(G215:G219)</f>
        <v>579547968</v>
      </c>
      <c r="H220" s="134"/>
      <c r="I220" s="134"/>
      <c r="J220" s="56">
        <v>0</v>
      </c>
      <c r="K220" s="130"/>
    </row>
    <row r="221" spans="1:11" x14ac:dyDescent="0.25">
      <c r="A221" s="186"/>
      <c r="B221" s="2"/>
      <c r="C221" s="187"/>
      <c r="D221" s="188"/>
      <c r="E221" s="183"/>
      <c r="F221" s="183"/>
      <c r="G221" s="184"/>
      <c r="H221" s="183"/>
      <c r="I221" s="183"/>
      <c r="J221" s="189"/>
      <c r="K221" s="53"/>
    </row>
    <row r="222" spans="1:11" x14ac:dyDescent="0.25">
      <c r="A222" s="50"/>
      <c r="B222" s="5"/>
      <c r="C222" s="50"/>
      <c r="D222" s="9"/>
      <c r="E222" s="23"/>
      <c r="F222" s="23"/>
      <c r="G222" s="11"/>
      <c r="H222" s="23"/>
      <c r="I222" s="23"/>
      <c r="J222" s="9"/>
      <c r="K222" s="9"/>
    </row>
    <row r="223" spans="1:11" x14ac:dyDescent="0.25">
      <c r="A223" s="1088" t="s">
        <v>2</v>
      </c>
      <c r="B223" s="1094" t="s">
        <v>133</v>
      </c>
      <c r="C223" s="853"/>
      <c r="D223" s="1097" t="s">
        <v>5</v>
      </c>
      <c r="E223" s="1098"/>
      <c r="F223" s="1099"/>
      <c r="G223" s="1100" t="s">
        <v>6</v>
      </c>
      <c r="H223" s="1101"/>
      <c r="I223" s="1102"/>
      <c r="J223" s="1088" t="s">
        <v>7</v>
      </c>
      <c r="K223" s="108" t="s">
        <v>8</v>
      </c>
    </row>
    <row r="224" spans="1:11" x14ac:dyDescent="0.25">
      <c r="A224" s="1092"/>
      <c r="B224" s="1095"/>
      <c r="C224" s="854" t="s">
        <v>4</v>
      </c>
      <c r="D224" s="109" t="s">
        <v>9</v>
      </c>
      <c r="E224" s="110" t="s">
        <v>10</v>
      </c>
      <c r="F224" s="110" t="s">
        <v>11</v>
      </c>
      <c r="G224" s="111" t="s">
        <v>12</v>
      </c>
      <c r="H224" s="110" t="s">
        <v>13</v>
      </c>
      <c r="I224" s="110" t="s">
        <v>11</v>
      </c>
      <c r="J224" s="1092"/>
      <c r="K224" s="109"/>
    </row>
    <row r="225" spans="1:11" x14ac:dyDescent="0.25">
      <c r="A225" s="1093"/>
      <c r="B225" s="1096"/>
      <c r="C225" s="855"/>
      <c r="D225" s="112" t="s">
        <v>14</v>
      </c>
      <c r="E225" s="113" t="s">
        <v>14</v>
      </c>
      <c r="F225" s="113" t="s">
        <v>14</v>
      </c>
      <c r="G225" s="114" t="s">
        <v>15</v>
      </c>
      <c r="H225" s="113" t="s">
        <v>14</v>
      </c>
      <c r="I225" s="113" t="s">
        <v>14</v>
      </c>
      <c r="J225" s="112" t="s">
        <v>15</v>
      </c>
      <c r="K225" s="112"/>
    </row>
    <row r="226" spans="1:11" ht="25.5" x14ac:dyDescent="0.25">
      <c r="A226" s="79" t="s">
        <v>180</v>
      </c>
      <c r="B226" s="696" t="s">
        <v>379</v>
      </c>
      <c r="C226" s="291"/>
      <c r="D226" s="10"/>
      <c r="E226" s="34"/>
      <c r="F226" s="34"/>
      <c r="G226" s="6"/>
      <c r="H226" s="34"/>
      <c r="I226" s="34"/>
      <c r="J226" s="10"/>
      <c r="K226" s="10"/>
    </row>
    <row r="227" spans="1:11" ht="25.5" x14ac:dyDescent="0.25">
      <c r="A227" s="125" t="s">
        <v>181</v>
      </c>
      <c r="B227" s="697" t="s">
        <v>380</v>
      </c>
      <c r="C227" s="87">
        <f>SUM(C228:C239)</f>
        <v>185000000</v>
      </c>
      <c r="D227" s="10"/>
      <c r="E227" s="34"/>
      <c r="F227" s="34"/>
      <c r="G227" s="6"/>
      <c r="H227" s="34"/>
      <c r="I227" s="34"/>
      <c r="J227" s="10"/>
      <c r="K227" s="10"/>
    </row>
    <row r="228" spans="1:11" ht="25.5" x14ac:dyDescent="0.25">
      <c r="A228" s="49" t="s">
        <v>44</v>
      </c>
      <c r="B228" s="707" t="s">
        <v>384</v>
      </c>
      <c r="C228" s="172">
        <v>8580000</v>
      </c>
      <c r="D228" s="134">
        <f>C228/C227*100</f>
        <v>4.6378378378378375</v>
      </c>
      <c r="E228" s="134">
        <f t="shared" ref="E228:E237" si="87">G228/C228*100</f>
        <v>100</v>
      </c>
      <c r="F228" s="134">
        <f t="shared" ref="F228:F237" si="88">(D228*E228)/100</f>
        <v>4.6378378378378375</v>
      </c>
      <c r="G228" s="181">
        <f>8580000</f>
        <v>8580000</v>
      </c>
      <c r="H228" s="134">
        <f t="shared" ref="H228:H237" si="89">G228/C228*100</f>
        <v>100</v>
      </c>
      <c r="I228" s="134">
        <f t="shared" ref="I228:I237" si="90">(D228*H228)/100</f>
        <v>4.6378378378378375</v>
      </c>
      <c r="J228" s="6">
        <f t="shared" ref="J228:J239" si="91">G228-C228</f>
        <v>0</v>
      </c>
      <c r="K228" s="10"/>
    </row>
    <row r="229" spans="1:11" x14ac:dyDescent="0.25">
      <c r="A229" s="49" t="s">
        <v>59</v>
      </c>
      <c r="B229" s="707" t="s">
        <v>197</v>
      </c>
      <c r="C229" s="256">
        <v>9515700</v>
      </c>
      <c r="D229" s="134">
        <f>C229/C227*100</f>
        <v>5.1436216216216222</v>
      </c>
      <c r="E229" s="134">
        <f t="shared" si="87"/>
        <v>73.49012684300682</v>
      </c>
      <c r="F229" s="134">
        <f t="shared" si="88"/>
        <v>3.7800540540540544</v>
      </c>
      <c r="G229" s="181">
        <f>6993100</f>
        <v>6993100</v>
      </c>
      <c r="H229" s="134">
        <f t="shared" si="89"/>
        <v>73.49012684300682</v>
      </c>
      <c r="I229" s="134">
        <f t="shared" si="90"/>
        <v>3.7800540540540544</v>
      </c>
      <c r="J229" s="6">
        <f t="shared" si="91"/>
        <v>-2522600</v>
      </c>
      <c r="K229" s="10"/>
    </row>
    <row r="230" spans="1:11" x14ac:dyDescent="0.25">
      <c r="A230" s="49" t="s">
        <v>62</v>
      </c>
      <c r="B230" s="707" t="s">
        <v>334</v>
      </c>
      <c r="C230" s="256">
        <v>4450000</v>
      </c>
      <c r="D230" s="134">
        <f>C230/C227*100</f>
        <v>2.4054054054054053</v>
      </c>
      <c r="E230" s="134">
        <f t="shared" si="87"/>
        <v>100</v>
      </c>
      <c r="F230" s="134">
        <f t="shared" si="88"/>
        <v>2.4054054054054053</v>
      </c>
      <c r="G230" s="181">
        <f>4450000</f>
        <v>4450000</v>
      </c>
      <c r="H230" s="134">
        <f t="shared" si="89"/>
        <v>100</v>
      </c>
      <c r="I230" s="134">
        <f t="shared" si="90"/>
        <v>2.4054054054054053</v>
      </c>
      <c r="J230" s="6">
        <f t="shared" si="91"/>
        <v>0</v>
      </c>
      <c r="K230" s="10"/>
    </row>
    <row r="231" spans="1:11" ht="25.5" x14ac:dyDescent="0.25">
      <c r="A231" s="49"/>
      <c r="B231" s="707" t="s">
        <v>532</v>
      </c>
      <c r="C231" s="256">
        <v>3500000</v>
      </c>
      <c r="D231" s="134"/>
      <c r="E231" s="134"/>
      <c r="F231" s="134"/>
      <c r="G231" s="181">
        <f>3500000</f>
        <v>3500000</v>
      </c>
      <c r="H231" s="134"/>
      <c r="I231" s="134"/>
      <c r="J231" s="6">
        <f t="shared" si="91"/>
        <v>0</v>
      </c>
      <c r="K231" s="10"/>
    </row>
    <row r="232" spans="1:11" x14ac:dyDescent="0.25">
      <c r="A232" s="49" t="s">
        <v>77</v>
      </c>
      <c r="B232" s="49" t="s">
        <v>135</v>
      </c>
      <c r="C232" s="174">
        <v>73080000</v>
      </c>
      <c r="D232" s="134">
        <f>C232/C227*100</f>
        <v>39.502702702702699</v>
      </c>
      <c r="E232" s="134">
        <f t="shared" si="87"/>
        <v>23.604269293924464</v>
      </c>
      <c r="F232" s="134">
        <f t="shared" si="88"/>
        <v>9.3243243243243228</v>
      </c>
      <c r="G232" s="181">
        <f>17250000</f>
        <v>17250000</v>
      </c>
      <c r="H232" s="134">
        <f t="shared" si="89"/>
        <v>23.604269293924464</v>
      </c>
      <c r="I232" s="134">
        <f t="shared" si="90"/>
        <v>9.3243243243243228</v>
      </c>
      <c r="J232" s="6">
        <f t="shared" si="91"/>
        <v>-55830000</v>
      </c>
      <c r="K232" s="10"/>
    </row>
    <row r="233" spans="1:11" x14ac:dyDescent="0.25">
      <c r="A233" s="49"/>
      <c r="B233" s="170" t="s">
        <v>178</v>
      </c>
      <c r="C233" s="174">
        <v>5125000</v>
      </c>
      <c r="D233" s="134"/>
      <c r="E233" s="134"/>
      <c r="F233" s="134"/>
      <c r="G233" s="181"/>
      <c r="H233" s="134"/>
      <c r="I233" s="134"/>
      <c r="J233" s="6">
        <f t="shared" si="91"/>
        <v>-5125000</v>
      </c>
      <c r="K233" s="10"/>
    </row>
    <row r="234" spans="1:11" x14ac:dyDescent="0.25">
      <c r="A234" s="49" t="s">
        <v>104</v>
      </c>
      <c r="B234" s="170" t="s">
        <v>179</v>
      </c>
      <c r="C234" s="172">
        <v>33400000</v>
      </c>
      <c r="D234" s="134">
        <f>C234/C227*100</f>
        <v>18.054054054054053</v>
      </c>
      <c r="E234" s="134">
        <f t="shared" si="87"/>
        <v>100</v>
      </c>
      <c r="F234" s="134">
        <f t="shared" si="88"/>
        <v>18.054054054054053</v>
      </c>
      <c r="G234" s="181">
        <f>33400000</f>
        <v>33400000</v>
      </c>
      <c r="H234" s="134">
        <f t="shared" si="89"/>
        <v>100</v>
      </c>
      <c r="I234" s="134">
        <f t="shared" si="90"/>
        <v>18.054054054054053</v>
      </c>
      <c r="J234" s="6">
        <f t="shared" si="91"/>
        <v>0</v>
      </c>
      <c r="K234" s="10"/>
    </row>
    <row r="235" spans="1:11" ht="25.5" x14ac:dyDescent="0.25">
      <c r="A235" s="49" t="s">
        <v>106</v>
      </c>
      <c r="B235" s="316" t="s">
        <v>375</v>
      </c>
      <c r="C235" s="178">
        <v>16500000</v>
      </c>
      <c r="D235" s="134">
        <f>C235/C227*100</f>
        <v>8.9189189189189193</v>
      </c>
      <c r="E235" s="134">
        <f t="shared" si="87"/>
        <v>74.545454545454547</v>
      </c>
      <c r="F235" s="134">
        <f t="shared" si="88"/>
        <v>6.6486486486486491</v>
      </c>
      <c r="G235" s="181">
        <f>12300000</f>
        <v>12300000</v>
      </c>
      <c r="H235" s="134">
        <f t="shared" si="89"/>
        <v>74.545454545454547</v>
      </c>
      <c r="I235" s="134">
        <f t="shared" si="90"/>
        <v>6.6486486486486491</v>
      </c>
      <c r="J235" s="6">
        <f t="shared" si="91"/>
        <v>-4200000</v>
      </c>
      <c r="K235" s="10"/>
    </row>
    <row r="236" spans="1:11" x14ac:dyDescent="0.25">
      <c r="A236" s="49"/>
      <c r="B236" s="316" t="s">
        <v>533</v>
      </c>
      <c r="C236" s="178">
        <v>2500000</v>
      </c>
      <c r="D236" s="134"/>
      <c r="E236" s="134"/>
      <c r="F236" s="134"/>
      <c r="G236" s="181">
        <f>2500000</f>
        <v>2500000</v>
      </c>
      <c r="H236" s="134"/>
      <c r="I236" s="134"/>
      <c r="J236" s="6">
        <f t="shared" si="91"/>
        <v>0</v>
      </c>
      <c r="K236" s="10"/>
    </row>
    <row r="237" spans="1:11" ht="25.5" x14ac:dyDescent="0.25">
      <c r="A237" s="49" t="s">
        <v>116</v>
      </c>
      <c r="B237" s="133" t="s">
        <v>371</v>
      </c>
      <c r="C237" s="178">
        <v>4824300</v>
      </c>
      <c r="D237" s="134">
        <f>C237/C227*100</f>
        <v>2.6077297297297299</v>
      </c>
      <c r="E237" s="134">
        <f t="shared" si="87"/>
        <v>62.181041809174388</v>
      </c>
      <c r="F237" s="134">
        <f t="shared" si="88"/>
        <v>1.6215135135135137</v>
      </c>
      <c r="G237" s="181">
        <v>2999800</v>
      </c>
      <c r="H237" s="134">
        <f t="shared" si="89"/>
        <v>62.181041809174388</v>
      </c>
      <c r="I237" s="134">
        <f t="shared" si="90"/>
        <v>1.6215135135135137</v>
      </c>
      <c r="J237" s="6">
        <f t="shared" si="91"/>
        <v>-1824500</v>
      </c>
      <c r="K237" s="10"/>
    </row>
    <row r="238" spans="1:11" x14ac:dyDescent="0.25">
      <c r="A238" s="749" t="s">
        <v>121</v>
      </c>
      <c r="B238" s="315" t="s">
        <v>191</v>
      </c>
      <c r="C238" s="178">
        <v>19400000</v>
      </c>
      <c r="D238" s="134"/>
      <c r="E238" s="134"/>
      <c r="F238" s="134"/>
      <c r="G238" s="181">
        <f>19400000</f>
        <v>19400000</v>
      </c>
      <c r="H238" s="134"/>
      <c r="I238" s="134"/>
      <c r="J238" s="6">
        <f t="shared" si="91"/>
        <v>0</v>
      </c>
      <c r="K238" s="10"/>
    </row>
    <row r="239" spans="1:11" x14ac:dyDescent="0.25">
      <c r="A239" s="749" t="s">
        <v>407</v>
      </c>
      <c r="B239" s="133" t="s">
        <v>424</v>
      </c>
      <c r="C239" s="178">
        <v>4125000</v>
      </c>
      <c r="D239" s="134"/>
      <c r="E239" s="134"/>
      <c r="F239" s="134"/>
      <c r="G239" s="181">
        <v>4125000</v>
      </c>
      <c r="H239" s="134"/>
      <c r="I239" s="134"/>
      <c r="J239" s="6">
        <f t="shared" si="91"/>
        <v>0</v>
      </c>
      <c r="K239" s="10"/>
    </row>
    <row r="240" spans="1:11" x14ac:dyDescent="0.25">
      <c r="A240" s="70"/>
      <c r="B240" s="851" t="s">
        <v>136</v>
      </c>
      <c r="C240" s="43">
        <f>SUM(C228:C239)</f>
        <v>185000000</v>
      </c>
      <c r="D240" s="12">
        <f>SUM(D228:D237)</f>
        <v>81.27027027027026</v>
      </c>
      <c r="E240" s="134"/>
      <c r="F240" s="134"/>
      <c r="G240" s="837">
        <f>SUM(G228:G239)</f>
        <v>115497900</v>
      </c>
      <c r="H240" s="134"/>
      <c r="I240" s="134"/>
      <c r="J240" s="734"/>
      <c r="K240" s="3"/>
    </row>
    <row r="241" spans="1:14" x14ac:dyDescent="0.25">
      <c r="A241" s="53"/>
      <c r="B241" s="5"/>
      <c r="C241" s="189"/>
      <c r="D241" s="29"/>
      <c r="E241" s="30"/>
      <c r="F241" s="23"/>
      <c r="G241" s="11"/>
      <c r="H241" s="32"/>
      <c r="I241" s="23"/>
      <c r="J241" s="15"/>
      <c r="K241" s="37"/>
    </row>
    <row r="242" spans="1:14" ht="31.5" x14ac:dyDescent="0.25">
      <c r="A242" s="55"/>
      <c r="B242" s="46" t="s">
        <v>145</v>
      </c>
      <c r="C242" s="155"/>
      <c r="D242" s="44"/>
      <c r="E242" s="45"/>
      <c r="F242" s="45"/>
      <c r="G242" s="48"/>
      <c r="H242" s="45"/>
      <c r="I242" s="45"/>
      <c r="J242" s="44"/>
      <c r="K242" s="44"/>
      <c r="L242" s="1"/>
      <c r="M242" s="1"/>
      <c r="N242" s="1"/>
    </row>
    <row r="243" spans="1:14" x14ac:dyDescent="0.25">
      <c r="A243" s="1087" t="s">
        <v>2</v>
      </c>
      <c r="B243" s="1089" t="s">
        <v>169</v>
      </c>
      <c r="C243" s="1087" t="s">
        <v>4</v>
      </c>
      <c r="D243" s="1090" t="s">
        <v>5</v>
      </c>
      <c r="E243" s="1090"/>
      <c r="F243" s="1090"/>
      <c r="G243" s="1091" t="s">
        <v>6</v>
      </c>
      <c r="H243" s="1091"/>
      <c r="I243" s="1091"/>
      <c r="J243" s="1087" t="s">
        <v>7</v>
      </c>
      <c r="K243" s="108" t="s">
        <v>8</v>
      </c>
    </row>
    <row r="244" spans="1:14" x14ac:dyDescent="0.25">
      <c r="A244" s="1087"/>
      <c r="B244" s="1089"/>
      <c r="C244" s="1087"/>
      <c r="D244" s="108" t="s">
        <v>9</v>
      </c>
      <c r="E244" s="300" t="s">
        <v>10</v>
      </c>
      <c r="F244" s="300" t="s">
        <v>11</v>
      </c>
      <c r="G244" s="301" t="s">
        <v>12</v>
      </c>
      <c r="H244" s="300" t="s">
        <v>13</v>
      </c>
      <c r="I244" s="300" t="s">
        <v>11</v>
      </c>
      <c r="J244" s="1088"/>
      <c r="K244" s="109"/>
    </row>
    <row r="245" spans="1:14" x14ac:dyDescent="0.25">
      <c r="A245" s="1087"/>
      <c r="B245" s="1089"/>
      <c r="C245" s="1087"/>
      <c r="D245" s="112" t="s">
        <v>14</v>
      </c>
      <c r="E245" s="113" t="s">
        <v>14</v>
      </c>
      <c r="F245" s="113" t="s">
        <v>14</v>
      </c>
      <c r="G245" s="114" t="s">
        <v>15</v>
      </c>
      <c r="H245" s="113" t="s">
        <v>14</v>
      </c>
      <c r="I245" s="113" t="s">
        <v>14</v>
      </c>
      <c r="J245" s="112" t="s">
        <v>15</v>
      </c>
      <c r="K245" s="112"/>
    </row>
    <row r="246" spans="1:14" x14ac:dyDescent="0.25">
      <c r="A246" s="79" t="s">
        <v>185</v>
      </c>
      <c r="B246" s="199" t="s">
        <v>146</v>
      </c>
      <c r="C246" s="24"/>
      <c r="D246" s="10"/>
      <c r="E246" s="34"/>
      <c r="F246" s="34"/>
      <c r="G246" s="6"/>
      <c r="H246" s="34"/>
      <c r="I246" s="34"/>
      <c r="J246" s="10"/>
      <c r="K246" s="10"/>
    </row>
    <row r="247" spans="1:14" x14ac:dyDescent="0.25">
      <c r="A247" s="125" t="s">
        <v>184</v>
      </c>
      <c r="B247" s="280" t="s">
        <v>147</v>
      </c>
      <c r="C247" s="252">
        <f>SUM(C248:C249)</f>
        <v>2905640000</v>
      </c>
      <c r="D247" s="10"/>
      <c r="E247" s="34"/>
      <c r="F247" s="34"/>
      <c r="G247" s="6"/>
      <c r="H247" s="34"/>
      <c r="I247" s="34"/>
      <c r="J247" s="10"/>
      <c r="K247" s="10"/>
    </row>
    <row r="248" spans="1:14" ht="25.5" x14ac:dyDescent="0.25">
      <c r="A248" s="313" t="s">
        <v>44</v>
      </c>
      <c r="B248" s="707" t="s">
        <v>384</v>
      </c>
      <c r="C248" s="253">
        <v>35640000</v>
      </c>
      <c r="D248" s="134">
        <f>C248/C247*100</f>
        <v>1.2265800305612533</v>
      </c>
      <c r="E248" s="134">
        <f t="shared" ref="E248:E249" si="92">G248/C248*100</f>
        <v>0</v>
      </c>
      <c r="F248" s="134">
        <f t="shared" ref="F248:F249" si="93">(D248*E248)/100</f>
        <v>0</v>
      </c>
      <c r="G248" s="181">
        <v>0</v>
      </c>
      <c r="H248" s="134">
        <f t="shared" ref="H248:H249" si="94">G248/C248*100</f>
        <v>0</v>
      </c>
      <c r="I248" s="134">
        <f t="shared" ref="I248:I249" si="95">(D248*H248)/100</f>
        <v>0</v>
      </c>
      <c r="J248" s="6">
        <f t="shared" ref="J248:J249" si="96">G248-C248</f>
        <v>-35640000</v>
      </c>
      <c r="K248" s="10"/>
    </row>
    <row r="249" spans="1:14" x14ac:dyDescent="0.25">
      <c r="A249" s="49" t="s">
        <v>148</v>
      </c>
      <c r="B249" s="133" t="s">
        <v>534</v>
      </c>
      <c r="C249" s="256">
        <v>2870000000</v>
      </c>
      <c r="D249" s="268">
        <f>C249/C247*100</f>
        <v>98.773419969438748</v>
      </c>
      <c r="E249" s="134">
        <f t="shared" si="92"/>
        <v>0</v>
      </c>
      <c r="F249" s="134">
        <f t="shared" si="93"/>
        <v>0</v>
      </c>
      <c r="G249" s="181">
        <v>0</v>
      </c>
      <c r="H249" s="134">
        <f t="shared" si="94"/>
        <v>0</v>
      </c>
      <c r="I249" s="134">
        <f t="shared" si="95"/>
        <v>0</v>
      </c>
      <c r="J249" s="6">
        <f t="shared" si="96"/>
        <v>-2870000000</v>
      </c>
      <c r="K249" s="3"/>
    </row>
    <row r="250" spans="1:14" x14ac:dyDescent="0.25">
      <c r="A250" s="71"/>
      <c r="B250" s="76" t="s">
        <v>95</v>
      </c>
      <c r="C250" s="808">
        <f>SUM(C248:C249)</f>
        <v>2905640000</v>
      </c>
      <c r="D250" s="274">
        <f>SUM(D248:D249)</f>
        <v>100</v>
      </c>
      <c r="E250" s="134"/>
      <c r="F250" s="134"/>
      <c r="G250" s="181">
        <f>SUM(G248:G249)</f>
        <v>0</v>
      </c>
      <c r="H250" s="134"/>
      <c r="I250" s="134"/>
      <c r="J250" s="734"/>
      <c r="K250" s="40"/>
    </row>
    <row r="251" spans="1:14" x14ac:dyDescent="0.25">
      <c r="A251" s="53"/>
      <c r="B251" s="5"/>
      <c r="C251" s="189"/>
      <c r="D251" s="29"/>
      <c r="E251" s="30"/>
      <c r="F251" s="23"/>
      <c r="G251" s="11"/>
      <c r="H251" s="32"/>
      <c r="I251" s="23"/>
      <c r="J251" s="15"/>
      <c r="K251" s="37"/>
    </row>
    <row r="252" spans="1:14" x14ac:dyDescent="0.25">
      <c r="A252" s="1087" t="s">
        <v>2</v>
      </c>
      <c r="B252" s="1089" t="s">
        <v>169</v>
      </c>
      <c r="C252" s="1087" t="s">
        <v>4</v>
      </c>
      <c r="D252" s="1090" t="s">
        <v>5</v>
      </c>
      <c r="E252" s="1090"/>
      <c r="F252" s="1090"/>
      <c r="G252" s="1091" t="s">
        <v>6</v>
      </c>
      <c r="H252" s="1091"/>
      <c r="I252" s="1091"/>
      <c r="J252" s="1087" t="s">
        <v>7</v>
      </c>
      <c r="K252" s="108" t="s">
        <v>8</v>
      </c>
    </row>
    <row r="253" spans="1:14" x14ac:dyDescent="0.25">
      <c r="A253" s="1087"/>
      <c r="B253" s="1089"/>
      <c r="C253" s="1087"/>
      <c r="D253" s="108" t="s">
        <v>9</v>
      </c>
      <c r="E253" s="300" t="s">
        <v>10</v>
      </c>
      <c r="F253" s="300" t="s">
        <v>11</v>
      </c>
      <c r="G253" s="301" t="s">
        <v>12</v>
      </c>
      <c r="H253" s="300" t="s">
        <v>13</v>
      </c>
      <c r="I253" s="300" t="s">
        <v>11</v>
      </c>
      <c r="J253" s="1088"/>
      <c r="K253" s="109"/>
    </row>
    <row r="254" spans="1:14" x14ac:dyDescent="0.25">
      <c r="A254" s="1087"/>
      <c r="B254" s="1089"/>
      <c r="C254" s="1087"/>
      <c r="D254" s="112" t="s">
        <v>14</v>
      </c>
      <c r="E254" s="113" t="s">
        <v>14</v>
      </c>
      <c r="F254" s="113" t="s">
        <v>14</v>
      </c>
      <c r="G254" s="114" t="s">
        <v>15</v>
      </c>
      <c r="H254" s="113" t="s">
        <v>14</v>
      </c>
      <c r="I254" s="113" t="s">
        <v>14</v>
      </c>
      <c r="J254" s="112" t="s">
        <v>15</v>
      </c>
      <c r="K254" s="112"/>
    </row>
    <row r="255" spans="1:14" x14ac:dyDescent="0.25">
      <c r="A255" s="79" t="s">
        <v>185</v>
      </c>
      <c r="B255" s="199" t="s">
        <v>146</v>
      </c>
      <c r="C255" s="24"/>
      <c r="D255" s="10"/>
      <c r="E255" s="34"/>
      <c r="F255" s="34"/>
      <c r="G255" s="6"/>
      <c r="H255" s="34"/>
      <c r="I255" s="34"/>
      <c r="J255" s="10"/>
      <c r="K255" s="10"/>
    </row>
    <row r="256" spans="1:14" x14ac:dyDescent="0.25">
      <c r="A256" s="125" t="s">
        <v>187</v>
      </c>
      <c r="B256" s="280" t="s">
        <v>150</v>
      </c>
      <c r="C256" s="252">
        <f>SUM(C257:C261)</f>
        <v>1761745176</v>
      </c>
      <c r="D256" s="10"/>
      <c r="E256" s="34"/>
      <c r="F256" s="34"/>
      <c r="G256" s="6"/>
      <c r="H256" s="34"/>
      <c r="I256" s="34"/>
      <c r="J256" s="10"/>
      <c r="K256" s="10"/>
    </row>
    <row r="257" spans="1:11" ht="25.5" x14ac:dyDescent="0.25">
      <c r="A257" s="313" t="s">
        <v>44</v>
      </c>
      <c r="B257" s="707" t="s">
        <v>384</v>
      </c>
      <c r="C257" s="253">
        <v>30210000</v>
      </c>
      <c r="D257" s="134">
        <f>C257/C256*100</f>
        <v>1.7147769388868757</v>
      </c>
      <c r="E257" s="134">
        <f t="shared" ref="E257:E260" si="97">G257/C257*100</f>
        <v>0</v>
      </c>
      <c r="F257" s="134">
        <f t="shared" ref="F257:F260" si="98">(D257*E257)/100</f>
        <v>0</v>
      </c>
      <c r="G257" s="181">
        <v>0</v>
      </c>
      <c r="H257" s="134">
        <f t="shared" ref="H257:H260" si="99">G257/C257*100</f>
        <v>0</v>
      </c>
      <c r="I257" s="134">
        <f t="shared" ref="I257:I260" si="100">(D257*H257)/100</f>
        <v>0</v>
      </c>
      <c r="J257" s="6">
        <f t="shared" ref="J257:J261" si="101">G257-C257</f>
        <v>-30210000</v>
      </c>
      <c r="K257" s="10"/>
    </row>
    <row r="258" spans="1:11" x14ac:dyDescent="0.25">
      <c r="A258" s="313" t="s">
        <v>59</v>
      </c>
      <c r="B258" s="707" t="s">
        <v>197</v>
      </c>
      <c r="C258" s="253">
        <v>690000</v>
      </c>
      <c r="D258" s="134">
        <f>C258/C256*100</f>
        <v>3.9165709627009077E-2</v>
      </c>
      <c r="E258" s="134">
        <f t="shared" si="97"/>
        <v>0</v>
      </c>
      <c r="F258" s="134">
        <f t="shared" si="98"/>
        <v>0</v>
      </c>
      <c r="G258" s="181">
        <v>0</v>
      </c>
      <c r="H258" s="134">
        <f t="shared" si="99"/>
        <v>0</v>
      </c>
      <c r="I258" s="134">
        <f t="shared" si="100"/>
        <v>0</v>
      </c>
      <c r="J258" s="6">
        <f t="shared" si="101"/>
        <v>-690000</v>
      </c>
      <c r="K258" s="10"/>
    </row>
    <row r="259" spans="1:11" x14ac:dyDescent="0.25">
      <c r="A259" s="312" t="s">
        <v>157</v>
      </c>
      <c r="B259" s="133" t="s">
        <v>534</v>
      </c>
      <c r="C259" s="256">
        <v>1230000000</v>
      </c>
      <c r="D259" s="134">
        <f>C259/C256*100</f>
        <v>69.817134552494437</v>
      </c>
      <c r="E259" s="134">
        <f t="shared" si="97"/>
        <v>5.0325203252032518</v>
      </c>
      <c r="F259" s="134">
        <f t="shared" si="98"/>
        <v>3.513561486828785</v>
      </c>
      <c r="G259" s="181">
        <f>61900000</f>
        <v>61900000</v>
      </c>
      <c r="H259" s="134">
        <f t="shared" si="99"/>
        <v>5.0325203252032518</v>
      </c>
      <c r="I259" s="134">
        <f t="shared" si="100"/>
        <v>3.513561486828785</v>
      </c>
      <c r="J259" s="6">
        <f t="shared" si="101"/>
        <v>-1168100000</v>
      </c>
      <c r="K259" s="10"/>
    </row>
    <row r="260" spans="1:11" s="84" customFormat="1" ht="25.5" x14ac:dyDescent="0.2">
      <c r="A260" s="312" t="s">
        <v>152</v>
      </c>
      <c r="B260" s="133" t="s">
        <v>159</v>
      </c>
      <c r="C260" s="256">
        <v>492000000</v>
      </c>
      <c r="D260" s="134">
        <f>C260/C256*100</f>
        <v>27.926853820997778</v>
      </c>
      <c r="E260" s="134">
        <f t="shared" si="97"/>
        <v>25</v>
      </c>
      <c r="F260" s="134">
        <f t="shared" si="98"/>
        <v>6.9817134552494444</v>
      </c>
      <c r="G260" s="181">
        <f>123000000</f>
        <v>123000000</v>
      </c>
      <c r="H260" s="134">
        <f t="shared" si="99"/>
        <v>25</v>
      </c>
      <c r="I260" s="134">
        <f t="shared" si="100"/>
        <v>6.9817134552494444</v>
      </c>
      <c r="J260" s="6">
        <f t="shared" si="101"/>
        <v>-369000000</v>
      </c>
      <c r="K260" s="38"/>
    </row>
    <row r="261" spans="1:11" s="84" customFormat="1" x14ac:dyDescent="0.2">
      <c r="A261" s="749" t="s">
        <v>234</v>
      </c>
      <c r="B261" s="133" t="s">
        <v>522</v>
      </c>
      <c r="C261" s="256">
        <v>8845176</v>
      </c>
      <c r="D261" s="804"/>
      <c r="E261" s="134"/>
      <c r="F261" s="134"/>
      <c r="G261" s="181">
        <f>8197968</f>
        <v>8197968</v>
      </c>
      <c r="H261" s="134"/>
      <c r="I261" s="134"/>
      <c r="J261" s="6">
        <f t="shared" si="101"/>
        <v>-647208</v>
      </c>
      <c r="K261" s="805"/>
    </row>
    <row r="262" spans="1:11" x14ac:dyDescent="0.25">
      <c r="A262" s="70"/>
      <c r="B262" s="129" t="s">
        <v>95</v>
      </c>
      <c r="C262" s="807">
        <f>SUM(C257:C261)</f>
        <v>1761745176</v>
      </c>
      <c r="D262" s="271">
        <f>SUM(D257:D260)</f>
        <v>99.4979310220061</v>
      </c>
      <c r="E262" s="134"/>
      <c r="F262" s="134"/>
      <c r="G262" s="181">
        <f>SUM(G257:G261)</f>
        <v>193097968</v>
      </c>
      <c r="H262" s="134"/>
      <c r="I262" s="134"/>
      <c r="J262" s="56">
        <v>0</v>
      </c>
      <c r="K262" s="130"/>
    </row>
    <row r="263" spans="1:11" x14ac:dyDescent="0.25">
      <c r="A263" s="53"/>
      <c r="B263" s="5"/>
      <c r="C263" s="189"/>
      <c r="D263" s="29"/>
      <c r="E263" s="30"/>
      <c r="F263" s="23"/>
      <c r="G263" s="11"/>
      <c r="H263" s="32"/>
      <c r="I263" s="23"/>
      <c r="J263" s="15"/>
      <c r="K263" s="37"/>
    </row>
    <row r="264" spans="1:11" x14ac:dyDescent="0.25">
      <c r="A264" s="50"/>
      <c r="B264" s="5"/>
      <c r="C264" s="50"/>
      <c r="D264" s="9"/>
      <c r="E264" s="23"/>
      <c r="F264" s="23"/>
      <c r="G264" s="11"/>
      <c r="H264" s="23"/>
      <c r="I264" s="23"/>
      <c r="J264" s="9"/>
      <c r="K264" s="9"/>
    </row>
    <row r="265" spans="1:11" x14ac:dyDescent="0.25">
      <c r="A265" s="50"/>
      <c r="B265" s="5"/>
      <c r="C265" s="50"/>
      <c r="D265" s="9"/>
      <c r="E265" s="23"/>
      <c r="F265" s="23"/>
      <c r="G265" s="11"/>
      <c r="H265" s="23"/>
      <c r="I265" s="23"/>
      <c r="J265" s="9"/>
      <c r="K265" s="9"/>
    </row>
    <row r="266" spans="1:11" x14ac:dyDescent="0.25">
      <c r="A266" s="1103" t="s">
        <v>2</v>
      </c>
      <c r="B266" s="1116" t="s">
        <v>137</v>
      </c>
      <c r="C266" s="1103" t="s">
        <v>4</v>
      </c>
      <c r="D266" s="1105" t="s">
        <v>5</v>
      </c>
      <c r="E266" s="1106"/>
      <c r="F266" s="1106"/>
      <c r="G266" s="1107" t="s">
        <v>6</v>
      </c>
      <c r="H266" s="1106"/>
      <c r="I266" s="1106"/>
      <c r="J266" s="1108" t="s">
        <v>7</v>
      </c>
      <c r="K266" s="1108" t="s">
        <v>8</v>
      </c>
    </row>
    <row r="267" spans="1:11" x14ac:dyDescent="0.25">
      <c r="A267" s="1103"/>
      <c r="B267" s="1117"/>
      <c r="C267" s="1103"/>
      <c r="D267" s="102" t="s">
        <v>9</v>
      </c>
      <c r="E267" s="103" t="s">
        <v>10</v>
      </c>
      <c r="F267" s="103" t="s">
        <v>11</v>
      </c>
      <c r="G267" s="104" t="s">
        <v>12</v>
      </c>
      <c r="H267" s="103" t="s">
        <v>13</v>
      </c>
      <c r="I267" s="103" t="s">
        <v>11</v>
      </c>
      <c r="J267" s="1109"/>
      <c r="K267" s="1109"/>
    </row>
    <row r="268" spans="1:11" x14ac:dyDescent="0.25">
      <c r="A268" s="1103"/>
      <c r="B268" s="1118"/>
      <c r="C268" s="1103"/>
      <c r="D268" s="105" t="s">
        <v>14</v>
      </c>
      <c r="E268" s="106" t="s">
        <v>14</v>
      </c>
      <c r="F268" s="106" t="s">
        <v>14</v>
      </c>
      <c r="G268" s="107" t="s">
        <v>15</v>
      </c>
      <c r="H268" s="106" t="s">
        <v>14</v>
      </c>
      <c r="I268" s="106" t="s">
        <v>14</v>
      </c>
      <c r="J268" s="105" t="s">
        <v>15</v>
      </c>
      <c r="K268" s="1110"/>
    </row>
    <row r="269" spans="1:11" ht="25.5" x14ac:dyDescent="0.25">
      <c r="A269" s="79" t="s">
        <v>180</v>
      </c>
      <c r="B269" s="696" t="s">
        <v>379</v>
      </c>
      <c r="C269" s="64"/>
      <c r="D269" s="10"/>
      <c r="E269" s="34"/>
      <c r="F269" s="34"/>
      <c r="G269" s="6"/>
      <c r="H269" s="34"/>
      <c r="I269" s="34"/>
      <c r="J269" s="10"/>
      <c r="K269" s="10"/>
    </row>
    <row r="270" spans="1:11" ht="25.5" x14ac:dyDescent="0.25">
      <c r="A270" s="140" t="s">
        <v>181</v>
      </c>
      <c r="B270" s="697" t="s">
        <v>380</v>
      </c>
      <c r="C270" s="86">
        <f>SUM(C271:C283)</f>
        <v>185000000</v>
      </c>
      <c r="D270" s="179"/>
      <c r="E270" s="168"/>
      <c r="F270" s="168"/>
      <c r="G270" s="169"/>
      <c r="H270" s="168"/>
      <c r="I270" s="168"/>
      <c r="J270" s="167"/>
      <c r="K270" s="167"/>
    </row>
    <row r="271" spans="1:11" ht="25.5" x14ac:dyDescent="0.25">
      <c r="A271" s="170" t="s">
        <v>44</v>
      </c>
      <c r="B271" s="707" t="s">
        <v>384</v>
      </c>
      <c r="C271" s="58">
        <v>8580000</v>
      </c>
      <c r="D271" s="180">
        <f>C271/C270*100</f>
        <v>4.6378378378378375</v>
      </c>
      <c r="E271" s="134">
        <f t="shared" ref="E271:E282" si="102">G271/C271*100</f>
        <v>0</v>
      </c>
      <c r="F271" s="134">
        <f t="shared" ref="F271:F282" si="103">(D271*E271)/100</f>
        <v>0</v>
      </c>
      <c r="G271" s="181">
        <v>0</v>
      </c>
      <c r="H271" s="134">
        <f t="shared" ref="H271:H282" si="104">G271/C271*100</f>
        <v>0</v>
      </c>
      <c r="I271" s="134">
        <f t="shared" ref="I271:I282" si="105">(D271*H271)/100</f>
        <v>0</v>
      </c>
      <c r="J271" s="6">
        <f t="shared" ref="J271:J283" si="106">G271-C271</f>
        <v>-8580000</v>
      </c>
      <c r="K271" s="167"/>
    </row>
    <row r="272" spans="1:11" x14ac:dyDescent="0.25">
      <c r="A272" s="170" t="s">
        <v>221</v>
      </c>
      <c r="B272" s="707" t="s">
        <v>530</v>
      </c>
      <c r="C272" s="58">
        <v>1350000</v>
      </c>
      <c r="D272" s="180"/>
      <c r="E272" s="134"/>
      <c r="F272" s="134"/>
      <c r="G272" s="181">
        <v>0</v>
      </c>
      <c r="H272" s="134"/>
      <c r="I272" s="134"/>
      <c r="J272" s="6">
        <f t="shared" si="106"/>
        <v>-1350000</v>
      </c>
      <c r="K272" s="167"/>
    </row>
    <row r="273" spans="1:14" x14ac:dyDescent="0.25">
      <c r="A273" s="170" t="s">
        <v>59</v>
      </c>
      <c r="B273" s="707" t="s">
        <v>197</v>
      </c>
      <c r="C273" s="58">
        <v>14728000</v>
      </c>
      <c r="D273" s="729">
        <f>C273/C270*100</f>
        <v>7.9610810810810815</v>
      </c>
      <c r="E273" s="134">
        <f t="shared" si="102"/>
        <v>54.318305268875612</v>
      </c>
      <c r="F273" s="134">
        <f t="shared" si="103"/>
        <v>4.3243243243243246</v>
      </c>
      <c r="G273" s="181">
        <f>8000000</f>
        <v>8000000</v>
      </c>
      <c r="H273" s="134">
        <f t="shared" si="104"/>
        <v>54.318305268875612</v>
      </c>
      <c r="I273" s="134">
        <f t="shared" si="105"/>
        <v>4.3243243243243246</v>
      </c>
      <c r="J273" s="6">
        <f t="shared" si="106"/>
        <v>-6728000</v>
      </c>
      <c r="K273" s="167"/>
    </row>
    <row r="274" spans="1:14" x14ac:dyDescent="0.25">
      <c r="A274" s="170" t="s">
        <v>62</v>
      </c>
      <c r="B274" s="707" t="s">
        <v>334</v>
      </c>
      <c r="C274" s="58">
        <v>8500000</v>
      </c>
      <c r="D274" s="729">
        <f>C274/C270*100</f>
        <v>4.5945945945945947</v>
      </c>
      <c r="E274" s="134">
        <f t="shared" si="102"/>
        <v>58.82352941176471</v>
      </c>
      <c r="F274" s="134">
        <f t="shared" si="103"/>
        <v>2.7027027027027031</v>
      </c>
      <c r="G274" s="181">
        <f>5000000</f>
        <v>5000000</v>
      </c>
      <c r="H274" s="134">
        <f t="shared" si="104"/>
        <v>58.82352941176471</v>
      </c>
      <c r="I274" s="134">
        <f t="shared" si="105"/>
        <v>2.7027027027027031</v>
      </c>
      <c r="J274" s="6">
        <f t="shared" si="106"/>
        <v>-3500000</v>
      </c>
      <c r="K274" s="167"/>
    </row>
    <row r="275" spans="1:14" x14ac:dyDescent="0.25">
      <c r="A275" s="49" t="s">
        <v>148</v>
      </c>
      <c r="B275" s="133" t="s">
        <v>534</v>
      </c>
      <c r="C275" s="58">
        <v>10500000</v>
      </c>
      <c r="D275" s="729"/>
      <c r="E275" s="134"/>
      <c r="F275" s="134"/>
      <c r="G275" s="181">
        <f>10500000</f>
        <v>10500000</v>
      </c>
      <c r="H275" s="134"/>
      <c r="I275" s="134"/>
      <c r="J275" s="6">
        <f t="shared" si="106"/>
        <v>0</v>
      </c>
      <c r="K275" s="167"/>
    </row>
    <row r="276" spans="1:14" x14ac:dyDescent="0.25">
      <c r="A276" s="170" t="s">
        <v>77</v>
      </c>
      <c r="B276" s="49" t="s">
        <v>135</v>
      </c>
      <c r="C276" s="58">
        <v>72860000</v>
      </c>
      <c r="D276" s="729">
        <f>C276/C270*100</f>
        <v>39.383783783783784</v>
      </c>
      <c r="E276" s="134">
        <f t="shared" si="102"/>
        <v>37.965962119132584</v>
      </c>
      <c r="F276" s="134">
        <f t="shared" si="103"/>
        <v>14.952432432432433</v>
      </c>
      <c r="G276" s="181">
        <f>27662000</f>
        <v>27662000</v>
      </c>
      <c r="H276" s="134">
        <f t="shared" si="104"/>
        <v>37.965962119132584</v>
      </c>
      <c r="I276" s="134">
        <f t="shared" si="105"/>
        <v>14.952432432432433</v>
      </c>
      <c r="J276" s="6">
        <f t="shared" si="106"/>
        <v>-45198000</v>
      </c>
      <c r="K276" s="167"/>
    </row>
    <row r="277" spans="1:14" x14ac:dyDescent="0.25">
      <c r="A277" s="170" t="s">
        <v>104</v>
      </c>
      <c r="B277" s="170" t="s">
        <v>179</v>
      </c>
      <c r="C277" s="58">
        <v>34200000</v>
      </c>
      <c r="D277" s="729">
        <f>C277/C270*100</f>
        <v>18.486486486486488</v>
      </c>
      <c r="E277" s="134">
        <f t="shared" si="102"/>
        <v>26.608187134502927</v>
      </c>
      <c r="F277" s="134">
        <f t="shared" si="103"/>
        <v>4.9189189189189202</v>
      </c>
      <c r="G277" s="181">
        <f>9100000</f>
        <v>9100000</v>
      </c>
      <c r="H277" s="134">
        <f t="shared" si="104"/>
        <v>26.608187134502927</v>
      </c>
      <c r="I277" s="134">
        <f t="shared" si="105"/>
        <v>4.9189189189189202</v>
      </c>
      <c r="J277" s="6">
        <f t="shared" si="106"/>
        <v>-25100000</v>
      </c>
      <c r="K277" s="167"/>
    </row>
    <row r="278" spans="1:14" x14ac:dyDescent="0.25">
      <c r="A278" s="170" t="s">
        <v>130</v>
      </c>
      <c r="B278" s="170" t="s">
        <v>131</v>
      </c>
      <c r="C278" s="58">
        <v>3000000</v>
      </c>
      <c r="D278" s="729">
        <f>C278/C270*100</f>
        <v>1.6216216216216217</v>
      </c>
      <c r="E278" s="134">
        <f t="shared" si="102"/>
        <v>0</v>
      </c>
      <c r="F278" s="134">
        <f t="shared" si="103"/>
        <v>0</v>
      </c>
      <c r="G278" s="181">
        <v>0</v>
      </c>
      <c r="H278" s="134">
        <f t="shared" si="104"/>
        <v>0</v>
      </c>
      <c r="I278" s="134">
        <f t="shared" si="105"/>
        <v>0</v>
      </c>
      <c r="J278" s="6">
        <f t="shared" si="106"/>
        <v>-3000000</v>
      </c>
      <c r="K278" s="167"/>
    </row>
    <row r="279" spans="1:14" ht="25.5" x14ac:dyDescent="0.25">
      <c r="A279" s="170" t="s">
        <v>106</v>
      </c>
      <c r="B279" s="316" t="s">
        <v>375</v>
      </c>
      <c r="C279" s="58">
        <v>13950000</v>
      </c>
      <c r="D279" s="180">
        <f>C279/C270*100</f>
        <v>7.5405405405405395</v>
      </c>
      <c r="E279" s="134">
        <f t="shared" si="102"/>
        <v>61.29032258064516</v>
      </c>
      <c r="F279" s="134">
        <f t="shared" si="103"/>
        <v>4.621621621621621</v>
      </c>
      <c r="G279" s="181">
        <f>8550000</f>
        <v>8550000</v>
      </c>
      <c r="H279" s="134">
        <f t="shared" si="104"/>
        <v>61.29032258064516</v>
      </c>
      <c r="I279" s="134">
        <f t="shared" si="105"/>
        <v>4.621621621621621</v>
      </c>
      <c r="J279" s="6">
        <f t="shared" si="106"/>
        <v>-5400000</v>
      </c>
      <c r="K279" s="167"/>
    </row>
    <row r="280" spans="1:14" x14ac:dyDescent="0.25">
      <c r="A280" s="170" t="s">
        <v>162</v>
      </c>
      <c r="B280" s="170" t="s">
        <v>535</v>
      </c>
      <c r="C280" s="178">
        <v>2800000</v>
      </c>
      <c r="D280" s="729">
        <f>C280/C270*100</f>
        <v>1.5135135135135136</v>
      </c>
      <c r="E280" s="134">
        <f t="shared" si="102"/>
        <v>100</v>
      </c>
      <c r="F280" s="134">
        <f t="shared" si="103"/>
        <v>1.5135135135135136</v>
      </c>
      <c r="G280" s="181">
        <f>2800000</f>
        <v>2800000</v>
      </c>
      <c r="H280" s="134">
        <f t="shared" si="104"/>
        <v>100</v>
      </c>
      <c r="I280" s="134">
        <f t="shared" si="105"/>
        <v>1.5135135135135136</v>
      </c>
      <c r="J280" s="6">
        <f t="shared" si="106"/>
        <v>0</v>
      </c>
      <c r="K280" s="167"/>
    </row>
    <row r="281" spans="1:14" ht="25.5" x14ac:dyDescent="0.25">
      <c r="A281" s="170" t="s">
        <v>116</v>
      </c>
      <c r="B281" s="750" t="s">
        <v>420</v>
      </c>
      <c r="C281" s="178">
        <v>1057000</v>
      </c>
      <c r="D281" s="729">
        <f>C281/C271*100</f>
        <v>12.319347319347319</v>
      </c>
      <c r="E281" s="134"/>
      <c r="F281" s="134"/>
      <c r="G281" s="181">
        <v>0</v>
      </c>
      <c r="H281" s="134"/>
      <c r="I281" s="134"/>
      <c r="J281" s="6">
        <f t="shared" si="106"/>
        <v>-1057000</v>
      </c>
      <c r="K281" s="167"/>
    </row>
    <row r="282" spans="1:14" x14ac:dyDescent="0.25">
      <c r="A282" s="170" t="s">
        <v>65</v>
      </c>
      <c r="B282" s="170" t="s">
        <v>190</v>
      </c>
      <c r="C282" s="178">
        <v>7000000</v>
      </c>
      <c r="D282" s="729">
        <f>C282/C270*100</f>
        <v>3.7837837837837842</v>
      </c>
      <c r="E282" s="134">
        <f t="shared" si="102"/>
        <v>0</v>
      </c>
      <c r="F282" s="134">
        <f t="shared" si="103"/>
        <v>0</v>
      </c>
      <c r="G282" s="181">
        <v>0</v>
      </c>
      <c r="H282" s="134">
        <f t="shared" si="104"/>
        <v>0</v>
      </c>
      <c r="I282" s="134">
        <f t="shared" si="105"/>
        <v>0</v>
      </c>
      <c r="J282" s="6">
        <f t="shared" si="106"/>
        <v>-7000000</v>
      </c>
      <c r="K282" s="167"/>
    </row>
    <row r="283" spans="1:14" x14ac:dyDescent="0.25">
      <c r="A283" s="68" t="s">
        <v>301</v>
      </c>
      <c r="B283" s="170" t="s">
        <v>409</v>
      </c>
      <c r="C283" s="58">
        <v>6475000</v>
      </c>
      <c r="D283" s="269"/>
      <c r="E283" s="134"/>
      <c r="F283" s="134"/>
      <c r="G283" s="181">
        <f>6475000</f>
        <v>6475000</v>
      </c>
      <c r="H283" s="134"/>
      <c r="I283" s="134"/>
      <c r="J283" s="6">
        <f t="shared" si="106"/>
        <v>0</v>
      </c>
      <c r="K283" s="167"/>
    </row>
    <row r="284" spans="1:14" x14ac:dyDescent="0.25">
      <c r="A284" s="68"/>
      <c r="B284" s="67" t="s">
        <v>128</v>
      </c>
      <c r="C284" s="60">
        <f>SUM(C271:C283)</f>
        <v>185000000</v>
      </c>
      <c r="D284" s="270">
        <f>SUM(D271:D282)</f>
        <v>101.84259056259057</v>
      </c>
      <c r="E284" s="134"/>
      <c r="F284" s="134"/>
      <c r="G284" s="837">
        <f>SUM(G271:G283)</f>
        <v>78087000</v>
      </c>
      <c r="H284" s="134"/>
      <c r="I284" s="134"/>
      <c r="J284" s="56">
        <v>0</v>
      </c>
      <c r="K284" s="3"/>
    </row>
    <row r="285" spans="1:14" x14ac:dyDescent="0.25">
      <c r="A285" s="190"/>
      <c r="B285" s="2"/>
      <c r="C285" s="59"/>
      <c r="D285" s="41"/>
      <c r="E285" s="31"/>
      <c r="F285" s="31"/>
      <c r="G285" s="36"/>
      <c r="H285" s="31"/>
      <c r="I285" s="31"/>
      <c r="J285" s="33"/>
      <c r="K285" s="37"/>
    </row>
    <row r="286" spans="1:14" ht="31.5" x14ac:dyDescent="0.25">
      <c r="A286" s="55"/>
      <c r="B286" s="46" t="s">
        <v>145</v>
      </c>
      <c r="C286" s="155"/>
      <c r="D286" s="44"/>
      <c r="E286" s="45"/>
      <c r="F286" s="45"/>
      <c r="G286" s="48"/>
      <c r="H286" s="45"/>
      <c r="I286" s="45"/>
      <c r="J286" s="44"/>
      <c r="K286" s="44"/>
      <c r="L286" s="1"/>
      <c r="M286" s="1"/>
      <c r="N286" s="1"/>
    </row>
    <row r="287" spans="1:14" x14ac:dyDescent="0.25">
      <c r="A287" s="1111" t="s">
        <v>2</v>
      </c>
      <c r="B287" s="1104" t="s">
        <v>170</v>
      </c>
      <c r="C287" s="1111" t="s">
        <v>4</v>
      </c>
      <c r="D287" s="1112" t="s">
        <v>5</v>
      </c>
      <c r="E287" s="1113"/>
      <c r="F287" s="1113"/>
      <c r="G287" s="1114" t="s">
        <v>6</v>
      </c>
      <c r="H287" s="1113"/>
      <c r="I287" s="1113"/>
      <c r="J287" s="1111" t="s">
        <v>7</v>
      </c>
      <c r="K287" s="285" t="s">
        <v>8</v>
      </c>
    </row>
    <row r="288" spans="1:14" x14ac:dyDescent="0.25">
      <c r="A288" s="1111"/>
      <c r="B288" s="1104"/>
      <c r="C288" s="1111"/>
      <c r="D288" s="285" t="s">
        <v>9</v>
      </c>
      <c r="E288" s="304" t="s">
        <v>10</v>
      </c>
      <c r="F288" s="304" t="s">
        <v>11</v>
      </c>
      <c r="G288" s="305" t="s">
        <v>12</v>
      </c>
      <c r="H288" s="304" t="s">
        <v>13</v>
      </c>
      <c r="I288" s="304" t="s">
        <v>11</v>
      </c>
      <c r="J288" s="1115"/>
      <c r="K288" s="287"/>
    </row>
    <row r="289" spans="1:11" x14ac:dyDescent="0.25">
      <c r="A289" s="1111"/>
      <c r="B289" s="1104"/>
      <c r="C289" s="1111"/>
      <c r="D289" s="286" t="s">
        <v>14</v>
      </c>
      <c r="E289" s="302" t="s">
        <v>14</v>
      </c>
      <c r="F289" s="302" t="s">
        <v>14</v>
      </c>
      <c r="G289" s="303" t="s">
        <v>15</v>
      </c>
      <c r="H289" s="302" t="s">
        <v>14</v>
      </c>
      <c r="I289" s="302" t="s">
        <v>14</v>
      </c>
      <c r="J289" s="286" t="s">
        <v>15</v>
      </c>
      <c r="K289" s="286"/>
    </row>
    <row r="290" spans="1:11" x14ac:dyDescent="0.25">
      <c r="A290" s="144" t="s">
        <v>185</v>
      </c>
      <c r="B290" s="199" t="s">
        <v>146</v>
      </c>
      <c r="C290" s="145"/>
      <c r="D290" s="146"/>
      <c r="E290" s="147"/>
      <c r="F290" s="147"/>
      <c r="G290" s="148"/>
      <c r="H290" s="147"/>
      <c r="I290" s="147"/>
      <c r="J290" s="146"/>
      <c r="K290" s="146"/>
    </row>
    <row r="291" spans="1:11" x14ac:dyDescent="0.25">
      <c r="A291" s="318" t="s">
        <v>184</v>
      </c>
      <c r="B291" s="280" t="s">
        <v>147</v>
      </c>
      <c r="C291" s="257">
        <f>SUM(C292:C293)</f>
        <v>2480900000</v>
      </c>
      <c r="D291" s="146"/>
      <c r="E291" s="147"/>
      <c r="F291" s="147"/>
      <c r="G291" s="148"/>
      <c r="H291" s="147"/>
      <c r="I291" s="147"/>
      <c r="J291" s="146"/>
      <c r="K291" s="146"/>
    </row>
    <row r="292" spans="1:11" ht="25.5" x14ac:dyDescent="0.25">
      <c r="A292" s="319" t="s">
        <v>44</v>
      </c>
      <c r="B292" s="707" t="s">
        <v>384</v>
      </c>
      <c r="C292" s="149">
        <v>30900000</v>
      </c>
      <c r="D292" s="267">
        <f>C292/C291*100</f>
        <v>1.2455157402555526</v>
      </c>
      <c r="E292" s="134">
        <f t="shared" ref="E292:E293" si="107">G292/C292*100</f>
        <v>0</v>
      </c>
      <c r="F292" s="134">
        <f t="shared" ref="F292:F293" si="108">(D292*E292)/100</f>
        <v>0</v>
      </c>
      <c r="G292" s="181">
        <v>0</v>
      </c>
      <c r="H292" s="134">
        <f t="shared" ref="H292:H293" si="109">G292/C292*100</f>
        <v>0</v>
      </c>
      <c r="I292" s="134">
        <f t="shared" ref="I292:I293" si="110">(D292*H292)/100</f>
        <v>0</v>
      </c>
      <c r="J292" s="6">
        <f t="shared" ref="J292:J293" si="111">G292-C292</f>
        <v>-30900000</v>
      </c>
      <c r="K292" s="146"/>
    </row>
    <row r="293" spans="1:11" x14ac:dyDescent="0.25">
      <c r="A293" s="49" t="s">
        <v>148</v>
      </c>
      <c r="B293" s="133" t="s">
        <v>534</v>
      </c>
      <c r="C293" s="149">
        <v>2450000000</v>
      </c>
      <c r="D293" s="267">
        <f>C293/C291*100</f>
        <v>98.754484259744444</v>
      </c>
      <c r="E293" s="134">
        <f t="shared" si="107"/>
        <v>0</v>
      </c>
      <c r="F293" s="134">
        <f t="shared" si="108"/>
        <v>0</v>
      </c>
      <c r="G293" s="181">
        <v>0</v>
      </c>
      <c r="H293" s="134">
        <f t="shared" si="109"/>
        <v>0</v>
      </c>
      <c r="I293" s="134">
        <f t="shared" si="110"/>
        <v>0</v>
      </c>
      <c r="J293" s="6">
        <f t="shared" si="111"/>
        <v>-2450000000</v>
      </c>
      <c r="K293" s="146"/>
    </row>
    <row r="294" spans="1:11" x14ac:dyDescent="0.25">
      <c r="A294" s="71"/>
      <c r="B294" s="76" t="s">
        <v>95</v>
      </c>
      <c r="C294" s="809">
        <f>SUM(C292:C293)</f>
        <v>2480900000</v>
      </c>
      <c r="D294" s="141">
        <f>SUM(D292:D293)</f>
        <v>100</v>
      </c>
      <c r="E294" s="134"/>
      <c r="F294" s="134"/>
      <c r="G294" s="181">
        <f>SUM(G292:G293)</f>
        <v>0</v>
      </c>
      <c r="H294" s="134"/>
      <c r="I294" s="134"/>
      <c r="J294" s="56">
        <v>0</v>
      </c>
      <c r="K294" s="143"/>
    </row>
    <row r="295" spans="1:11" x14ac:dyDescent="0.25">
      <c r="A295" s="190"/>
      <c r="B295" s="2"/>
      <c r="C295" s="59"/>
      <c r="D295" s="41"/>
      <c r="E295" s="31"/>
      <c r="F295" s="31"/>
      <c r="G295" s="36"/>
      <c r="H295" s="31"/>
      <c r="I295" s="31"/>
      <c r="J295" s="33"/>
      <c r="K295" s="37"/>
    </row>
    <row r="296" spans="1:11" x14ac:dyDescent="0.25">
      <c r="A296" s="1103" t="s">
        <v>2</v>
      </c>
      <c r="B296" s="1104" t="s">
        <v>170</v>
      </c>
      <c r="C296" s="1103" t="s">
        <v>4</v>
      </c>
      <c r="D296" s="1105" t="s">
        <v>5</v>
      </c>
      <c r="E296" s="1106"/>
      <c r="F296" s="1106"/>
      <c r="G296" s="1107" t="s">
        <v>6</v>
      </c>
      <c r="H296" s="1106"/>
      <c r="I296" s="1106"/>
      <c r="J296" s="1103" t="s">
        <v>7</v>
      </c>
      <c r="K296" s="288" t="s">
        <v>8</v>
      </c>
    </row>
    <row r="297" spans="1:11" x14ac:dyDescent="0.25">
      <c r="A297" s="1103"/>
      <c r="B297" s="1104"/>
      <c r="C297" s="1103"/>
      <c r="D297" s="288" t="s">
        <v>9</v>
      </c>
      <c r="E297" s="306" t="s">
        <v>10</v>
      </c>
      <c r="F297" s="306" t="s">
        <v>11</v>
      </c>
      <c r="G297" s="307" t="s">
        <v>12</v>
      </c>
      <c r="H297" s="306" t="s">
        <v>13</v>
      </c>
      <c r="I297" s="306" t="s">
        <v>11</v>
      </c>
      <c r="J297" s="1108"/>
      <c r="K297" s="102"/>
    </row>
    <row r="298" spans="1:11" x14ac:dyDescent="0.25">
      <c r="A298" s="1103"/>
      <c r="B298" s="1104"/>
      <c r="C298" s="1103"/>
      <c r="D298" s="105" t="s">
        <v>14</v>
      </c>
      <c r="E298" s="106" t="s">
        <v>14</v>
      </c>
      <c r="F298" s="106" t="s">
        <v>14</v>
      </c>
      <c r="G298" s="107" t="s">
        <v>15</v>
      </c>
      <c r="H298" s="106" t="s">
        <v>14</v>
      </c>
      <c r="I298" s="106" t="s">
        <v>14</v>
      </c>
      <c r="J298" s="105" t="s">
        <v>15</v>
      </c>
      <c r="K298" s="105"/>
    </row>
    <row r="299" spans="1:11" x14ac:dyDescent="0.25">
      <c r="A299" s="79" t="s">
        <v>185</v>
      </c>
      <c r="B299" s="199" t="s">
        <v>146</v>
      </c>
      <c r="C299" s="24"/>
      <c r="D299" s="10"/>
      <c r="E299" s="34"/>
      <c r="F299" s="34"/>
      <c r="G299" s="6"/>
      <c r="H299" s="34"/>
      <c r="I299" s="34"/>
      <c r="J299" s="10"/>
      <c r="K299" s="10"/>
    </row>
    <row r="300" spans="1:11" x14ac:dyDescent="0.25">
      <c r="A300" s="125" t="s">
        <v>187</v>
      </c>
      <c r="B300" s="280" t="s">
        <v>150</v>
      </c>
      <c r="C300" s="131">
        <f>SUM(C301:C304)</f>
        <v>1508450760</v>
      </c>
      <c r="D300" s="10"/>
      <c r="E300" s="34"/>
      <c r="F300" s="34"/>
      <c r="G300" s="6"/>
      <c r="H300" s="34"/>
      <c r="I300" s="34"/>
      <c r="J300" s="10"/>
      <c r="K300" s="10"/>
    </row>
    <row r="301" spans="1:11" ht="25.5" x14ac:dyDescent="0.25">
      <c r="A301" s="124" t="s">
        <v>44</v>
      </c>
      <c r="B301" s="707" t="s">
        <v>384</v>
      </c>
      <c r="C301" s="253">
        <v>30900000</v>
      </c>
      <c r="D301" s="134">
        <f>C301/C300*100</f>
        <v>2.0484593080121489</v>
      </c>
      <c r="E301" s="134">
        <f t="shared" ref="E301:E303" si="112">G301/C301*100</f>
        <v>0</v>
      </c>
      <c r="F301" s="134">
        <f t="shared" ref="F301:F303" si="113">(D301*E301)/100</f>
        <v>0</v>
      </c>
      <c r="G301" s="181">
        <v>0</v>
      </c>
      <c r="H301" s="134">
        <f t="shared" ref="H301:H303" si="114">G301/C301*100</f>
        <v>0</v>
      </c>
      <c r="I301" s="134">
        <f t="shared" ref="I301:I303" si="115">(D301*H301)/100</f>
        <v>0</v>
      </c>
      <c r="J301" s="6">
        <f t="shared" ref="J301:J304" si="116">G301-C301</f>
        <v>-30900000</v>
      </c>
      <c r="K301" s="10"/>
    </row>
    <row r="302" spans="1:11" x14ac:dyDescent="0.25">
      <c r="A302" s="49" t="s">
        <v>148</v>
      </c>
      <c r="B302" s="133" t="s">
        <v>534</v>
      </c>
      <c r="C302" s="256">
        <v>1050000000</v>
      </c>
      <c r="D302" s="134">
        <f>C302/C300*100</f>
        <v>69.607840563519616</v>
      </c>
      <c r="E302" s="134">
        <f t="shared" si="112"/>
        <v>39.990076190476195</v>
      </c>
      <c r="F302" s="134">
        <f t="shared" si="113"/>
        <v>27.836228475896686</v>
      </c>
      <c r="G302" s="181">
        <f>419895800</f>
        <v>419895800</v>
      </c>
      <c r="H302" s="134">
        <f t="shared" si="114"/>
        <v>39.990076190476195</v>
      </c>
      <c r="I302" s="134">
        <f t="shared" si="115"/>
        <v>27.836228475896686</v>
      </c>
      <c r="J302" s="6">
        <f t="shared" si="116"/>
        <v>-630104200</v>
      </c>
      <c r="K302" s="10"/>
    </row>
    <row r="303" spans="1:11" s="84" customFormat="1" ht="25.5" x14ac:dyDescent="0.2">
      <c r="A303" s="49" t="s">
        <v>152</v>
      </c>
      <c r="B303" s="133" t="s">
        <v>153</v>
      </c>
      <c r="C303" s="256">
        <v>420000000</v>
      </c>
      <c r="D303" s="134">
        <f>C303/C300*100</f>
        <v>27.84313622540785</v>
      </c>
      <c r="E303" s="134">
        <f t="shared" si="112"/>
        <v>25</v>
      </c>
      <c r="F303" s="134">
        <f t="shared" si="113"/>
        <v>6.9607840563519634</v>
      </c>
      <c r="G303" s="181">
        <f>105000000</f>
        <v>105000000</v>
      </c>
      <c r="H303" s="134">
        <f t="shared" si="114"/>
        <v>25</v>
      </c>
      <c r="I303" s="134">
        <f t="shared" si="115"/>
        <v>6.9607840563519634</v>
      </c>
      <c r="J303" s="6">
        <f t="shared" si="116"/>
        <v>-315000000</v>
      </c>
      <c r="K303" s="38"/>
    </row>
    <row r="304" spans="1:11" s="84" customFormat="1" x14ac:dyDescent="0.2">
      <c r="A304" s="749" t="s">
        <v>234</v>
      </c>
      <c r="B304" s="133" t="s">
        <v>522</v>
      </c>
      <c r="C304" s="256">
        <v>7550760</v>
      </c>
      <c r="D304" s="804"/>
      <c r="E304" s="134"/>
      <c r="F304" s="134"/>
      <c r="G304" s="181"/>
      <c r="H304" s="134"/>
      <c r="I304" s="134"/>
      <c r="J304" s="6">
        <f t="shared" si="116"/>
        <v>-7550760</v>
      </c>
      <c r="K304" s="805"/>
    </row>
    <row r="305" spans="1:15" x14ac:dyDescent="0.25">
      <c r="A305" s="70"/>
      <c r="B305" s="129" t="s">
        <v>95</v>
      </c>
      <c r="C305" s="807">
        <f>SUM(C301:C304)</f>
        <v>1508450760</v>
      </c>
      <c r="D305" s="271">
        <f>SUM(D301:D303)</f>
        <v>99.499436096939618</v>
      </c>
      <c r="E305" s="134"/>
      <c r="F305" s="134"/>
      <c r="G305" s="181">
        <f>SUM(G301:G304)</f>
        <v>524895800</v>
      </c>
      <c r="H305" s="134"/>
      <c r="I305" s="134"/>
      <c r="J305" s="56">
        <v>0</v>
      </c>
      <c r="K305" s="130"/>
    </row>
    <row r="306" spans="1:15" x14ac:dyDescent="0.25">
      <c r="A306" s="190"/>
      <c r="B306" s="2"/>
      <c r="C306" s="59"/>
      <c r="D306" s="41"/>
      <c r="E306" s="31"/>
      <c r="F306" s="31"/>
      <c r="G306" s="36"/>
      <c r="H306" s="31"/>
      <c r="I306" s="31"/>
      <c r="J306" s="33"/>
      <c r="K306" s="37"/>
    </row>
    <row r="307" spans="1:15" x14ac:dyDescent="0.25">
      <c r="A307" s="50"/>
      <c r="B307" s="5"/>
      <c r="C307" s="50"/>
      <c r="D307" s="9"/>
      <c r="E307" s="23"/>
      <c r="F307" s="23"/>
      <c r="G307" s="11"/>
      <c r="H307" s="23"/>
      <c r="I307" s="23"/>
      <c r="J307" s="9"/>
      <c r="K307" s="9"/>
    </row>
    <row r="308" spans="1:15" x14ac:dyDescent="0.25">
      <c r="A308" s="1123" t="s">
        <v>2</v>
      </c>
      <c r="B308" s="1126" t="s">
        <v>138</v>
      </c>
      <c r="C308" s="1129" t="s">
        <v>4</v>
      </c>
      <c r="D308" s="1121" t="s">
        <v>5</v>
      </c>
      <c r="E308" s="1132"/>
      <c r="F308" s="1132"/>
      <c r="G308" s="1122" t="s">
        <v>6</v>
      </c>
      <c r="H308" s="1132"/>
      <c r="I308" s="1132"/>
      <c r="J308" s="1123" t="s">
        <v>7</v>
      </c>
      <c r="K308" s="1123" t="s">
        <v>8</v>
      </c>
    </row>
    <row r="309" spans="1:15" x14ac:dyDescent="0.25">
      <c r="A309" s="1124"/>
      <c r="B309" s="1127"/>
      <c r="C309" s="1130"/>
      <c r="D309" s="289" t="s">
        <v>9</v>
      </c>
      <c r="E309" s="308" t="s">
        <v>10</v>
      </c>
      <c r="F309" s="308" t="s">
        <v>11</v>
      </c>
      <c r="G309" s="117" t="s">
        <v>12</v>
      </c>
      <c r="H309" s="116" t="s">
        <v>13</v>
      </c>
      <c r="I309" s="116" t="s">
        <v>11</v>
      </c>
      <c r="J309" s="1124"/>
      <c r="K309" s="1124"/>
    </row>
    <row r="310" spans="1:15" x14ac:dyDescent="0.25">
      <c r="A310" s="1125"/>
      <c r="B310" s="1128"/>
      <c r="C310" s="1131"/>
      <c r="D310" s="115" t="s">
        <v>14</v>
      </c>
      <c r="E310" s="119" t="s">
        <v>14</v>
      </c>
      <c r="F310" s="119" t="s">
        <v>14</v>
      </c>
      <c r="G310" s="120" t="s">
        <v>15</v>
      </c>
      <c r="H310" s="119" t="s">
        <v>14</v>
      </c>
      <c r="I310" s="119" t="s">
        <v>14</v>
      </c>
      <c r="J310" s="118" t="s">
        <v>15</v>
      </c>
      <c r="K310" s="1125"/>
    </row>
    <row r="311" spans="1:15" ht="25.5" x14ac:dyDescent="0.25">
      <c r="A311" s="79" t="s">
        <v>180</v>
      </c>
      <c r="B311" s="696" t="s">
        <v>379</v>
      </c>
      <c r="C311" s="127"/>
      <c r="D311" s="121"/>
      <c r="E311" s="34"/>
      <c r="F311" s="34"/>
      <c r="G311" s="6"/>
      <c r="H311" s="34"/>
      <c r="I311" s="34"/>
      <c r="J311" s="10"/>
      <c r="K311" s="85"/>
    </row>
    <row r="312" spans="1:15" ht="25.5" x14ac:dyDescent="0.25">
      <c r="A312" s="125" t="s">
        <v>181</v>
      </c>
      <c r="B312" s="697" t="s">
        <v>380</v>
      </c>
      <c r="C312" s="88">
        <f>SUM(C313:C330)</f>
        <v>185000000</v>
      </c>
      <c r="D312" s="121"/>
      <c r="E312" s="34"/>
      <c r="F312" s="34"/>
      <c r="G312" s="6"/>
      <c r="H312" s="34"/>
      <c r="I312" s="34"/>
      <c r="J312" s="10"/>
      <c r="K312" s="156"/>
    </row>
    <row r="313" spans="1:15" ht="25.5" x14ac:dyDescent="0.25">
      <c r="A313" s="49" t="s">
        <v>44</v>
      </c>
      <c r="B313" s="707" t="s">
        <v>384</v>
      </c>
      <c r="C313" s="39">
        <v>8730000</v>
      </c>
      <c r="D313" s="727">
        <f>C313/C312*100</f>
        <v>4.7189189189189191</v>
      </c>
      <c r="E313" s="134">
        <f t="shared" ref="E313:E321" si="117">G313/C313*100</f>
        <v>100</v>
      </c>
      <c r="F313" s="134">
        <f t="shared" ref="F313:F321" si="118">(D313*E313)/100</f>
        <v>4.7189189189189191</v>
      </c>
      <c r="G313" s="181">
        <f>8730000</f>
        <v>8730000</v>
      </c>
      <c r="H313" s="134">
        <f t="shared" ref="H313:H321" si="119">G313/C313*100</f>
        <v>100</v>
      </c>
      <c r="I313" s="134">
        <f t="shared" ref="I313:I321" si="120">(D313*H313)/100</f>
        <v>4.7189189189189191</v>
      </c>
      <c r="J313" s="6">
        <f t="shared" ref="J313:J330" si="121">G313-C313</f>
        <v>0</v>
      </c>
      <c r="K313" s="10"/>
      <c r="O313" s="717"/>
    </row>
    <row r="314" spans="1:15" x14ac:dyDescent="0.25">
      <c r="A314" s="49" t="s">
        <v>59</v>
      </c>
      <c r="B314" s="707" t="s">
        <v>197</v>
      </c>
      <c r="C314" s="39">
        <v>13887500</v>
      </c>
      <c r="D314" s="727">
        <f>C314/C312*100</f>
        <v>7.5067567567567561</v>
      </c>
      <c r="E314" s="134">
        <f t="shared" si="117"/>
        <v>57.605760576057605</v>
      </c>
      <c r="F314" s="134">
        <f t="shared" si="118"/>
        <v>4.3243243243243237</v>
      </c>
      <c r="G314" s="181">
        <f>8000000</f>
        <v>8000000</v>
      </c>
      <c r="H314" s="134">
        <f t="shared" si="119"/>
        <v>57.605760576057605</v>
      </c>
      <c r="I314" s="134">
        <f t="shared" si="120"/>
        <v>4.3243243243243237</v>
      </c>
      <c r="J314" s="6">
        <f t="shared" si="121"/>
        <v>-5887500</v>
      </c>
      <c r="K314" s="10"/>
    </row>
    <row r="315" spans="1:15" x14ac:dyDescent="0.25">
      <c r="A315" s="49" t="s">
        <v>62</v>
      </c>
      <c r="B315" s="707" t="s">
        <v>414</v>
      </c>
      <c r="C315" s="39">
        <v>7970500</v>
      </c>
      <c r="D315" s="727"/>
      <c r="E315" s="134"/>
      <c r="F315" s="134"/>
      <c r="G315" s="181">
        <v>0</v>
      </c>
      <c r="H315" s="134"/>
      <c r="I315" s="134"/>
      <c r="J315" s="6">
        <f t="shared" si="121"/>
        <v>-7970500</v>
      </c>
      <c r="K315" s="10"/>
    </row>
    <row r="316" spans="1:15" x14ac:dyDescent="0.25">
      <c r="A316" s="49" t="s">
        <v>54</v>
      </c>
      <c r="B316" s="707" t="s">
        <v>536</v>
      </c>
      <c r="C316" s="39">
        <v>800000</v>
      </c>
      <c r="D316" s="727"/>
      <c r="E316" s="134"/>
      <c r="F316" s="134"/>
      <c r="G316" s="181">
        <f>800000</f>
        <v>800000</v>
      </c>
      <c r="H316" s="134"/>
      <c r="I316" s="134"/>
      <c r="J316" s="6">
        <f t="shared" si="121"/>
        <v>0</v>
      </c>
      <c r="K316" s="10"/>
    </row>
    <row r="317" spans="1:15" ht="25.5" x14ac:dyDescent="0.25">
      <c r="A317" s="49" t="s">
        <v>193</v>
      </c>
      <c r="B317" s="707" t="s">
        <v>537</v>
      </c>
      <c r="C317" s="39">
        <v>8750000</v>
      </c>
      <c r="D317" s="727"/>
      <c r="E317" s="134"/>
      <c r="F317" s="134"/>
      <c r="G317" s="181">
        <f>8750000</f>
        <v>8750000</v>
      </c>
      <c r="H317" s="134"/>
      <c r="I317" s="134"/>
      <c r="J317" s="6">
        <f t="shared" si="121"/>
        <v>0</v>
      </c>
      <c r="K317" s="10"/>
    </row>
    <row r="318" spans="1:15" x14ac:dyDescent="0.25">
      <c r="A318" s="49" t="s">
        <v>148</v>
      </c>
      <c r="B318" s="133" t="s">
        <v>534</v>
      </c>
      <c r="C318" s="39">
        <v>10000000</v>
      </c>
      <c r="D318" s="727"/>
      <c r="E318" s="134"/>
      <c r="F318" s="134"/>
      <c r="G318" s="181">
        <f>10000000</f>
        <v>10000000</v>
      </c>
      <c r="H318" s="134"/>
      <c r="I318" s="134"/>
      <c r="J318" s="6">
        <f t="shared" si="121"/>
        <v>0</v>
      </c>
      <c r="K318" s="10"/>
    </row>
    <row r="319" spans="1:15" x14ac:dyDescent="0.25">
      <c r="A319" s="49" t="s">
        <v>77</v>
      </c>
      <c r="B319" s="49" t="s">
        <v>139</v>
      </c>
      <c r="C319" s="39">
        <v>82680000</v>
      </c>
      <c r="D319" s="727">
        <f>C319/C312*100</f>
        <v>44.691891891891892</v>
      </c>
      <c r="E319" s="134">
        <f t="shared" si="117"/>
        <v>56.204644412191584</v>
      </c>
      <c r="F319" s="134">
        <f t="shared" si="118"/>
        <v>25.118918918918922</v>
      </c>
      <c r="G319" s="181">
        <f>46470000</f>
        <v>46470000</v>
      </c>
      <c r="H319" s="134">
        <f t="shared" si="119"/>
        <v>56.204644412191584</v>
      </c>
      <c r="I319" s="134">
        <f t="shared" si="120"/>
        <v>25.118918918918922</v>
      </c>
      <c r="J319" s="6">
        <f t="shared" si="121"/>
        <v>-36210000</v>
      </c>
      <c r="K319" s="10"/>
    </row>
    <row r="320" spans="1:15" x14ac:dyDescent="0.25">
      <c r="A320" s="49" t="s">
        <v>104</v>
      </c>
      <c r="B320" s="170" t="s">
        <v>418</v>
      </c>
      <c r="C320" s="39">
        <v>7300000</v>
      </c>
      <c r="D320" s="727">
        <f>C320/C312*100</f>
        <v>3.9459459459459461</v>
      </c>
      <c r="E320" s="134">
        <f t="shared" si="117"/>
        <v>0</v>
      </c>
      <c r="F320" s="134">
        <f t="shared" si="118"/>
        <v>0</v>
      </c>
      <c r="G320" s="181">
        <v>0</v>
      </c>
      <c r="H320" s="134">
        <f t="shared" si="119"/>
        <v>0</v>
      </c>
      <c r="I320" s="134">
        <f t="shared" si="120"/>
        <v>0</v>
      </c>
      <c r="J320" s="6">
        <f t="shared" si="121"/>
        <v>-7300000</v>
      </c>
      <c r="K320" s="10"/>
    </row>
    <row r="321" spans="1:14" ht="25.5" x14ac:dyDescent="0.25">
      <c r="A321" s="49" t="s">
        <v>192</v>
      </c>
      <c r="B321" s="316" t="s">
        <v>375</v>
      </c>
      <c r="C321" s="39">
        <v>13050000</v>
      </c>
      <c r="D321" s="727">
        <f>C321/C312*100</f>
        <v>7.0540540540540544</v>
      </c>
      <c r="E321" s="134">
        <f t="shared" si="117"/>
        <v>55.172413793103445</v>
      </c>
      <c r="F321" s="134">
        <f t="shared" si="118"/>
        <v>3.8918918918918917</v>
      </c>
      <c r="G321" s="181">
        <f>7200000</f>
        <v>7200000</v>
      </c>
      <c r="H321" s="134">
        <f t="shared" si="119"/>
        <v>55.172413793103445</v>
      </c>
      <c r="I321" s="134">
        <f t="shared" si="120"/>
        <v>3.8918918918918917</v>
      </c>
      <c r="J321" s="6">
        <f t="shared" si="121"/>
        <v>-5850000</v>
      </c>
      <c r="K321" s="10"/>
    </row>
    <row r="322" spans="1:14" x14ac:dyDescent="0.25">
      <c r="A322" s="749" t="s">
        <v>162</v>
      </c>
      <c r="B322" s="316" t="s">
        <v>538</v>
      </c>
      <c r="C322" s="751">
        <v>2000000</v>
      </c>
      <c r="D322" s="727"/>
      <c r="E322" s="134"/>
      <c r="F322" s="134"/>
      <c r="G322" s="181">
        <f>2000000</f>
        <v>2000000</v>
      </c>
      <c r="H322" s="134"/>
      <c r="I322" s="134"/>
      <c r="J322" s="6">
        <f t="shared" si="121"/>
        <v>0</v>
      </c>
      <c r="K322" s="130"/>
    </row>
    <row r="323" spans="1:14" x14ac:dyDescent="0.25">
      <c r="A323" s="749" t="s">
        <v>527</v>
      </c>
      <c r="B323" s="316" t="s">
        <v>523</v>
      </c>
      <c r="C323" s="751">
        <v>1150000</v>
      </c>
      <c r="D323" s="727"/>
      <c r="E323" s="134"/>
      <c r="F323" s="134"/>
      <c r="G323" s="181">
        <f>1150000</f>
        <v>1150000</v>
      </c>
      <c r="H323" s="134"/>
      <c r="I323" s="134"/>
      <c r="J323" s="6">
        <f t="shared" si="121"/>
        <v>0</v>
      </c>
      <c r="K323" s="130"/>
    </row>
    <row r="324" spans="1:14" x14ac:dyDescent="0.25">
      <c r="A324" s="749" t="s">
        <v>112</v>
      </c>
      <c r="B324" s="316" t="s">
        <v>525</v>
      </c>
      <c r="C324" s="751">
        <v>800000</v>
      </c>
      <c r="D324" s="727"/>
      <c r="E324" s="134"/>
      <c r="F324" s="134"/>
      <c r="G324" s="181">
        <f>800000</f>
        <v>800000</v>
      </c>
      <c r="H324" s="134"/>
      <c r="I324" s="134"/>
      <c r="J324" s="6">
        <f t="shared" si="121"/>
        <v>0</v>
      </c>
      <c r="K324" s="130"/>
    </row>
    <row r="325" spans="1:14" x14ac:dyDescent="0.25">
      <c r="A325" s="749" t="s">
        <v>521</v>
      </c>
      <c r="B325" s="316" t="s">
        <v>539</v>
      </c>
      <c r="C325" s="751">
        <v>1000000</v>
      </c>
      <c r="D325" s="727"/>
      <c r="E325" s="134"/>
      <c r="F325" s="134"/>
      <c r="G325" s="181">
        <f>1000000</f>
        <v>1000000</v>
      </c>
      <c r="H325" s="134"/>
      <c r="I325" s="134"/>
      <c r="J325" s="6">
        <f t="shared" si="121"/>
        <v>0</v>
      </c>
      <c r="K325" s="130"/>
    </row>
    <row r="326" spans="1:14" ht="25.5" x14ac:dyDescent="0.25">
      <c r="A326" s="749" t="s">
        <v>116</v>
      </c>
      <c r="B326" s="316" t="s">
        <v>420</v>
      </c>
      <c r="C326" s="751">
        <v>1382000</v>
      </c>
      <c r="D326" s="727">
        <f>C326/C313*100</f>
        <v>15.830469644902633</v>
      </c>
      <c r="E326" s="134"/>
      <c r="F326" s="134"/>
      <c r="G326" s="181">
        <f>1382000</f>
        <v>1382000</v>
      </c>
      <c r="H326" s="134"/>
      <c r="I326" s="134"/>
      <c r="J326" s="6">
        <f t="shared" si="121"/>
        <v>0</v>
      </c>
      <c r="K326" s="130"/>
    </row>
    <row r="327" spans="1:14" x14ac:dyDescent="0.25">
      <c r="A327" s="749" t="s">
        <v>65</v>
      </c>
      <c r="B327" s="754" t="s">
        <v>190</v>
      </c>
      <c r="C327" s="751">
        <v>7000000</v>
      </c>
      <c r="D327" s="727" t="e">
        <f>C327/#REF!*100</f>
        <v>#REF!</v>
      </c>
      <c r="E327" s="134"/>
      <c r="F327" s="134"/>
      <c r="G327" s="181">
        <v>0</v>
      </c>
      <c r="H327" s="134"/>
      <c r="I327" s="134"/>
      <c r="J327" s="6">
        <f t="shared" si="121"/>
        <v>-7000000</v>
      </c>
      <c r="K327" s="130"/>
    </row>
    <row r="328" spans="1:14" x14ac:dyDescent="0.25">
      <c r="A328" s="749" t="s">
        <v>541</v>
      </c>
      <c r="B328" s="754" t="s">
        <v>401</v>
      </c>
      <c r="C328" s="751">
        <v>3900000</v>
      </c>
      <c r="D328" s="727" t="e">
        <f>C328/#REF!*100</f>
        <v>#REF!</v>
      </c>
      <c r="E328" s="134"/>
      <c r="F328" s="134"/>
      <c r="G328" s="181">
        <f>3900000</f>
        <v>3900000</v>
      </c>
      <c r="H328" s="134"/>
      <c r="I328" s="134"/>
      <c r="J328" s="6">
        <f t="shared" si="121"/>
        <v>0</v>
      </c>
      <c r="K328" s="130"/>
    </row>
    <row r="329" spans="1:14" x14ac:dyDescent="0.25">
      <c r="A329" s="749" t="s">
        <v>275</v>
      </c>
      <c r="B329" s="754" t="s">
        <v>421</v>
      </c>
      <c r="C329" s="751">
        <v>5000000</v>
      </c>
      <c r="D329" s="727" t="e">
        <f>C329/#REF!*100</f>
        <v>#REF!</v>
      </c>
      <c r="E329" s="134"/>
      <c r="F329" s="134"/>
      <c r="G329" s="181">
        <f>5000000</f>
        <v>5000000</v>
      </c>
      <c r="H329" s="134"/>
      <c r="I329" s="134"/>
      <c r="J329" s="6">
        <f t="shared" si="121"/>
        <v>0</v>
      </c>
      <c r="K329" s="130"/>
    </row>
    <row r="330" spans="1:14" x14ac:dyDescent="0.25">
      <c r="A330" s="749" t="s">
        <v>542</v>
      </c>
      <c r="B330" s="316" t="s">
        <v>540</v>
      </c>
      <c r="C330" s="751">
        <v>9600000</v>
      </c>
      <c r="D330" s="752"/>
      <c r="E330" s="134"/>
      <c r="F330" s="134"/>
      <c r="G330" s="181"/>
      <c r="H330" s="134"/>
      <c r="I330" s="134"/>
      <c r="J330" s="6">
        <f t="shared" si="121"/>
        <v>-9600000</v>
      </c>
      <c r="K330" s="130"/>
    </row>
    <row r="331" spans="1:14" x14ac:dyDescent="0.25">
      <c r="A331" s="70"/>
      <c r="B331" s="164" t="s">
        <v>140</v>
      </c>
      <c r="C331" s="165">
        <f>SUM(C313:C330)</f>
        <v>185000000</v>
      </c>
      <c r="D331" s="166">
        <f>SUM(D313:D321)</f>
        <v>67.917567567567559</v>
      </c>
      <c r="E331" s="134"/>
      <c r="F331" s="134"/>
      <c r="G331" s="837">
        <f>SUM(G313:G330)</f>
        <v>105182000</v>
      </c>
      <c r="H331" s="134"/>
      <c r="I331" s="134"/>
      <c r="J331" s="734"/>
      <c r="K331" s="40"/>
    </row>
    <row r="332" spans="1:14" x14ac:dyDescent="0.25">
      <c r="A332" s="53"/>
      <c r="B332" s="5"/>
      <c r="C332" s="191"/>
      <c r="D332" s="41"/>
      <c r="E332" s="30"/>
      <c r="F332" s="31"/>
      <c r="G332" s="36"/>
      <c r="H332" s="23"/>
      <c r="I332" s="23"/>
      <c r="J332" s="33"/>
      <c r="K332" s="37"/>
    </row>
    <row r="333" spans="1:14" ht="31.5" x14ac:dyDescent="0.25">
      <c r="A333" s="55"/>
      <c r="B333" s="46" t="s">
        <v>145</v>
      </c>
      <c r="C333" s="155"/>
      <c r="D333" s="44"/>
      <c r="E333" s="45"/>
      <c r="F333" s="45"/>
      <c r="G333" s="48"/>
      <c r="H333" s="45"/>
      <c r="I333" s="45"/>
      <c r="J333" s="44"/>
      <c r="K333" s="44"/>
      <c r="L333" s="1"/>
      <c r="M333" s="1"/>
      <c r="N333" s="1"/>
    </row>
    <row r="334" spans="1:14" x14ac:dyDescent="0.25">
      <c r="A334" s="1119" t="s">
        <v>2</v>
      </c>
      <c r="B334" s="1120" t="s">
        <v>177</v>
      </c>
      <c r="C334" s="1119" t="s">
        <v>4</v>
      </c>
      <c r="D334" s="1121" t="s">
        <v>5</v>
      </c>
      <c r="E334" s="1121"/>
      <c r="F334" s="1121"/>
      <c r="G334" s="1122" t="s">
        <v>6</v>
      </c>
      <c r="H334" s="1122"/>
      <c r="I334" s="1122"/>
      <c r="J334" s="1119" t="s">
        <v>7</v>
      </c>
      <c r="K334" s="289" t="s">
        <v>8</v>
      </c>
    </row>
    <row r="335" spans="1:14" x14ac:dyDescent="0.25">
      <c r="A335" s="1119"/>
      <c r="B335" s="1120"/>
      <c r="C335" s="1119"/>
      <c r="D335" s="289" t="s">
        <v>9</v>
      </c>
      <c r="E335" s="308" t="s">
        <v>10</v>
      </c>
      <c r="F335" s="308" t="s">
        <v>11</v>
      </c>
      <c r="G335" s="309" t="s">
        <v>12</v>
      </c>
      <c r="H335" s="308" t="s">
        <v>13</v>
      </c>
      <c r="I335" s="308" t="s">
        <v>11</v>
      </c>
      <c r="J335" s="1123"/>
      <c r="K335" s="115"/>
    </row>
    <row r="336" spans="1:14" x14ac:dyDescent="0.25">
      <c r="A336" s="1119"/>
      <c r="B336" s="1120"/>
      <c r="C336" s="1119"/>
      <c r="D336" s="118" t="s">
        <v>14</v>
      </c>
      <c r="E336" s="119" t="s">
        <v>14</v>
      </c>
      <c r="F336" s="119" t="s">
        <v>14</v>
      </c>
      <c r="G336" s="120" t="s">
        <v>15</v>
      </c>
      <c r="H336" s="119" t="s">
        <v>14</v>
      </c>
      <c r="I336" s="119" t="s">
        <v>14</v>
      </c>
      <c r="J336" s="118" t="s">
        <v>15</v>
      </c>
      <c r="K336" s="118"/>
    </row>
    <row r="337" spans="1:11" x14ac:dyDescent="0.25">
      <c r="A337" s="79" t="s">
        <v>185</v>
      </c>
      <c r="B337" s="199" t="s">
        <v>146</v>
      </c>
      <c r="C337" s="260"/>
      <c r="D337" s="10"/>
      <c r="E337" s="34"/>
      <c r="F337" s="34"/>
      <c r="G337" s="6"/>
      <c r="H337" s="34"/>
      <c r="I337" s="34"/>
      <c r="J337" s="10"/>
      <c r="K337" s="10"/>
    </row>
    <row r="338" spans="1:11" x14ac:dyDescent="0.25">
      <c r="A338" s="125" t="s">
        <v>184</v>
      </c>
      <c r="B338" s="280" t="s">
        <v>147</v>
      </c>
      <c r="C338" s="131">
        <f>SUM(C339:C340)</f>
        <v>3395640000</v>
      </c>
      <c r="D338" s="10"/>
      <c r="E338" s="34"/>
      <c r="F338" s="34"/>
      <c r="G338" s="6"/>
      <c r="H338" s="34"/>
      <c r="I338" s="34"/>
      <c r="J338" s="10"/>
      <c r="K338" s="10"/>
    </row>
    <row r="339" spans="1:11" ht="25.5" x14ac:dyDescent="0.25">
      <c r="A339" s="313" t="s">
        <v>44</v>
      </c>
      <c r="B339" s="707" t="s">
        <v>384</v>
      </c>
      <c r="C339" s="253">
        <v>35640000</v>
      </c>
      <c r="D339" s="134">
        <f>C339/C338*100</f>
        <v>1.0495812276919816</v>
      </c>
      <c r="E339" s="134">
        <f t="shared" ref="E339:E340" si="122">G339/C339*100</f>
        <v>0</v>
      </c>
      <c r="F339" s="134">
        <f t="shared" ref="F339:F340" si="123">(D339*E339)/100</f>
        <v>0</v>
      </c>
      <c r="G339" s="181">
        <v>0</v>
      </c>
      <c r="H339" s="134">
        <f t="shared" ref="H339:H340" si="124">G339/C339*100</f>
        <v>0</v>
      </c>
      <c r="I339" s="134">
        <f t="shared" ref="I339:I340" si="125">(D339*H339)/100</f>
        <v>0</v>
      </c>
      <c r="J339" s="6">
        <f t="shared" ref="J339:J340" si="126">G339-C339</f>
        <v>-35640000</v>
      </c>
      <c r="K339" s="10"/>
    </row>
    <row r="340" spans="1:11" x14ac:dyDescent="0.25">
      <c r="A340" s="49" t="s">
        <v>148</v>
      </c>
      <c r="B340" s="133" t="s">
        <v>534</v>
      </c>
      <c r="C340" s="256">
        <v>3360000000</v>
      </c>
      <c r="D340" s="134">
        <f>C340/C338*100</f>
        <v>98.950418772308012</v>
      </c>
      <c r="E340" s="134">
        <f t="shared" si="122"/>
        <v>0</v>
      </c>
      <c r="F340" s="134">
        <f t="shared" si="123"/>
        <v>0</v>
      </c>
      <c r="G340" s="181">
        <v>0</v>
      </c>
      <c r="H340" s="134">
        <f t="shared" si="124"/>
        <v>0</v>
      </c>
      <c r="I340" s="134">
        <f t="shared" si="125"/>
        <v>0</v>
      </c>
      <c r="J340" s="6">
        <f t="shared" si="126"/>
        <v>-3360000000</v>
      </c>
      <c r="K340" s="10"/>
    </row>
    <row r="341" spans="1:11" x14ac:dyDescent="0.25">
      <c r="A341" s="70"/>
      <c r="B341" s="129" t="s">
        <v>95</v>
      </c>
      <c r="C341" s="807">
        <f>SUM(C339:C340)</f>
        <v>3395640000</v>
      </c>
      <c r="D341" s="271">
        <f>SUM(D339:D340)</f>
        <v>100</v>
      </c>
      <c r="E341" s="134"/>
      <c r="F341" s="134"/>
      <c r="G341" s="181">
        <f>SUM(G339:G340)</f>
        <v>0</v>
      </c>
      <c r="H341" s="134"/>
      <c r="I341" s="134"/>
      <c r="J341" s="734"/>
      <c r="K341" s="130"/>
    </row>
    <row r="342" spans="1:11" x14ac:dyDescent="0.25">
      <c r="A342" s="230"/>
      <c r="B342" s="231"/>
      <c r="C342" s="232"/>
      <c r="D342" s="23"/>
      <c r="E342" s="23"/>
      <c r="F342" s="23"/>
      <c r="G342" s="11"/>
      <c r="H342" s="23"/>
      <c r="I342" s="23"/>
      <c r="J342" s="9"/>
      <c r="K342" s="9"/>
    </row>
    <row r="343" spans="1:11" x14ac:dyDescent="0.25">
      <c r="A343" s="1119" t="s">
        <v>2</v>
      </c>
      <c r="B343" s="1120" t="s">
        <v>177</v>
      </c>
      <c r="C343" s="1119" t="s">
        <v>4</v>
      </c>
      <c r="D343" s="1121" t="s">
        <v>5</v>
      </c>
      <c r="E343" s="1121"/>
      <c r="F343" s="1121"/>
      <c r="G343" s="1122" t="s">
        <v>6</v>
      </c>
      <c r="H343" s="1122"/>
      <c r="I343" s="1122"/>
      <c r="J343" s="1119" t="s">
        <v>7</v>
      </c>
      <c r="K343" s="289" t="s">
        <v>8</v>
      </c>
    </row>
    <row r="344" spans="1:11" x14ac:dyDescent="0.25">
      <c r="A344" s="1119"/>
      <c r="B344" s="1120"/>
      <c r="C344" s="1119"/>
      <c r="D344" s="289" t="s">
        <v>9</v>
      </c>
      <c r="E344" s="308" t="s">
        <v>10</v>
      </c>
      <c r="F344" s="308" t="s">
        <v>11</v>
      </c>
      <c r="G344" s="309" t="s">
        <v>12</v>
      </c>
      <c r="H344" s="308" t="s">
        <v>13</v>
      </c>
      <c r="I344" s="308" t="s">
        <v>11</v>
      </c>
      <c r="J344" s="1123"/>
      <c r="K344" s="115"/>
    </row>
    <row r="345" spans="1:11" x14ac:dyDescent="0.25">
      <c r="A345" s="1119"/>
      <c r="B345" s="1120"/>
      <c r="C345" s="1119"/>
      <c r="D345" s="118" t="s">
        <v>14</v>
      </c>
      <c r="E345" s="119" t="s">
        <v>14</v>
      </c>
      <c r="F345" s="119" t="s">
        <v>14</v>
      </c>
      <c r="G345" s="120" t="s">
        <v>15</v>
      </c>
      <c r="H345" s="119" t="s">
        <v>14</v>
      </c>
      <c r="I345" s="119" t="s">
        <v>14</v>
      </c>
      <c r="J345" s="118" t="s">
        <v>15</v>
      </c>
      <c r="K345" s="118"/>
    </row>
    <row r="346" spans="1:11" x14ac:dyDescent="0.25">
      <c r="A346" s="139" t="s">
        <v>185</v>
      </c>
      <c r="B346" s="199" t="s">
        <v>146</v>
      </c>
      <c r="C346" s="24"/>
      <c r="D346" s="10"/>
      <c r="E346" s="34"/>
      <c r="F346" s="34"/>
      <c r="G346" s="6"/>
      <c r="H346" s="34"/>
      <c r="I346" s="34"/>
      <c r="J346" s="10"/>
      <c r="K346" s="10"/>
    </row>
    <row r="347" spans="1:11" x14ac:dyDescent="0.25">
      <c r="A347" s="140" t="s">
        <v>187</v>
      </c>
      <c r="B347" s="280" t="s">
        <v>150</v>
      </c>
      <c r="C347" s="252">
        <f>SUM(C348:C352)</f>
        <v>2057255328</v>
      </c>
      <c r="D347" s="10"/>
      <c r="E347" s="34"/>
      <c r="F347" s="34"/>
      <c r="G347" s="6"/>
      <c r="H347" s="34"/>
      <c r="I347" s="34"/>
      <c r="J347" s="10"/>
      <c r="K347" s="10"/>
    </row>
    <row r="348" spans="1:11" ht="25.5" x14ac:dyDescent="0.25">
      <c r="A348" s="159" t="s">
        <v>44</v>
      </c>
      <c r="B348" s="707" t="s">
        <v>384</v>
      </c>
      <c r="C348" s="253">
        <v>30210000</v>
      </c>
      <c r="D348" s="134">
        <f>C348/C347*100</f>
        <v>1.4684613809880966</v>
      </c>
      <c r="E348" s="134">
        <f t="shared" ref="E348:E351" si="127">G348/C348*100</f>
        <v>0</v>
      </c>
      <c r="F348" s="134">
        <f t="shared" ref="F348:F351" si="128">(D348*E348)/100</f>
        <v>0</v>
      </c>
      <c r="G348" s="181">
        <v>0</v>
      </c>
      <c r="H348" s="134">
        <f t="shared" ref="H348:H351" si="129">G348/C348*100</f>
        <v>0</v>
      </c>
      <c r="I348" s="134">
        <f t="shared" ref="I348:I351" si="130">(D348*H348)/100</f>
        <v>0</v>
      </c>
      <c r="J348" s="6">
        <f t="shared" ref="J348:J352" si="131">G348-C348</f>
        <v>-30210000</v>
      </c>
      <c r="K348" s="10"/>
    </row>
    <row r="349" spans="1:11" x14ac:dyDescent="0.25">
      <c r="A349" s="313" t="s">
        <v>59</v>
      </c>
      <c r="B349" s="707" t="s">
        <v>197</v>
      </c>
      <c r="C349" s="253">
        <v>690000</v>
      </c>
      <c r="D349" s="134">
        <f>C349/C347*100</f>
        <v>3.3539832932200815E-2</v>
      </c>
      <c r="E349" s="134">
        <f t="shared" si="127"/>
        <v>0</v>
      </c>
      <c r="F349" s="134">
        <f t="shared" si="128"/>
        <v>0</v>
      </c>
      <c r="G349" s="181">
        <v>0</v>
      </c>
      <c r="H349" s="134">
        <f t="shared" si="129"/>
        <v>0</v>
      </c>
      <c r="I349" s="134">
        <f t="shared" si="130"/>
        <v>0</v>
      </c>
      <c r="J349" s="6">
        <f t="shared" si="131"/>
        <v>-690000</v>
      </c>
      <c r="K349" s="10"/>
    </row>
    <row r="350" spans="1:11" x14ac:dyDescent="0.25">
      <c r="A350" s="313" t="s">
        <v>62</v>
      </c>
      <c r="B350" s="133" t="s">
        <v>534</v>
      </c>
      <c r="C350" s="253">
        <v>1440000000</v>
      </c>
      <c r="D350" s="134">
        <f>C350/C347*100</f>
        <v>69.99617307589736</v>
      </c>
      <c r="E350" s="134">
        <f t="shared" si="127"/>
        <v>6.5</v>
      </c>
      <c r="F350" s="134">
        <f t="shared" si="128"/>
        <v>4.5497512499333279</v>
      </c>
      <c r="G350" s="181">
        <f>93600000</f>
        <v>93600000</v>
      </c>
      <c r="H350" s="134">
        <f t="shared" si="129"/>
        <v>6.5</v>
      </c>
      <c r="I350" s="134">
        <f t="shared" si="130"/>
        <v>4.5497512499333279</v>
      </c>
      <c r="J350" s="6">
        <f t="shared" si="131"/>
        <v>-1346400000</v>
      </c>
      <c r="K350" s="10"/>
    </row>
    <row r="351" spans="1:11" s="725" customFormat="1" ht="25.5" x14ac:dyDescent="0.2">
      <c r="A351" s="723" t="s">
        <v>152</v>
      </c>
      <c r="B351" s="133" t="s">
        <v>153</v>
      </c>
      <c r="C351" s="724">
        <v>576000000</v>
      </c>
      <c r="D351" s="728">
        <f>C351/C347*100</f>
        <v>27.998469230358946</v>
      </c>
      <c r="E351" s="728">
        <f t="shared" si="127"/>
        <v>25</v>
      </c>
      <c r="F351" s="728">
        <f t="shared" si="128"/>
        <v>6.9996173075897365</v>
      </c>
      <c r="G351" s="181">
        <f>144000000</f>
        <v>144000000</v>
      </c>
      <c r="H351" s="728">
        <f t="shared" si="129"/>
        <v>25</v>
      </c>
      <c r="I351" s="728">
        <f t="shared" si="130"/>
        <v>6.9996173075897365</v>
      </c>
      <c r="J351" s="6">
        <f t="shared" si="131"/>
        <v>-432000000</v>
      </c>
      <c r="K351" s="313"/>
    </row>
    <row r="352" spans="1:11" s="725" customFormat="1" x14ac:dyDescent="0.2">
      <c r="A352" s="749" t="s">
        <v>234</v>
      </c>
      <c r="B352" s="133" t="s">
        <v>522</v>
      </c>
      <c r="C352" s="724">
        <v>10355328</v>
      </c>
      <c r="D352" s="820"/>
      <c r="E352" s="728"/>
      <c r="F352" s="728"/>
      <c r="G352" s="181"/>
      <c r="H352" s="728"/>
      <c r="I352" s="728"/>
      <c r="J352" s="6">
        <f t="shared" si="131"/>
        <v>-10355328</v>
      </c>
      <c r="K352" s="821"/>
    </row>
    <row r="353" spans="1:11" x14ac:dyDescent="0.25">
      <c r="A353" s="70"/>
      <c r="B353" s="129" t="s">
        <v>95</v>
      </c>
      <c r="C353" s="807">
        <f>SUM(C348:C352)</f>
        <v>2057255328</v>
      </c>
      <c r="D353" s="271">
        <f>SUM(D348:D351)</f>
        <v>99.496643520176605</v>
      </c>
      <c r="E353" s="134"/>
      <c r="F353" s="134"/>
      <c r="G353" s="181">
        <f>SUM(G348:G352)</f>
        <v>237600000</v>
      </c>
      <c r="H353" s="134"/>
      <c r="I353" s="134"/>
      <c r="J353" s="734"/>
      <c r="K353" s="130"/>
    </row>
    <row r="354" spans="1:11" x14ac:dyDescent="0.25">
      <c r="A354" s="50"/>
      <c r="B354" s="5"/>
      <c r="C354" s="50"/>
      <c r="D354" s="9"/>
      <c r="E354" s="23"/>
      <c r="F354" s="23"/>
      <c r="G354" s="11"/>
      <c r="H354" s="23"/>
      <c r="I354" s="23"/>
      <c r="J354" s="9"/>
      <c r="K354" s="9"/>
    </row>
    <row r="355" spans="1:11" x14ac:dyDescent="0.25">
      <c r="A355" s="50"/>
      <c r="B355" s="5"/>
      <c r="C355" s="50"/>
      <c r="D355" s="9"/>
      <c r="E355" s="23"/>
      <c r="F355" s="23"/>
      <c r="G355" s="11"/>
      <c r="H355" s="23"/>
      <c r="I355" s="23"/>
      <c r="J355" s="9"/>
      <c r="K355" s="9"/>
    </row>
    <row r="356" spans="1:11" x14ac:dyDescent="0.25">
      <c r="A356" s="1139" t="s">
        <v>2</v>
      </c>
      <c r="B356" s="1142" t="s">
        <v>175</v>
      </c>
      <c r="C356" s="290"/>
      <c r="D356" s="1145" t="s">
        <v>5</v>
      </c>
      <c r="E356" s="1146"/>
      <c r="F356" s="1147"/>
      <c r="G356" s="1148" t="s">
        <v>6</v>
      </c>
      <c r="H356" s="1149"/>
      <c r="I356" s="1150"/>
      <c r="J356" s="1138" t="s">
        <v>7</v>
      </c>
      <c r="K356" s="198" t="s">
        <v>8</v>
      </c>
    </row>
    <row r="357" spans="1:11" x14ac:dyDescent="0.25">
      <c r="A357" s="1140"/>
      <c r="B357" s="1143"/>
      <c r="C357" s="852" t="s">
        <v>4</v>
      </c>
      <c r="D357" s="198" t="s">
        <v>9</v>
      </c>
      <c r="E357" s="310" t="s">
        <v>10</v>
      </c>
      <c r="F357" s="310" t="s">
        <v>11</v>
      </c>
      <c r="G357" s="194" t="s">
        <v>12</v>
      </c>
      <c r="H357" s="193" t="s">
        <v>13</v>
      </c>
      <c r="I357" s="193" t="s">
        <v>11</v>
      </c>
      <c r="J357" s="1151"/>
      <c r="K357" s="192"/>
    </row>
    <row r="358" spans="1:11" x14ac:dyDescent="0.25">
      <c r="A358" s="1141"/>
      <c r="B358" s="1144"/>
      <c r="C358" s="229"/>
      <c r="D358" s="197" t="s">
        <v>14</v>
      </c>
      <c r="E358" s="195" t="s">
        <v>14</v>
      </c>
      <c r="F358" s="195" t="s">
        <v>14</v>
      </c>
      <c r="G358" s="196" t="s">
        <v>15</v>
      </c>
      <c r="H358" s="195" t="s">
        <v>14</v>
      </c>
      <c r="I358" s="195" t="s">
        <v>14</v>
      </c>
      <c r="J358" s="197" t="s">
        <v>15</v>
      </c>
      <c r="K358" s="197"/>
    </row>
    <row r="359" spans="1:11" ht="25.5" x14ac:dyDescent="0.25">
      <c r="A359" s="321" t="s">
        <v>180</v>
      </c>
      <c r="B359" s="696" t="s">
        <v>379</v>
      </c>
      <c r="C359" s="291"/>
      <c r="D359" s="121"/>
      <c r="E359" s="122"/>
      <c r="F359" s="122"/>
      <c r="G359" s="123"/>
      <c r="H359" s="122"/>
      <c r="I359" s="122"/>
      <c r="J359" s="121"/>
      <c r="K359" s="121"/>
    </row>
    <row r="360" spans="1:11" ht="25.5" x14ac:dyDescent="0.25">
      <c r="A360" s="160" t="s">
        <v>181</v>
      </c>
      <c r="B360" s="697" t="s">
        <v>380</v>
      </c>
      <c r="C360" s="261">
        <f>SUM(C361:C376)</f>
        <v>185000000</v>
      </c>
      <c r="D360" s="161"/>
      <c r="E360" s="161"/>
      <c r="F360" s="161"/>
      <c r="G360" s="82"/>
      <c r="H360" s="161"/>
      <c r="I360" s="161"/>
      <c r="J360" s="162"/>
      <c r="K360" s="162"/>
    </row>
    <row r="361" spans="1:11" ht="25.5" x14ac:dyDescent="0.25">
      <c r="A361" s="314" t="s">
        <v>44</v>
      </c>
      <c r="B361" s="707" t="s">
        <v>384</v>
      </c>
      <c r="C361" s="262">
        <v>8580000</v>
      </c>
      <c r="D361" s="134">
        <f>C361/C360*100</f>
        <v>4.6378378378378375</v>
      </c>
      <c r="E361" s="134">
        <f t="shared" ref="E361:E369" si="132">G361/C361*100</f>
        <v>89.16083916083916</v>
      </c>
      <c r="F361" s="134">
        <f t="shared" ref="F361:F369" si="133">(D361*E361)/100</f>
        <v>4.1351351351351351</v>
      </c>
      <c r="G361" s="181">
        <f>7650000</f>
        <v>7650000</v>
      </c>
      <c r="H361" s="134">
        <f t="shared" ref="H361:H369" si="134">G361/C361*100</f>
        <v>89.16083916083916</v>
      </c>
      <c r="I361" s="134">
        <f t="shared" ref="I361:I369" si="135">(D361*H361)/100</f>
        <v>4.1351351351351351</v>
      </c>
      <c r="J361" s="6">
        <f t="shared" ref="J361:J376" si="136">G361-C361</f>
        <v>-930000</v>
      </c>
      <c r="K361" s="10"/>
    </row>
    <row r="362" spans="1:11" x14ac:dyDescent="0.25">
      <c r="A362" s="314" t="s">
        <v>59</v>
      </c>
      <c r="B362" s="707" t="s">
        <v>197</v>
      </c>
      <c r="C362" s="262">
        <v>12218350</v>
      </c>
      <c r="D362" s="134">
        <f>C362/C360*100</f>
        <v>6.6045135135135133</v>
      </c>
      <c r="E362" s="134">
        <f t="shared" si="132"/>
        <v>49.106466912471816</v>
      </c>
      <c r="F362" s="134">
        <f t="shared" si="133"/>
        <v>3.2432432432432434</v>
      </c>
      <c r="G362" s="181">
        <f>6000000</f>
        <v>6000000</v>
      </c>
      <c r="H362" s="134">
        <f t="shared" si="134"/>
        <v>49.106466912471816</v>
      </c>
      <c r="I362" s="134">
        <f t="shared" si="135"/>
        <v>3.2432432432432434</v>
      </c>
      <c r="J362" s="6">
        <f t="shared" si="136"/>
        <v>-6218350</v>
      </c>
      <c r="K362" s="10"/>
    </row>
    <row r="363" spans="1:11" x14ac:dyDescent="0.25">
      <c r="A363" s="314" t="s">
        <v>62</v>
      </c>
      <c r="B363" s="707" t="s">
        <v>334</v>
      </c>
      <c r="C363" s="262">
        <v>9787450</v>
      </c>
      <c r="D363" s="134">
        <f>C363/C360*100</f>
        <v>5.2905135135135142</v>
      </c>
      <c r="E363" s="134">
        <f t="shared" si="132"/>
        <v>0</v>
      </c>
      <c r="F363" s="134">
        <f t="shared" si="133"/>
        <v>0</v>
      </c>
      <c r="G363" s="181">
        <v>0</v>
      </c>
      <c r="H363" s="134">
        <f t="shared" si="134"/>
        <v>0</v>
      </c>
      <c r="I363" s="134">
        <f t="shared" si="135"/>
        <v>0</v>
      </c>
      <c r="J363" s="6">
        <f t="shared" si="136"/>
        <v>-9787450</v>
      </c>
      <c r="K363" s="10"/>
    </row>
    <row r="364" spans="1:11" x14ac:dyDescent="0.25">
      <c r="A364" s="314" t="s">
        <v>148</v>
      </c>
      <c r="B364" s="133" t="s">
        <v>534</v>
      </c>
      <c r="C364" s="262">
        <v>8000000</v>
      </c>
      <c r="D364" s="134"/>
      <c r="E364" s="134"/>
      <c r="F364" s="134"/>
      <c r="G364" s="181">
        <f>8000000</f>
        <v>8000000</v>
      </c>
      <c r="H364" s="134"/>
      <c r="I364" s="134"/>
      <c r="J364" s="6">
        <f t="shared" si="136"/>
        <v>0</v>
      </c>
      <c r="K364" s="10"/>
    </row>
    <row r="365" spans="1:11" x14ac:dyDescent="0.25">
      <c r="A365" s="314" t="s">
        <v>194</v>
      </c>
      <c r="B365" s="49" t="s">
        <v>139</v>
      </c>
      <c r="C365" s="263">
        <v>42400000</v>
      </c>
      <c r="D365" s="134">
        <f>C365/C360*100</f>
        <v>22.918918918918919</v>
      </c>
      <c r="E365" s="134">
        <f t="shared" si="132"/>
        <v>58.938679245283019</v>
      </c>
      <c r="F365" s="134">
        <f t="shared" si="133"/>
        <v>13.508108108108109</v>
      </c>
      <c r="G365" s="181">
        <f>24990000</f>
        <v>24990000</v>
      </c>
      <c r="H365" s="134">
        <f t="shared" si="134"/>
        <v>58.938679245283019</v>
      </c>
      <c r="I365" s="134">
        <f t="shared" si="135"/>
        <v>13.508108108108109</v>
      </c>
      <c r="J365" s="6">
        <f t="shared" si="136"/>
        <v>-17410000</v>
      </c>
      <c r="K365" s="10"/>
    </row>
    <row r="366" spans="1:11" x14ac:dyDescent="0.25">
      <c r="A366" s="314" t="s">
        <v>183</v>
      </c>
      <c r="B366" s="49" t="s">
        <v>417</v>
      </c>
      <c r="C366" s="263">
        <v>4500000</v>
      </c>
      <c r="D366" s="134"/>
      <c r="E366" s="134">
        <f t="shared" si="132"/>
        <v>100</v>
      </c>
      <c r="F366" s="134"/>
      <c r="G366" s="181">
        <f>4500000</f>
        <v>4500000</v>
      </c>
      <c r="H366" s="134">
        <f t="shared" si="134"/>
        <v>100</v>
      </c>
      <c r="I366" s="134"/>
      <c r="J366" s="6">
        <f t="shared" si="136"/>
        <v>0</v>
      </c>
      <c r="K366" s="10"/>
    </row>
    <row r="367" spans="1:11" x14ac:dyDescent="0.25">
      <c r="A367" s="322" t="s">
        <v>195</v>
      </c>
      <c r="B367" s="170" t="s">
        <v>179</v>
      </c>
      <c r="C367" s="178">
        <v>24500000</v>
      </c>
      <c r="D367" s="134">
        <f>C367/C360*100</f>
        <v>13.243243243243244</v>
      </c>
      <c r="E367" s="134">
        <f t="shared" si="132"/>
        <v>100</v>
      </c>
      <c r="F367" s="134">
        <f t="shared" si="133"/>
        <v>13.243243243243244</v>
      </c>
      <c r="G367" s="181">
        <f>24500000</f>
        <v>24500000</v>
      </c>
      <c r="H367" s="134">
        <f t="shared" si="134"/>
        <v>100</v>
      </c>
      <c r="I367" s="134">
        <f t="shared" si="135"/>
        <v>13.243243243243244</v>
      </c>
      <c r="J367" s="6">
        <f t="shared" si="136"/>
        <v>0</v>
      </c>
      <c r="K367" s="10"/>
    </row>
    <row r="368" spans="1:11" x14ac:dyDescent="0.25">
      <c r="A368" s="322" t="s">
        <v>62</v>
      </c>
      <c r="B368" s="170" t="s">
        <v>418</v>
      </c>
      <c r="C368" s="178">
        <v>7500000</v>
      </c>
      <c r="D368" s="134"/>
      <c r="E368" s="134"/>
      <c r="F368" s="134"/>
      <c r="G368" s="181">
        <v>0</v>
      </c>
      <c r="H368" s="134"/>
      <c r="I368" s="134"/>
      <c r="J368" s="6">
        <f t="shared" si="136"/>
        <v>-7500000</v>
      </c>
      <c r="K368" s="10"/>
    </row>
    <row r="369" spans="1:14" ht="25.5" x14ac:dyDescent="0.25">
      <c r="A369" s="314" t="s">
        <v>106</v>
      </c>
      <c r="B369" s="316" t="s">
        <v>375</v>
      </c>
      <c r="C369" s="263">
        <v>16650000</v>
      </c>
      <c r="D369" s="134">
        <f>C369/C360*100</f>
        <v>9</v>
      </c>
      <c r="E369" s="134">
        <f t="shared" si="132"/>
        <v>92.792792792792795</v>
      </c>
      <c r="F369" s="134">
        <f t="shared" si="133"/>
        <v>8.3513513513513526</v>
      </c>
      <c r="G369" s="181">
        <f>15450000</f>
        <v>15450000</v>
      </c>
      <c r="H369" s="134">
        <f t="shared" si="134"/>
        <v>92.792792792792795</v>
      </c>
      <c r="I369" s="134">
        <f t="shared" si="135"/>
        <v>8.3513513513513526</v>
      </c>
      <c r="J369" s="6">
        <f t="shared" si="136"/>
        <v>-1200000</v>
      </c>
      <c r="K369" s="10"/>
    </row>
    <row r="370" spans="1:14" x14ac:dyDescent="0.25">
      <c r="A370" s="745" t="s">
        <v>162</v>
      </c>
      <c r="B370" s="746" t="s">
        <v>538</v>
      </c>
      <c r="C370" s="263">
        <v>3000000</v>
      </c>
      <c r="D370" s="134"/>
      <c r="E370" s="134"/>
      <c r="F370" s="134"/>
      <c r="G370" s="181">
        <f>3000000</f>
        <v>3000000</v>
      </c>
      <c r="H370" s="134"/>
      <c r="I370" s="134"/>
      <c r="J370" s="6">
        <f t="shared" si="136"/>
        <v>0</v>
      </c>
      <c r="K370" s="10"/>
    </row>
    <row r="371" spans="1:14" x14ac:dyDescent="0.25">
      <c r="A371" s="745" t="s">
        <v>521</v>
      </c>
      <c r="B371" s="746" t="s">
        <v>539</v>
      </c>
      <c r="C371" s="263">
        <v>3000000</v>
      </c>
      <c r="D371" s="134"/>
      <c r="E371" s="134"/>
      <c r="F371" s="134"/>
      <c r="G371" s="181">
        <f>3000000</f>
        <v>3000000</v>
      </c>
      <c r="H371" s="134"/>
      <c r="I371" s="134"/>
      <c r="J371" s="6">
        <f t="shared" si="136"/>
        <v>0</v>
      </c>
      <c r="K371" s="10"/>
    </row>
    <row r="372" spans="1:14" ht="25.5" x14ac:dyDescent="0.25">
      <c r="A372" s="745" t="s">
        <v>116</v>
      </c>
      <c r="B372" s="316" t="s">
        <v>420</v>
      </c>
      <c r="C372" s="263">
        <v>5464200</v>
      </c>
      <c r="D372" s="134"/>
      <c r="E372" s="134"/>
      <c r="F372" s="134"/>
      <c r="G372" s="181">
        <f>3000000</f>
        <v>3000000</v>
      </c>
      <c r="H372" s="134"/>
      <c r="I372" s="134"/>
      <c r="J372" s="6">
        <f t="shared" si="136"/>
        <v>-2464200</v>
      </c>
      <c r="K372" s="10"/>
    </row>
    <row r="373" spans="1:14" x14ac:dyDescent="0.25">
      <c r="A373" s="745" t="s">
        <v>65</v>
      </c>
      <c r="B373" s="754" t="s">
        <v>190</v>
      </c>
      <c r="C373" s="263">
        <v>7000000</v>
      </c>
      <c r="D373" s="134"/>
      <c r="E373" s="134"/>
      <c r="F373" s="134"/>
      <c r="G373" s="181"/>
      <c r="H373" s="134"/>
      <c r="I373" s="134"/>
      <c r="J373" s="6">
        <f t="shared" si="136"/>
        <v>-7000000</v>
      </c>
      <c r="K373" s="10"/>
    </row>
    <row r="374" spans="1:14" x14ac:dyDescent="0.25">
      <c r="A374" s="745" t="s">
        <v>400</v>
      </c>
      <c r="B374" s="754" t="s">
        <v>401</v>
      </c>
      <c r="C374" s="263">
        <v>7000000</v>
      </c>
      <c r="D374" s="134"/>
      <c r="E374" s="134"/>
      <c r="F374" s="134"/>
      <c r="G374" s="181">
        <f>7000000</f>
        <v>7000000</v>
      </c>
      <c r="H374" s="134"/>
      <c r="I374" s="134"/>
      <c r="J374" s="6">
        <f t="shared" si="136"/>
        <v>0</v>
      </c>
      <c r="K374" s="10"/>
    </row>
    <row r="375" spans="1:14" x14ac:dyDescent="0.25">
      <c r="A375" s="745" t="s">
        <v>301</v>
      </c>
      <c r="B375" s="746" t="s">
        <v>409</v>
      </c>
      <c r="C375" s="263">
        <v>20400000</v>
      </c>
      <c r="D375" s="134">
        <f>C375/C361*100</f>
        <v>237.76223776223776</v>
      </c>
      <c r="E375" s="134"/>
      <c r="F375" s="134"/>
      <c r="G375" s="181">
        <f>20400000</f>
        <v>20400000</v>
      </c>
      <c r="H375" s="134"/>
      <c r="I375" s="134"/>
      <c r="J375" s="6">
        <f t="shared" si="136"/>
        <v>0</v>
      </c>
      <c r="K375" s="10"/>
    </row>
    <row r="376" spans="1:14" x14ac:dyDescent="0.25">
      <c r="A376" s="745" t="s">
        <v>275</v>
      </c>
      <c r="B376" s="316" t="s">
        <v>543</v>
      </c>
      <c r="C376" s="263">
        <v>5000000</v>
      </c>
      <c r="D376" s="134"/>
      <c r="E376" s="134"/>
      <c r="F376" s="134"/>
      <c r="G376" s="181">
        <f>5000000</f>
        <v>5000000</v>
      </c>
      <c r="H376" s="134"/>
      <c r="I376" s="134"/>
      <c r="J376" s="6">
        <f t="shared" si="136"/>
        <v>0</v>
      </c>
      <c r="K376" s="10"/>
    </row>
    <row r="377" spans="1:14" x14ac:dyDescent="0.25">
      <c r="A377" s="1152" t="s">
        <v>95</v>
      </c>
      <c r="B377" s="1154"/>
      <c r="C377" s="822">
        <f>SUM(C361:C376)</f>
        <v>185000000</v>
      </c>
      <c r="D377" s="12">
        <f>SUM(D361:D369)</f>
        <v>61.695027027027024</v>
      </c>
      <c r="E377" s="134"/>
      <c r="F377" s="134"/>
      <c r="G377" s="837">
        <f>SUM(G361:G376)</f>
        <v>132490000</v>
      </c>
      <c r="H377" s="134"/>
      <c r="I377" s="134"/>
      <c r="J377" s="56">
        <v>0</v>
      </c>
      <c r="K377" s="3">
        <v>0</v>
      </c>
    </row>
    <row r="378" spans="1:14" x14ac:dyDescent="0.25">
      <c r="A378" s="5"/>
      <c r="B378" s="5"/>
      <c r="C378" s="5"/>
      <c r="D378" s="29"/>
      <c r="E378" s="30"/>
      <c r="F378" s="31"/>
      <c r="G378" s="36"/>
      <c r="H378" s="32"/>
      <c r="I378" s="31"/>
      <c r="J378" s="36"/>
      <c r="K378" s="37"/>
    </row>
    <row r="379" spans="1:14" ht="31.5" x14ac:dyDescent="0.25">
      <c r="A379" s="55"/>
      <c r="B379" s="46" t="s">
        <v>145</v>
      </c>
      <c r="C379" s="155"/>
      <c r="D379" s="44"/>
      <c r="E379" s="45"/>
      <c r="F379" s="45"/>
      <c r="G379" s="48"/>
      <c r="H379" s="45"/>
      <c r="I379" s="45"/>
      <c r="J379" s="44"/>
      <c r="K379" s="44"/>
      <c r="L379" s="1"/>
      <c r="M379" s="1"/>
      <c r="N379" s="1"/>
    </row>
    <row r="380" spans="1:14" x14ac:dyDescent="0.25">
      <c r="A380" s="1133" t="s">
        <v>2</v>
      </c>
      <c r="B380" s="1134" t="s">
        <v>175</v>
      </c>
      <c r="C380" s="1133" t="s">
        <v>4</v>
      </c>
      <c r="D380" s="1135" t="s">
        <v>5</v>
      </c>
      <c r="E380" s="1136"/>
      <c r="F380" s="1136"/>
      <c r="G380" s="1137" t="s">
        <v>6</v>
      </c>
      <c r="H380" s="1136"/>
      <c r="I380" s="1136"/>
      <c r="J380" s="1133" t="s">
        <v>7</v>
      </c>
      <c r="K380" s="198" t="s">
        <v>8</v>
      </c>
    </row>
    <row r="381" spans="1:14" x14ac:dyDescent="0.25">
      <c r="A381" s="1133"/>
      <c r="B381" s="1134"/>
      <c r="C381" s="1133"/>
      <c r="D381" s="198" t="s">
        <v>9</v>
      </c>
      <c r="E381" s="310" t="s">
        <v>10</v>
      </c>
      <c r="F381" s="310" t="s">
        <v>11</v>
      </c>
      <c r="G381" s="311" t="s">
        <v>12</v>
      </c>
      <c r="H381" s="310" t="s">
        <v>13</v>
      </c>
      <c r="I381" s="310" t="s">
        <v>11</v>
      </c>
      <c r="J381" s="1138"/>
      <c r="K381" s="192"/>
    </row>
    <row r="382" spans="1:14" x14ac:dyDescent="0.25">
      <c r="A382" s="1133"/>
      <c r="B382" s="1134"/>
      <c r="C382" s="1133"/>
      <c r="D382" s="197" t="s">
        <v>14</v>
      </c>
      <c r="E382" s="195" t="s">
        <v>14</v>
      </c>
      <c r="F382" s="195" t="s">
        <v>14</v>
      </c>
      <c r="G382" s="196" t="s">
        <v>15</v>
      </c>
      <c r="H382" s="195" t="s">
        <v>14</v>
      </c>
      <c r="I382" s="195" t="s">
        <v>14</v>
      </c>
      <c r="J382" s="197" t="s">
        <v>15</v>
      </c>
      <c r="K382" s="197"/>
    </row>
    <row r="383" spans="1:14" x14ac:dyDescent="0.25">
      <c r="A383" s="79" t="s">
        <v>185</v>
      </c>
      <c r="B383" s="199" t="s">
        <v>146</v>
      </c>
      <c r="C383" s="24"/>
      <c r="D383" s="10"/>
      <c r="E383" s="34"/>
      <c r="F383" s="34"/>
      <c r="G383" s="6"/>
      <c r="H383" s="34"/>
      <c r="I383" s="34"/>
      <c r="J383" s="10"/>
      <c r="K383" s="10"/>
    </row>
    <row r="384" spans="1:14" x14ac:dyDescent="0.25">
      <c r="A384" s="125" t="s">
        <v>184</v>
      </c>
      <c r="B384" s="280" t="s">
        <v>147</v>
      </c>
      <c r="C384" s="252">
        <f>SUM(C385:C386)</f>
        <v>1430900000</v>
      </c>
      <c r="D384" s="10"/>
      <c r="E384" s="34"/>
      <c r="F384" s="34"/>
      <c r="G384" s="6"/>
      <c r="H384" s="34"/>
      <c r="I384" s="34"/>
      <c r="J384" s="10"/>
      <c r="K384" s="10"/>
    </row>
    <row r="385" spans="1:11" ht="25.5" x14ac:dyDescent="0.25">
      <c r="A385" s="154" t="s">
        <v>44</v>
      </c>
      <c r="B385" s="707" t="s">
        <v>384</v>
      </c>
      <c r="C385" s="253">
        <v>30900000</v>
      </c>
      <c r="D385" s="134">
        <f>C385/C384*100</f>
        <v>2.1594800475225382</v>
      </c>
      <c r="E385" s="134">
        <f t="shared" ref="E385:E386" si="137">G385/C385*100</f>
        <v>0</v>
      </c>
      <c r="F385" s="134">
        <f t="shared" ref="F385:F386" si="138">(D385*E385)/100</f>
        <v>0</v>
      </c>
      <c r="G385" s="181">
        <v>0</v>
      </c>
      <c r="H385" s="134">
        <f t="shared" ref="H385:H386" si="139">G385/C385*100</f>
        <v>0</v>
      </c>
      <c r="I385" s="134">
        <f t="shared" ref="I385:I386" si="140">(D385*H385)/100</f>
        <v>0</v>
      </c>
      <c r="J385" s="6">
        <f t="shared" ref="J385:J386" si="141">G385-C385</f>
        <v>-30900000</v>
      </c>
      <c r="K385" s="10"/>
    </row>
    <row r="386" spans="1:11" x14ac:dyDescent="0.25">
      <c r="A386" s="124" t="s">
        <v>148</v>
      </c>
      <c r="B386" s="133" t="s">
        <v>534</v>
      </c>
      <c r="C386" s="256">
        <v>1400000000</v>
      </c>
      <c r="D386" s="134">
        <f>C386/C384*100</f>
        <v>97.840519952477464</v>
      </c>
      <c r="E386" s="134">
        <f t="shared" si="137"/>
        <v>0</v>
      </c>
      <c r="F386" s="134">
        <f t="shared" si="138"/>
        <v>0</v>
      </c>
      <c r="G386" s="181">
        <v>0</v>
      </c>
      <c r="H386" s="134">
        <f t="shared" si="139"/>
        <v>0</v>
      </c>
      <c r="I386" s="134">
        <f t="shared" si="140"/>
        <v>0</v>
      </c>
      <c r="J386" s="6">
        <f t="shared" si="141"/>
        <v>-1400000000</v>
      </c>
      <c r="K386" s="10"/>
    </row>
    <row r="387" spans="1:11" x14ac:dyDescent="0.25">
      <c r="A387" s="70"/>
      <c r="B387" s="129" t="s">
        <v>95</v>
      </c>
      <c r="C387" s="807">
        <f>SUM(C385:C386)</f>
        <v>1430900000</v>
      </c>
      <c r="D387" s="271">
        <f>SUM(D385:D386)</f>
        <v>100</v>
      </c>
      <c r="E387" s="134"/>
      <c r="F387" s="134"/>
      <c r="G387" s="181">
        <f>SUM(G385:G386)</f>
        <v>0</v>
      </c>
      <c r="H387" s="134"/>
      <c r="I387" s="134"/>
      <c r="J387" s="56">
        <v>0</v>
      </c>
      <c r="K387" s="130"/>
    </row>
    <row r="388" spans="1:11" x14ac:dyDescent="0.25">
      <c r="A388" s="5"/>
      <c r="B388" s="5"/>
      <c r="C388" s="5"/>
      <c r="D388" s="29"/>
      <c r="E388" s="30"/>
      <c r="F388" s="31"/>
      <c r="G388" s="36"/>
      <c r="H388" s="32"/>
      <c r="I388" s="31"/>
      <c r="J388" s="36"/>
      <c r="K388" s="37"/>
    </row>
    <row r="389" spans="1:11" x14ac:dyDescent="0.25">
      <c r="A389" s="1133" t="s">
        <v>2</v>
      </c>
      <c r="B389" s="1134" t="s">
        <v>175</v>
      </c>
      <c r="C389" s="1133" t="s">
        <v>4</v>
      </c>
      <c r="D389" s="1135" t="s">
        <v>5</v>
      </c>
      <c r="E389" s="1136"/>
      <c r="F389" s="1136"/>
      <c r="G389" s="1137" t="s">
        <v>6</v>
      </c>
      <c r="H389" s="1136"/>
      <c r="I389" s="1136"/>
      <c r="J389" s="1133" t="s">
        <v>7</v>
      </c>
      <c r="K389" s="198" t="s">
        <v>8</v>
      </c>
    </row>
    <row r="390" spans="1:11" x14ac:dyDescent="0.25">
      <c r="A390" s="1133"/>
      <c r="B390" s="1134"/>
      <c r="C390" s="1133"/>
      <c r="D390" s="198" t="s">
        <v>9</v>
      </c>
      <c r="E390" s="310" t="s">
        <v>10</v>
      </c>
      <c r="F390" s="310" t="s">
        <v>11</v>
      </c>
      <c r="G390" s="311" t="s">
        <v>12</v>
      </c>
      <c r="H390" s="310" t="s">
        <v>13</v>
      </c>
      <c r="I390" s="310" t="s">
        <v>11</v>
      </c>
      <c r="J390" s="1138"/>
      <c r="K390" s="192"/>
    </row>
    <row r="391" spans="1:11" x14ac:dyDescent="0.25">
      <c r="A391" s="1133"/>
      <c r="B391" s="1134"/>
      <c r="C391" s="1133"/>
      <c r="D391" s="197" t="s">
        <v>14</v>
      </c>
      <c r="E391" s="195" t="s">
        <v>14</v>
      </c>
      <c r="F391" s="195" t="s">
        <v>14</v>
      </c>
      <c r="G391" s="196" t="s">
        <v>15</v>
      </c>
      <c r="H391" s="195" t="s">
        <v>14</v>
      </c>
      <c r="I391" s="195" t="s">
        <v>14</v>
      </c>
      <c r="J391" s="197" t="s">
        <v>15</v>
      </c>
      <c r="K391" s="197"/>
    </row>
    <row r="392" spans="1:11" x14ac:dyDescent="0.25">
      <c r="A392" s="79" t="s">
        <v>185</v>
      </c>
      <c r="B392" s="199" t="s">
        <v>146</v>
      </c>
      <c r="C392" s="24"/>
      <c r="D392" s="10"/>
      <c r="E392" s="34"/>
      <c r="F392" s="34"/>
      <c r="G392" s="6"/>
      <c r="H392" s="34"/>
      <c r="I392" s="34"/>
      <c r="J392" s="10"/>
      <c r="K392" s="10"/>
    </row>
    <row r="393" spans="1:11" x14ac:dyDescent="0.25">
      <c r="A393" s="125" t="s">
        <v>187</v>
      </c>
      <c r="B393" s="280" t="s">
        <v>156</v>
      </c>
      <c r="C393" s="252">
        <f>SUM(C394:C397)</f>
        <v>870474720</v>
      </c>
      <c r="D393" s="10"/>
      <c r="E393" s="14"/>
      <c r="F393" s="34"/>
      <c r="G393" s="6"/>
      <c r="H393" s="34"/>
      <c r="I393" s="34"/>
      <c r="J393" s="35"/>
      <c r="K393" s="10"/>
    </row>
    <row r="394" spans="1:11" ht="25.5" x14ac:dyDescent="0.25">
      <c r="A394" s="49" t="s">
        <v>59</v>
      </c>
      <c r="B394" s="707" t="s">
        <v>384</v>
      </c>
      <c r="C394" s="256">
        <v>26160000</v>
      </c>
      <c r="D394" s="34">
        <f>C394/C393*100</f>
        <v>3.0052567178516112</v>
      </c>
      <c r="E394" s="134">
        <f t="shared" ref="E394:E396" si="142">G394/C394*100</f>
        <v>0</v>
      </c>
      <c r="F394" s="134">
        <f t="shared" ref="F394:F396" si="143">(D394*E394)/100</f>
        <v>0</v>
      </c>
      <c r="G394" s="181">
        <v>0</v>
      </c>
      <c r="H394" s="134">
        <f t="shared" ref="H394:H396" si="144">G394/C394*100</f>
        <v>0</v>
      </c>
      <c r="I394" s="134">
        <f t="shared" ref="I394:I396" si="145">(D394*H394)/100</f>
        <v>0</v>
      </c>
      <c r="J394" s="6">
        <f t="shared" ref="J394:J397" si="146">G394-C394</f>
        <v>-26160000</v>
      </c>
      <c r="K394" s="10"/>
    </row>
    <row r="395" spans="1:11" x14ac:dyDescent="0.25">
      <c r="A395" s="49" t="s">
        <v>148</v>
      </c>
      <c r="B395" s="133" t="s">
        <v>534</v>
      </c>
      <c r="C395" s="264">
        <v>600000000</v>
      </c>
      <c r="D395" s="134">
        <f>C395/C393*100</f>
        <v>68.927906372743365</v>
      </c>
      <c r="E395" s="134">
        <f t="shared" si="142"/>
        <v>0</v>
      </c>
      <c r="F395" s="134">
        <f t="shared" si="143"/>
        <v>0</v>
      </c>
      <c r="G395" s="181">
        <v>0</v>
      </c>
      <c r="H395" s="134">
        <f t="shared" si="144"/>
        <v>0</v>
      </c>
      <c r="I395" s="134">
        <f t="shared" si="145"/>
        <v>0</v>
      </c>
      <c r="J395" s="6">
        <f t="shared" si="146"/>
        <v>-600000000</v>
      </c>
      <c r="K395" s="3"/>
    </row>
    <row r="396" spans="1:11" s="84" customFormat="1" ht="25.5" x14ac:dyDescent="0.2">
      <c r="A396" s="723" t="s">
        <v>152</v>
      </c>
      <c r="B396" s="133" t="s">
        <v>153</v>
      </c>
      <c r="C396" s="264">
        <v>240000000</v>
      </c>
      <c r="D396" s="134">
        <f>C396/C393*100</f>
        <v>27.571162549097352</v>
      </c>
      <c r="E396" s="134">
        <f t="shared" si="142"/>
        <v>25</v>
      </c>
      <c r="F396" s="134">
        <f t="shared" si="143"/>
        <v>6.8927906372743379</v>
      </c>
      <c r="G396" s="181">
        <f>60000000</f>
        <v>60000000</v>
      </c>
      <c r="H396" s="134">
        <f t="shared" si="144"/>
        <v>25</v>
      </c>
      <c r="I396" s="134">
        <f t="shared" si="145"/>
        <v>6.8927906372743379</v>
      </c>
      <c r="J396" s="6">
        <f t="shared" si="146"/>
        <v>-180000000</v>
      </c>
      <c r="K396" s="85"/>
    </row>
    <row r="397" spans="1:11" s="84" customFormat="1" x14ac:dyDescent="0.2">
      <c r="A397" s="749" t="s">
        <v>234</v>
      </c>
      <c r="B397" s="133" t="s">
        <v>522</v>
      </c>
      <c r="C397" s="264">
        <v>4314720</v>
      </c>
      <c r="D397" s="804"/>
      <c r="E397" s="134"/>
      <c r="F397" s="134"/>
      <c r="G397" s="181">
        <f>4314720</f>
        <v>4314720</v>
      </c>
      <c r="H397" s="134"/>
      <c r="I397" s="134"/>
      <c r="J397" s="6">
        <f t="shared" si="146"/>
        <v>0</v>
      </c>
      <c r="K397" s="823"/>
    </row>
    <row r="398" spans="1:11" x14ac:dyDescent="0.25">
      <c r="A398" s="73"/>
      <c r="B398" s="136" t="s">
        <v>154</v>
      </c>
      <c r="C398" s="824">
        <f>SUM(C394:C397)</f>
        <v>870474720</v>
      </c>
      <c r="D398" s="272">
        <f>SUM(D394:D396)</f>
        <v>99.504325639692325</v>
      </c>
      <c r="E398" s="134"/>
      <c r="F398" s="134"/>
      <c r="G398" s="181">
        <f>SUM(G394:G397)</f>
        <v>64314720</v>
      </c>
      <c r="H398" s="134"/>
      <c r="I398" s="134"/>
      <c r="J398" s="56">
        <v>0</v>
      </c>
      <c r="K398" s="40"/>
    </row>
    <row r="399" spans="1:11" x14ac:dyDescent="0.25">
      <c r="A399" s="50"/>
      <c r="B399" s="5"/>
      <c r="C399" s="50" t="s">
        <v>141</v>
      </c>
      <c r="D399" s="9"/>
      <c r="E399" s="23"/>
      <c r="F399" s="23"/>
      <c r="G399" s="11"/>
      <c r="H399" s="23"/>
      <c r="I399" s="23"/>
      <c r="J399" s="9"/>
      <c r="K399" s="9"/>
    </row>
    <row r="400" spans="1:11" x14ac:dyDescent="0.25">
      <c r="A400" s="50"/>
      <c r="B400" s="5"/>
      <c r="C400" s="50"/>
      <c r="D400" s="9"/>
      <c r="E400" s="23"/>
      <c r="F400" s="23"/>
      <c r="G400" s="11"/>
      <c r="H400" s="23"/>
      <c r="I400" s="23"/>
      <c r="J400" s="9"/>
      <c r="K400" s="9"/>
    </row>
    <row r="401" spans="1:14" x14ac:dyDescent="0.25">
      <c r="A401" s="1123" t="s">
        <v>2</v>
      </c>
      <c r="B401" s="1126" t="s">
        <v>171</v>
      </c>
      <c r="C401" s="1123" t="s">
        <v>4</v>
      </c>
      <c r="D401" s="1155" t="s">
        <v>5</v>
      </c>
      <c r="E401" s="1156"/>
      <c r="F401" s="1157"/>
      <c r="G401" s="1158" t="s">
        <v>6</v>
      </c>
      <c r="H401" s="1159"/>
      <c r="I401" s="1160"/>
      <c r="J401" s="1123" t="s">
        <v>7</v>
      </c>
      <c r="K401" s="289" t="s">
        <v>8</v>
      </c>
    </row>
    <row r="402" spans="1:14" x14ac:dyDescent="0.25">
      <c r="A402" s="1124"/>
      <c r="B402" s="1127"/>
      <c r="C402" s="1124"/>
      <c r="D402" s="289" t="s">
        <v>9</v>
      </c>
      <c r="E402" s="308" t="s">
        <v>10</v>
      </c>
      <c r="F402" s="308" t="s">
        <v>11</v>
      </c>
      <c r="G402" s="309" t="s">
        <v>12</v>
      </c>
      <c r="H402" s="308" t="s">
        <v>13</v>
      </c>
      <c r="I402" s="308" t="s">
        <v>11</v>
      </c>
      <c r="J402" s="1124"/>
      <c r="K402" s="115"/>
    </row>
    <row r="403" spans="1:14" x14ac:dyDescent="0.25">
      <c r="A403" s="1125"/>
      <c r="B403" s="1128"/>
      <c r="C403" s="1125"/>
      <c r="D403" s="118" t="s">
        <v>14</v>
      </c>
      <c r="E403" s="119" t="s">
        <v>14</v>
      </c>
      <c r="F403" s="119" t="s">
        <v>14</v>
      </c>
      <c r="G403" s="120" t="s">
        <v>15</v>
      </c>
      <c r="H403" s="119" t="s">
        <v>14</v>
      </c>
      <c r="I403" s="119" t="s">
        <v>14</v>
      </c>
      <c r="J403" s="118" t="s">
        <v>15</v>
      </c>
      <c r="K403" s="118"/>
    </row>
    <row r="404" spans="1:14" ht="25.5" x14ac:dyDescent="0.25">
      <c r="A404" s="79" t="s">
        <v>180</v>
      </c>
      <c r="B404" s="696" t="s">
        <v>379</v>
      </c>
      <c r="C404" s="128"/>
      <c r="D404" s="10"/>
      <c r="E404" s="34"/>
      <c r="F404" s="34"/>
      <c r="G404" s="6"/>
      <c r="H404" s="34"/>
      <c r="I404" s="34"/>
      <c r="J404" s="10"/>
      <c r="K404" s="10"/>
    </row>
    <row r="405" spans="1:14" ht="25.5" x14ac:dyDescent="0.25">
      <c r="A405" s="158" t="s">
        <v>181</v>
      </c>
      <c r="B405" s="697" t="s">
        <v>380</v>
      </c>
      <c r="C405" s="265">
        <f>SUM(C406:C417)</f>
        <v>185000000</v>
      </c>
      <c r="D405" s="10"/>
      <c r="E405" s="34"/>
      <c r="F405" s="34"/>
      <c r="G405" s="6"/>
      <c r="H405" s="34"/>
      <c r="I405" s="34"/>
      <c r="J405" s="10"/>
      <c r="K405" s="10"/>
    </row>
    <row r="406" spans="1:14" ht="25.5" x14ac:dyDescent="0.25">
      <c r="A406" s="74" t="s">
        <v>44</v>
      </c>
      <c r="B406" s="707" t="s">
        <v>384</v>
      </c>
      <c r="C406" s="266">
        <v>8580000</v>
      </c>
      <c r="D406" s="134">
        <f>C406/C405*100</f>
        <v>4.6378378378378375</v>
      </c>
      <c r="E406" s="134">
        <f t="shared" ref="E406:E414" si="147">G406/C406*100</f>
        <v>96.386946386946377</v>
      </c>
      <c r="F406" s="134">
        <f t="shared" ref="F406:F414" si="148">(D406*E406)/100</f>
        <v>4.4702702702702695</v>
      </c>
      <c r="G406" s="181">
        <f>8270000</f>
        <v>8270000</v>
      </c>
      <c r="H406" s="134">
        <f t="shared" ref="H406:H414" si="149">G406/C406*100</f>
        <v>96.386946386946377</v>
      </c>
      <c r="I406" s="134">
        <f t="shared" ref="I406:I414" si="150">(D406*H406)/100</f>
        <v>4.4702702702702695</v>
      </c>
      <c r="J406" s="6">
        <f t="shared" ref="J406:J417" si="151">G406-C406</f>
        <v>-310000</v>
      </c>
      <c r="K406" s="10"/>
      <c r="L406" s="1"/>
      <c r="M406" s="1"/>
      <c r="N406" s="25"/>
    </row>
    <row r="407" spans="1:14" x14ac:dyDescent="0.25">
      <c r="A407" s="74" t="s">
        <v>59</v>
      </c>
      <c r="B407" s="707" t="s">
        <v>197</v>
      </c>
      <c r="C407" s="266">
        <v>12180000</v>
      </c>
      <c r="D407" s="134">
        <f>C407/C405*100</f>
        <v>6.583783783783784</v>
      </c>
      <c r="E407" s="134">
        <f t="shared" si="147"/>
        <v>53.362479474548444</v>
      </c>
      <c r="F407" s="134">
        <f t="shared" si="148"/>
        <v>3.5132702702702705</v>
      </c>
      <c r="G407" s="181">
        <f>6499550</f>
        <v>6499550</v>
      </c>
      <c r="H407" s="134">
        <f t="shared" si="149"/>
        <v>53.362479474548444</v>
      </c>
      <c r="I407" s="134">
        <f t="shared" si="150"/>
        <v>3.5132702702702705</v>
      </c>
      <c r="J407" s="6">
        <f t="shared" si="151"/>
        <v>-5680450</v>
      </c>
      <c r="K407" s="10"/>
      <c r="L407" s="1"/>
      <c r="M407" s="1"/>
      <c r="N407" s="1"/>
    </row>
    <row r="408" spans="1:14" x14ac:dyDescent="0.25">
      <c r="A408" s="74" t="s">
        <v>62</v>
      </c>
      <c r="B408" s="707" t="s">
        <v>334</v>
      </c>
      <c r="C408" s="266">
        <v>9590000</v>
      </c>
      <c r="D408" s="134">
        <f>C408/C405*100</f>
        <v>5.1837837837837837</v>
      </c>
      <c r="E408" s="134">
        <f t="shared" si="147"/>
        <v>40.667361835245046</v>
      </c>
      <c r="F408" s="134">
        <f t="shared" si="148"/>
        <v>2.1081081081081079</v>
      </c>
      <c r="G408" s="181">
        <f>3900000</f>
        <v>3900000</v>
      </c>
      <c r="H408" s="134">
        <f t="shared" si="149"/>
        <v>40.667361835245046</v>
      </c>
      <c r="I408" s="134">
        <f t="shared" si="150"/>
        <v>2.1081081081081079</v>
      </c>
      <c r="J408" s="6">
        <f t="shared" si="151"/>
        <v>-5690000</v>
      </c>
      <c r="K408" s="10"/>
      <c r="L408" s="1"/>
      <c r="M408" s="1"/>
      <c r="N408" s="1"/>
    </row>
    <row r="409" spans="1:14" ht="25.5" x14ac:dyDescent="0.25">
      <c r="A409" s="49" t="s">
        <v>193</v>
      </c>
      <c r="B409" s="707" t="s">
        <v>537</v>
      </c>
      <c r="C409" s="266">
        <v>5250000</v>
      </c>
      <c r="D409" s="134"/>
      <c r="E409" s="134"/>
      <c r="F409" s="134"/>
      <c r="G409" s="181">
        <f>5250000</f>
        <v>5250000</v>
      </c>
      <c r="H409" s="134"/>
      <c r="I409" s="134"/>
      <c r="J409" s="6">
        <f t="shared" si="151"/>
        <v>0</v>
      </c>
      <c r="K409" s="10"/>
      <c r="L409" s="1"/>
      <c r="M409" s="1"/>
      <c r="N409" s="1"/>
    </row>
    <row r="410" spans="1:14" x14ac:dyDescent="0.25">
      <c r="A410" s="49" t="s">
        <v>148</v>
      </c>
      <c r="B410" s="133" t="s">
        <v>534</v>
      </c>
      <c r="C410" s="266">
        <v>8000000</v>
      </c>
      <c r="D410" s="134"/>
      <c r="E410" s="134"/>
      <c r="F410" s="134"/>
      <c r="G410" s="181">
        <f>8000000</f>
        <v>8000000</v>
      </c>
      <c r="H410" s="134"/>
      <c r="I410" s="134"/>
      <c r="J410" s="6">
        <f t="shared" si="151"/>
        <v>0</v>
      </c>
      <c r="K410" s="10"/>
      <c r="L410" s="1"/>
      <c r="M410" s="1"/>
      <c r="N410" s="1"/>
    </row>
    <row r="411" spans="1:14" x14ac:dyDescent="0.25">
      <c r="A411" s="74" t="s">
        <v>77</v>
      </c>
      <c r="B411" s="49" t="s">
        <v>143</v>
      </c>
      <c r="C411" s="266">
        <v>69700000</v>
      </c>
      <c r="D411" s="134">
        <f>C411/C405*100</f>
        <v>37.675675675675677</v>
      </c>
      <c r="E411" s="134">
        <f t="shared" si="147"/>
        <v>29.404591104734578</v>
      </c>
      <c r="F411" s="134">
        <f t="shared" si="148"/>
        <v>11.07837837837838</v>
      </c>
      <c r="G411" s="181">
        <f>20495000</f>
        <v>20495000</v>
      </c>
      <c r="H411" s="134">
        <f t="shared" si="149"/>
        <v>29.404591104734578</v>
      </c>
      <c r="I411" s="134">
        <f t="shared" si="150"/>
        <v>11.07837837837838</v>
      </c>
      <c r="J411" s="6">
        <f t="shared" si="151"/>
        <v>-49205000</v>
      </c>
      <c r="K411" s="10"/>
      <c r="L411" s="1"/>
      <c r="M411" s="1"/>
      <c r="N411" s="1"/>
    </row>
    <row r="412" spans="1:14" x14ac:dyDescent="0.25">
      <c r="A412" s="314" t="s">
        <v>183</v>
      </c>
      <c r="B412" s="49" t="s">
        <v>417</v>
      </c>
      <c r="C412" s="266">
        <v>14400000</v>
      </c>
      <c r="D412" s="134"/>
      <c r="E412" s="134"/>
      <c r="F412" s="134"/>
      <c r="G412" s="181"/>
      <c r="H412" s="134"/>
      <c r="I412" s="134"/>
      <c r="J412" s="6">
        <f t="shared" si="151"/>
        <v>-14400000</v>
      </c>
      <c r="K412" s="10"/>
      <c r="L412" s="1"/>
      <c r="M412" s="1"/>
      <c r="N412" s="1"/>
    </row>
    <row r="413" spans="1:14" x14ac:dyDescent="0.25">
      <c r="A413" s="74" t="s">
        <v>186</v>
      </c>
      <c r="B413" s="170" t="s">
        <v>182</v>
      </c>
      <c r="C413" s="266">
        <v>31000000</v>
      </c>
      <c r="D413" s="134">
        <f>C413/C405*100</f>
        <v>16.756756756756758</v>
      </c>
      <c r="E413" s="134">
        <f t="shared" si="147"/>
        <v>100</v>
      </c>
      <c r="F413" s="134">
        <f t="shared" si="148"/>
        <v>16.756756756756758</v>
      </c>
      <c r="G413" s="181">
        <f>31000000</f>
        <v>31000000</v>
      </c>
      <c r="H413" s="134">
        <f t="shared" si="149"/>
        <v>100</v>
      </c>
      <c r="I413" s="134">
        <f t="shared" si="150"/>
        <v>16.756756756756758</v>
      </c>
      <c r="J413" s="6">
        <f t="shared" si="151"/>
        <v>0</v>
      </c>
      <c r="K413" s="10"/>
      <c r="L413" s="1"/>
      <c r="M413" s="1"/>
      <c r="N413" s="1"/>
    </row>
    <row r="414" spans="1:14" ht="25.5" x14ac:dyDescent="0.25">
      <c r="A414" s="74" t="s">
        <v>106</v>
      </c>
      <c r="B414" s="316" t="s">
        <v>375</v>
      </c>
      <c r="C414" s="266">
        <v>15300000</v>
      </c>
      <c r="D414" s="134">
        <f>C414/C405*100</f>
        <v>8.2702702702702702</v>
      </c>
      <c r="E414" s="134">
        <f t="shared" si="147"/>
        <v>76.470588235294116</v>
      </c>
      <c r="F414" s="134">
        <f t="shared" si="148"/>
        <v>6.3243243243243237</v>
      </c>
      <c r="G414" s="181">
        <f>11700000</f>
        <v>11700000</v>
      </c>
      <c r="H414" s="134">
        <f t="shared" si="149"/>
        <v>76.470588235294116</v>
      </c>
      <c r="I414" s="134">
        <f t="shared" si="150"/>
        <v>6.3243243243243237</v>
      </c>
      <c r="J414" s="6">
        <f t="shared" si="151"/>
        <v>-3600000</v>
      </c>
      <c r="K414" s="10"/>
      <c r="L414" s="1"/>
      <c r="M414" s="1"/>
      <c r="N414" s="1"/>
    </row>
    <row r="415" spans="1:14" x14ac:dyDescent="0.25">
      <c r="A415" s="755" t="s">
        <v>116</v>
      </c>
      <c r="B415" s="316" t="s">
        <v>538</v>
      </c>
      <c r="C415" s="266">
        <v>2000000</v>
      </c>
      <c r="D415" s="134">
        <f>C415/C406*100</f>
        <v>23.310023310023308</v>
      </c>
      <c r="E415" s="134"/>
      <c r="F415" s="134"/>
      <c r="G415" s="181">
        <f>2000000</f>
        <v>2000000</v>
      </c>
      <c r="H415" s="134"/>
      <c r="I415" s="134"/>
      <c r="J415" s="6">
        <f t="shared" si="151"/>
        <v>0</v>
      </c>
      <c r="K415" s="10"/>
      <c r="L415" s="1"/>
      <c r="M415" s="1"/>
      <c r="N415" s="1"/>
    </row>
    <row r="416" spans="1:14" x14ac:dyDescent="0.25">
      <c r="A416" s="755" t="s">
        <v>521</v>
      </c>
      <c r="B416" s="316" t="s">
        <v>539</v>
      </c>
      <c r="C416" s="266">
        <v>2000000</v>
      </c>
      <c r="D416" s="134"/>
      <c r="E416" s="134"/>
      <c r="F416" s="134"/>
      <c r="G416" s="181">
        <f>2000000</f>
        <v>2000000</v>
      </c>
      <c r="H416" s="134"/>
      <c r="I416" s="134"/>
      <c r="J416" s="6">
        <f t="shared" si="151"/>
        <v>0</v>
      </c>
      <c r="K416" s="10"/>
      <c r="L416" s="1"/>
      <c r="M416" s="1"/>
      <c r="N416" s="1"/>
    </row>
    <row r="417" spans="1:14" x14ac:dyDescent="0.25">
      <c r="A417" s="755" t="s">
        <v>65</v>
      </c>
      <c r="B417" s="316" t="s">
        <v>190</v>
      </c>
      <c r="C417" s="266">
        <v>7000000</v>
      </c>
      <c r="D417" s="134"/>
      <c r="E417" s="134"/>
      <c r="F417" s="134"/>
      <c r="G417" s="181"/>
      <c r="H417" s="134"/>
      <c r="I417" s="134"/>
      <c r="J417" s="6">
        <f t="shared" si="151"/>
        <v>-7000000</v>
      </c>
      <c r="K417" s="10"/>
      <c r="L417" s="1"/>
      <c r="M417" s="1"/>
      <c r="N417" s="1"/>
    </row>
    <row r="418" spans="1:14" x14ac:dyDescent="0.25">
      <c r="A418" s="1152" t="s">
        <v>128</v>
      </c>
      <c r="B418" s="1154"/>
      <c r="C418" s="57">
        <f>SUM(C406:C417)</f>
        <v>185000000</v>
      </c>
      <c r="D418" s="273">
        <f>SUM(D406:D414)</f>
        <v>79.108108108108112</v>
      </c>
      <c r="E418" s="134"/>
      <c r="F418" s="134"/>
      <c r="G418" s="13">
        <f>SUM(G406:G417)</f>
        <v>99114550</v>
      </c>
      <c r="H418" s="134"/>
      <c r="I418" s="134"/>
      <c r="J418" s="56">
        <v>0</v>
      </c>
      <c r="K418" s="12"/>
      <c r="L418" s="9"/>
      <c r="M418" s="9"/>
      <c r="N418" s="9"/>
    </row>
    <row r="419" spans="1:14" x14ac:dyDescent="0.25">
      <c r="A419" s="5"/>
      <c r="B419" s="5"/>
      <c r="C419" s="65"/>
      <c r="D419" s="66"/>
      <c r="E419" s="30"/>
      <c r="F419" s="31"/>
      <c r="G419" s="36"/>
      <c r="H419" s="30"/>
      <c r="I419" s="31"/>
      <c r="J419" s="33"/>
      <c r="K419" s="29"/>
      <c r="L419" s="9"/>
      <c r="M419" s="9"/>
      <c r="N419" s="9"/>
    </row>
    <row r="420" spans="1:14" ht="31.5" x14ac:dyDescent="0.25">
      <c r="A420" s="55"/>
      <c r="B420" s="46" t="s">
        <v>145</v>
      </c>
      <c r="C420" s="155"/>
      <c r="D420" s="44"/>
      <c r="E420" s="45"/>
      <c r="F420" s="45"/>
      <c r="G420" s="48"/>
      <c r="H420" s="45"/>
      <c r="I420" s="45"/>
      <c r="J420" s="44"/>
      <c r="K420" s="44"/>
      <c r="L420" s="1"/>
      <c r="M420" s="1"/>
      <c r="N420" s="1"/>
    </row>
    <row r="421" spans="1:14" x14ac:dyDescent="0.25">
      <c r="A421" s="1119" t="s">
        <v>2</v>
      </c>
      <c r="B421" s="1120" t="s">
        <v>171</v>
      </c>
      <c r="C421" s="1119" t="s">
        <v>4</v>
      </c>
      <c r="D421" s="1121" t="s">
        <v>5</v>
      </c>
      <c r="E421" s="1132"/>
      <c r="F421" s="1132"/>
      <c r="G421" s="1122" t="s">
        <v>6</v>
      </c>
      <c r="H421" s="1132"/>
      <c r="I421" s="1132"/>
      <c r="J421" s="1119" t="s">
        <v>7</v>
      </c>
      <c r="K421" s="289" t="s">
        <v>8</v>
      </c>
      <c r="L421" s="1"/>
      <c r="M421" s="1"/>
    </row>
    <row r="422" spans="1:14" x14ac:dyDescent="0.25">
      <c r="A422" s="1119"/>
      <c r="B422" s="1120"/>
      <c r="C422" s="1119"/>
      <c r="D422" s="289" t="s">
        <v>9</v>
      </c>
      <c r="E422" s="308" t="s">
        <v>10</v>
      </c>
      <c r="F422" s="308" t="s">
        <v>11</v>
      </c>
      <c r="G422" s="309" t="s">
        <v>12</v>
      </c>
      <c r="H422" s="308" t="s">
        <v>13</v>
      </c>
      <c r="I422" s="308" t="s">
        <v>11</v>
      </c>
      <c r="J422" s="1123"/>
      <c r="K422" s="115"/>
      <c r="L422" s="1"/>
      <c r="M422" s="1"/>
    </row>
    <row r="423" spans="1:14" x14ac:dyDescent="0.25">
      <c r="A423" s="1119"/>
      <c r="B423" s="1120"/>
      <c r="C423" s="1119"/>
      <c r="D423" s="118" t="s">
        <v>14</v>
      </c>
      <c r="E423" s="119" t="s">
        <v>14</v>
      </c>
      <c r="F423" s="119" t="s">
        <v>14</v>
      </c>
      <c r="G423" s="120" t="s">
        <v>15</v>
      </c>
      <c r="H423" s="119" t="s">
        <v>14</v>
      </c>
      <c r="I423" s="119" t="s">
        <v>14</v>
      </c>
      <c r="J423" s="118" t="s">
        <v>15</v>
      </c>
      <c r="K423" s="118"/>
      <c r="L423" s="1"/>
      <c r="M423" s="1"/>
    </row>
    <row r="424" spans="1:14" x14ac:dyDescent="0.25">
      <c r="A424" s="79" t="s">
        <v>185</v>
      </c>
      <c r="B424" s="199" t="s">
        <v>146</v>
      </c>
      <c r="C424" s="24"/>
      <c r="D424" s="10"/>
      <c r="E424" s="34"/>
      <c r="F424" s="34"/>
      <c r="G424" s="6"/>
      <c r="H424" s="34"/>
      <c r="I424" s="34"/>
      <c r="J424" s="10"/>
      <c r="K424" s="10"/>
      <c r="L424" s="1"/>
      <c r="M424" s="25"/>
    </row>
    <row r="425" spans="1:14" x14ac:dyDescent="0.25">
      <c r="A425" s="125" t="s">
        <v>184</v>
      </c>
      <c r="B425" s="280" t="s">
        <v>147</v>
      </c>
      <c r="C425" s="252">
        <f>SUM(C426:C427)</f>
        <v>5850440000</v>
      </c>
      <c r="D425" s="10"/>
      <c r="E425" s="34"/>
      <c r="F425" s="34"/>
      <c r="G425" s="6"/>
      <c r="H425" s="34"/>
      <c r="I425" s="34"/>
      <c r="J425" s="10"/>
      <c r="K425" s="10"/>
      <c r="L425" s="1"/>
      <c r="M425" s="1"/>
    </row>
    <row r="426" spans="1:14" x14ac:dyDescent="0.25">
      <c r="A426" s="154" t="s">
        <v>413</v>
      </c>
      <c r="B426" s="707" t="s">
        <v>414</v>
      </c>
      <c r="C426" s="253">
        <v>40440000</v>
      </c>
      <c r="D426" s="134" t="e">
        <f>C426/#REF!*100</f>
        <v>#REF!</v>
      </c>
      <c r="E426" s="134"/>
      <c r="F426" s="134"/>
      <c r="G426" s="181">
        <v>0</v>
      </c>
      <c r="H426" s="134"/>
      <c r="I426" s="134"/>
      <c r="J426" s="6">
        <f t="shared" ref="J426:J427" si="152">G426-C426</f>
        <v>-40440000</v>
      </c>
      <c r="K426" s="10"/>
      <c r="L426" s="1"/>
      <c r="M426" s="1"/>
    </row>
    <row r="427" spans="1:14" x14ac:dyDescent="0.25">
      <c r="A427" s="124" t="s">
        <v>148</v>
      </c>
      <c r="B427" s="133" t="s">
        <v>534</v>
      </c>
      <c r="C427" s="256">
        <v>5810000000</v>
      </c>
      <c r="D427" s="134">
        <f>C427/C425*100</f>
        <v>99.308769938671276</v>
      </c>
      <c r="E427" s="134">
        <f t="shared" ref="E427" si="153">G427/C427*100</f>
        <v>0</v>
      </c>
      <c r="F427" s="134">
        <f t="shared" ref="F427" si="154">(D427*E427)/100</f>
        <v>0</v>
      </c>
      <c r="G427" s="181">
        <v>0</v>
      </c>
      <c r="H427" s="134">
        <f t="shared" ref="H427" si="155">G427/C427*100</f>
        <v>0</v>
      </c>
      <c r="I427" s="134">
        <f t="shared" ref="I427" si="156">(D427*H427)/100</f>
        <v>0</v>
      </c>
      <c r="J427" s="6">
        <f t="shared" si="152"/>
        <v>-5810000000</v>
      </c>
      <c r="K427" s="10"/>
      <c r="L427" s="1"/>
      <c r="M427" s="1"/>
    </row>
    <row r="428" spans="1:14" x14ac:dyDescent="0.25">
      <c r="A428" s="72"/>
      <c r="B428" s="136" t="s">
        <v>154</v>
      </c>
      <c r="C428" s="808">
        <f>SUM(C426:C427)</f>
        <v>5850440000</v>
      </c>
      <c r="D428" s="271" t="e">
        <f>SUM(D426:D427)</f>
        <v>#REF!</v>
      </c>
      <c r="E428" s="134"/>
      <c r="F428" s="134"/>
      <c r="G428" s="181">
        <f>SUM(G426:G427)</f>
        <v>0</v>
      </c>
      <c r="H428" s="134"/>
      <c r="I428" s="134"/>
      <c r="J428" s="56">
        <v>0</v>
      </c>
      <c r="K428" s="130"/>
      <c r="L428" s="1"/>
      <c r="M428" s="1"/>
    </row>
    <row r="429" spans="1:14" x14ac:dyDescent="0.25">
      <c r="A429" s="5"/>
      <c r="B429" s="5"/>
      <c r="C429" s="65"/>
      <c r="D429" s="66"/>
      <c r="E429" s="30"/>
      <c r="F429" s="31"/>
      <c r="G429" s="36"/>
      <c r="H429" s="30"/>
      <c r="I429" s="31"/>
      <c r="J429" s="33"/>
      <c r="K429" s="29"/>
      <c r="L429" s="9"/>
      <c r="M429" s="9"/>
      <c r="N429" s="9"/>
    </row>
    <row r="430" spans="1:14" x14ac:dyDescent="0.25">
      <c r="A430" s="1119" t="s">
        <v>2</v>
      </c>
      <c r="B430" s="1120" t="s">
        <v>171</v>
      </c>
      <c r="C430" s="1119" t="s">
        <v>4</v>
      </c>
      <c r="D430" s="1121" t="s">
        <v>5</v>
      </c>
      <c r="E430" s="1132"/>
      <c r="F430" s="1132"/>
      <c r="G430" s="1122" t="s">
        <v>6</v>
      </c>
      <c r="H430" s="1132"/>
      <c r="I430" s="1132"/>
      <c r="J430" s="1119" t="s">
        <v>7</v>
      </c>
      <c r="K430" s="289" t="s">
        <v>8</v>
      </c>
      <c r="L430" s="1"/>
      <c r="M430" s="1"/>
    </row>
    <row r="431" spans="1:14" x14ac:dyDescent="0.25">
      <c r="A431" s="1119"/>
      <c r="B431" s="1120"/>
      <c r="C431" s="1119"/>
      <c r="D431" s="289" t="s">
        <v>9</v>
      </c>
      <c r="E431" s="308" t="s">
        <v>10</v>
      </c>
      <c r="F431" s="308" t="s">
        <v>11</v>
      </c>
      <c r="G431" s="309" t="s">
        <v>12</v>
      </c>
      <c r="H431" s="308" t="s">
        <v>13</v>
      </c>
      <c r="I431" s="308" t="s">
        <v>11</v>
      </c>
      <c r="J431" s="1123"/>
      <c r="K431" s="115"/>
      <c r="L431" s="1"/>
      <c r="M431" s="1"/>
    </row>
    <row r="432" spans="1:14" x14ac:dyDescent="0.25">
      <c r="A432" s="1119"/>
      <c r="B432" s="1120"/>
      <c r="C432" s="1119"/>
      <c r="D432" s="118" t="s">
        <v>14</v>
      </c>
      <c r="E432" s="119" t="s">
        <v>14</v>
      </c>
      <c r="F432" s="119" t="s">
        <v>14</v>
      </c>
      <c r="G432" s="120" t="s">
        <v>15</v>
      </c>
      <c r="H432" s="119" t="s">
        <v>14</v>
      </c>
      <c r="I432" s="119" t="s">
        <v>14</v>
      </c>
      <c r="J432" s="118" t="s">
        <v>15</v>
      </c>
      <c r="K432" s="118"/>
      <c r="L432" s="1"/>
      <c r="M432" s="1"/>
    </row>
    <row r="433" spans="1:13" x14ac:dyDescent="0.25">
      <c r="A433" s="79" t="s">
        <v>185</v>
      </c>
      <c r="B433" s="199" t="s">
        <v>146</v>
      </c>
      <c r="C433" s="24"/>
      <c r="D433" s="10"/>
      <c r="E433" s="34"/>
      <c r="F433" s="34"/>
      <c r="G433" s="6"/>
      <c r="H433" s="34"/>
      <c r="I433" s="34"/>
      <c r="J433" s="10"/>
      <c r="K433" s="10"/>
      <c r="L433" s="1"/>
      <c r="M433" s="1"/>
    </row>
    <row r="434" spans="1:13" x14ac:dyDescent="0.25">
      <c r="A434" s="125" t="s">
        <v>187</v>
      </c>
      <c r="B434" s="280" t="s">
        <v>164</v>
      </c>
      <c r="C434" s="252">
        <f>SUM(C435:C439)</f>
        <v>3539546088</v>
      </c>
      <c r="D434" s="10"/>
      <c r="E434" s="34"/>
      <c r="F434" s="34"/>
      <c r="G434" s="6"/>
      <c r="H434" s="34"/>
      <c r="I434" s="34"/>
      <c r="J434" s="10"/>
      <c r="K434" s="10"/>
      <c r="L434" s="1"/>
      <c r="M434" s="1"/>
    </row>
    <row r="435" spans="1:13" ht="25.5" x14ac:dyDescent="0.25">
      <c r="A435" s="154" t="s">
        <v>44</v>
      </c>
      <c r="B435" s="707" t="s">
        <v>384</v>
      </c>
      <c r="C435" s="253">
        <v>35255000</v>
      </c>
      <c r="D435" s="134">
        <f>C435/C434*100</f>
        <v>0.99603166969696488</v>
      </c>
      <c r="E435" s="134">
        <f t="shared" ref="E435:E438" si="157">G435/C435*100</f>
        <v>0</v>
      </c>
      <c r="F435" s="134">
        <f t="shared" ref="F435:F438" si="158">(D435*E435)/100</f>
        <v>0</v>
      </c>
      <c r="G435" s="181">
        <v>0</v>
      </c>
      <c r="H435" s="134">
        <f t="shared" ref="H435:H438" si="159">G435/C435*100</f>
        <v>0</v>
      </c>
      <c r="I435" s="134">
        <f t="shared" ref="I435:I438" si="160">(D435*H435)/100</f>
        <v>0</v>
      </c>
      <c r="J435" s="6">
        <f t="shared" ref="J435:J439" si="161">G435-C435</f>
        <v>-35255000</v>
      </c>
      <c r="K435" s="10"/>
      <c r="L435" s="1"/>
      <c r="M435" s="1"/>
    </row>
    <row r="436" spans="1:13" x14ac:dyDescent="0.25">
      <c r="A436" s="154" t="s">
        <v>413</v>
      </c>
      <c r="B436" s="707" t="s">
        <v>414</v>
      </c>
      <c r="C436" s="253">
        <v>385000</v>
      </c>
      <c r="D436" s="134"/>
      <c r="E436" s="134"/>
      <c r="F436" s="134"/>
      <c r="G436" s="181">
        <v>0</v>
      </c>
      <c r="H436" s="134"/>
      <c r="I436" s="134"/>
      <c r="J436" s="6">
        <f t="shared" si="161"/>
        <v>-385000</v>
      </c>
      <c r="K436" s="10"/>
      <c r="L436" s="1"/>
      <c r="M436" s="1"/>
    </row>
    <row r="437" spans="1:13" x14ac:dyDescent="0.25">
      <c r="A437" s="124" t="s">
        <v>148</v>
      </c>
      <c r="B437" s="133" t="s">
        <v>534</v>
      </c>
      <c r="C437" s="256">
        <v>2490000000</v>
      </c>
      <c r="D437" s="134">
        <f>C437/C434*100</f>
        <v>70.348003334149553</v>
      </c>
      <c r="E437" s="134">
        <f t="shared" si="157"/>
        <v>0</v>
      </c>
      <c r="F437" s="134">
        <f t="shared" si="158"/>
        <v>0</v>
      </c>
      <c r="G437" s="181">
        <v>0</v>
      </c>
      <c r="H437" s="134">
        <f t="shared" si="159"/>
        <v>0</v>
      </c>
      <c r="I437" s="134">
        <f t="shared" si="160"/>
        <v>0</v>
      </c>
      <c r="J437" s="6">
        <f t="shared" si="161"/>
        <v>-2490000000</v>
      </c>
      <c r="K437" s="10"/>
    </row>
    <row r="438" spans="1:13" s="84" customFormat="1" ht="25.5" x14ac:dyDescent="0.2">
      <c r="A438" s="124" t="s">
        <v>152</v>
      </c>
      <c r="B438" s="133" t="s">
        <v>166</v>
      </c>
      <c r="C438" s="256">
        <v>996000000</v>
      </c>
      <c r="D438" s="134">
        <f>C438/C434*100</f>
        <v>28.13920133365982</v>
      </c>
      <c r="E438" s="134">
        <f t="shared" si="157"/>
        <v>25</v>
      </c>
      <c r="F438" s="134">
        <f t="shared" si="158"/>
        <v>7.0348003334149549</v>
      </c>
      <c r="G438" s="181">
        <f>249000000</f>
        <v>249000000</v>
      </c>
      <c r="H438" s="134">
        <f t="shared" si="159"/>
        <v>25</v>
      </c>
      <c r="I438" s="134">
        <f t="shared" si="160"/>
        <v>7.0348003334149549</v>
      </c>
      <c r="J438" s="6">
        <f t="shared" si="161"/>
        <v>-747000000</v>
      </c>
      <c r="K438" s="38"/>
    </row>
    <row r="439" spans="1:13" s="84" customFormat="1" x14ac:dyDescent="0.2">
      <c r="A439" s="825" t="s">
        <v>234</v>
      </c>
      <c r="B439" s="133" t="s">
        <v>522</v>
      </c>
      <c r="C439" s="256">
        <v>17906088</v>
      </c>
      <c r="D439" s="804"/>
      <c r="E439" s="134"/>
      <c r="F439" s="134"/>
      <c r="G439" s="181">
        <f>17906088</f>
        <v>17906088</v>
      </c>
      <c r="H439" s="134"/>
      <c r="I439" s="134"/>
      <c r="J439" s="6">
        <f t="shared" si="161"/>
        <v>0</v>
      </c>
      <c r="K439" s="805"/>
    </row>
    <row r="440" spans="1:13" x14ac:dyDescent="0.25">
      <c r="A440" s="70"/>
      <c r="B440" s="129" t="s">
        <v>95</v>
      </c>
      <c r="C440" s="807">
        <f>SUM(C435:C439)</f>
        <v>3539546088</v>
      </c>
      <c r="D440" s="271">
        <f>SUM(D435:D438)</f>
        <v>99.483236337506327</v>
      </c>
      <c r="E440" s="134"/>
      <c r="F440" s="134"/>
      <c r="G440" s="181">
        <f>SUM(G435:G439)</f>
        <v>266906088</v>
      </c>
      <c r="H440" s="134"/>
      <c r="I440" s="134"/>
      <c r="J440" s="780"/>
      <c r="K440" s="130"/>
    </row>
    <row r="441" spans="1:13" x14ac:dyDescent="0.25">
      <c r="J441" s="779"/>
    </row>
    <row r="443" spans="1:13" x14ac:dyDescent="0.25">
      <c r="A443" s="50"/>
      <c r="B443" s="5"/>
      <c r="C443" s="50"/>
      <c r="D443" s="29"/>
      <c r="E443" s="30"/>
      <c r="F443" s="31"/>
      <c r="G443" s="36"/>
      <c r="H443" s="32"/>
      <c r="I443" s="31"/>
      <c r="J443" s="36"/>
      <c r="K443" s="37"/>
    </row>
    <row r="444" spans="1:13" x14ac:dyDescent="0.25">
      <c r="A444" s="1"/>
      <c r="B444" s="16" t="s">
        <v>363</v>
      </c>
      <c r="C444" s="61"/>
      <c r="D444" s="1"/>
      <c r="E444" s="1"/>
      <c r="F444" s="1"/>
      <c r="G444" s="1"/>
      <c r="H444" s="1"/>
      <c r="I444" s="18" t="s">
        <v>554</v>
      </c>
      <c r="J444" s="17"/>
      <c r="K444" s="1"/>
    </row>
    <row r="445" spans="1:13" x14ac:dyDescent="0.25">
      <c r="A445" s="1"/>
      <c r="B445" s="19"/>
      <c r="C445" s="62"/>
      <c r="D445" s="1"/>
      <c r="E445" s="1"/>
      <c r="F445" s="1"/>
      <c r="G445" s="1"/>
      <c r="H445" s="1"/>
      <c r="I445" s="63"/>
      <c r="J445" s="16"/>
      <c r="K445" s="1"/>
    </row>
    <row r="446" spans="1:13" x14ac:dyDescent="0.25">
      <c r="A446" s="1"/>
      <c r="B446" s="19"/>
      <c r="C446" s="62"/>
      <c r="D446" s="1"/>
      <c r="E446" s="1"/>
      <c r="F446" s="1"/>
      <c r="G446" s="1"/>
      <c r="H446" s="1"/>
      <c r="I446" s="63"/>
      <c r="J446" s="16"/>
      <c r="K446" s="1"/>
    </row>
    <row r="447" spans="1:13" x14ac:dyDescent="0.25">
      <c r="A447" s="1"/>
      <c r="B447" s="19"/>
      <c r="C447" s="62"/>
      <c r="D447" s="1"/>
      <c r="E447" s="1"/>
      <c r="F447" s="1"/>
      <c r="G447" s="1"/>
      <c r="H447" s="1"/>
      <c r="I447" s="18"/>
      <c r="J447" s="19"/>
      <c r="K447" s="1"/>
    </row>
    <row r="448" spans="1:13" x14ac:dyDescent="0.25">
      <c r="A448" s="1"/>
      <c r="B448" s="75" t="s">
        <v>440</v>
      </c>
      <c r="C448" s="21"/>
      <c r="D448" s="1"/>
      <c r="E448" s="1"/>
      <c r="F448" s="1"/>
      <c r="G448" s="1"/>
      <c r="H448" s="1"/>
      <c r="I448" s="20"/>
      <c r="J448" s="21"/>
      <c r="K448" s="1"/>
    </row>
    <row r="449" spans="1:14" x14ac:dyDescent="0.25">
      <c r="A449" s="1"/>
      <c r="B449" s="739" t="s">
        <v>441</v>
      </c>
      <c r="C449" s="19"/>
      <c r="D449" s="1"/>
      <c r="E449" s="1"/>
      <c r="F449" s="1"/>
      <c r="G449" s="1"/>
      <c r="H449" s="1"/>
      <c r="I449" s="22"/>
      <c r="J449" s="19"/>
      <c r="K449" s="1"/>
    </row>
    <row r="450" spans="1:14" x14ac:dyDescent="0.25">
      <c r="A450" s="5"/>
      <c r="B450" s="5"/>
      <c r="C450" s="65"/>
      <c r="D450" s="66"/>
      <c r="E450" s="30"/>
      <c r="F450" s="31"/>
      <c r="G450" s="36"/>
      <c r="H450" s="30"/>
      <c r="I450" s="31"/>
      <c r="J450" s="33"/>
      <c r="K450" s="29"/>
      <c r="L450" s="9"/>
      <c r="M450" s="9"/>
      <c r="N450" s="9"/>
    </row>
  </sheetData>
  <mergeCells count="149">
    <mergeCell ref="J421:J422"/>
    <mergeCell ref="A430:A432"/>
    <mergeCell ref="B430:B432"/>
    <mergeCell ref="C430:C432"/>
    <mergeCell ref="D430:F430"/>
    <mergeCell ref="G430:I430"/>
    <mergeCell ref="J430:J431"/>
    <mergeCell ref="A418:B418"/>
    <mergeCell ref="A421:A423"/>
    <mergeCell ref="B421:B423"/>
    <mergeCell ref="C421:C423"/>
    <mergeCell ref="D421:F421"/>
    <mergeCell ref="G421:I421"/>
    <mergeCell ref="A401:A403"/>
    <mergeCell ref="B401:B403"/>
    <mergeCell ref="C401:C403"/>
    <mergeCell ref="D401:F401"/>
    <mergeCell ref="G401:I401"/>
    <mergeCell ref="J401:J402"/>
    <mergeCell ref="A389:A391"/>
    <mergeCell ref="B389:B391"/>
    <mergeCell ref="C389:C391"/>
    <mergeCell ref="D389:F389"/>
    <mergeCell ref="G389:I389"/>
    <mergeCell ref="J389:J390"/>
    <mergeCell ref="A380:A382"/>
    <mergeCell ref="B380:B382"/>
    <mergeCell ref="C380:C382"/>
    <mergeCell ref="D380:F380"/>
    <mergeCell ref="G380:I380"/>
    <mergeCell ref="J380:J381"/>
    <mergeCell ref="A356:A358"/>
    <mergeCell ref="B356:B358"/>
    <mergeCell ref="D356:F356"/>
    <mergeCell ref="G356:I356"/>
    <mergeCell ref="J356:J357"/>
    <mergeCell ref="A377:B377"/>
    <mergeCell ref="A343:A345"/>
    <mergeCell ref="B343:B345"/>
    <mergeCell ref="C343:C345"/>
    <mergeCell ref="D343:F343"/>
    <mergeCell ref="G343:I343"/>
    <mergeCell ref="J343:J344"/>
    <mergeCell ref="K308:K310"/>
    <mergeCell ref="A334:A336"/>
    <mergeCell ref="B334:B336"/>
    <mergeCell ref="C334:C336"/>
    <mergeCell ref="D334:F334"/>
    <mergeCell ref="G334:I334"/>
    <mergeCell ref="J334:J335"/>
    <mergeCell ref="A308:A310"/>
    <mergeCell ref="B308:B310"/>
    <mergeCell ref="C308:C310"/>
    <mergeCell ref="D308:F308"/>
    <mergeCell ref="G308:I308"/>
    <mergeCell ref="J308:J309"/>
    <mergeCell ref="A296:A298"/>
    <mergeCell ref="B296:B298"/>
    <mergeCell ref="C296:C298"/>
    <mergeCell ref="D296:F296"/>
    <mergeCell ref="G296:I296"/>
    <mergeCell ref="J296:J297"/>
    <mergeCell ref="K266:K268"/>
    <mergeCell ref="A287:A289"/>
    <mergeCell ref="B287:B289"/>
    <mergeCell ref="C287:C289"/>
    <mergeCell ref="D287:F287"/>
    <mergeCell ref="G287:I287"/>
    <mergeCell ref="J287:J288"/>
    <mergeCell ref="A266:A268"/>
    <mergeCell ref="B266:B268"/>
    <mergeCell ref="C266:C268"/>
    <mergeCell ref="D266:F266"/>
    <mergeCell ref="G266:I266"/>
    <mergeCell ref="J266:J267"/>
    <mergeCell ref="J243:J244"/>
    <mergeCell ref="A252:A254"/>
    <mergeCell ref="B252:B254"/>
    <mergeCell ref="C252:C254"/>
    <mergeCell ref="D252:F252"/>
    <mergeCell ref="G252:I252"/>
    <mergeCell ref="J252:J253"/>
    <mergeCell ref="A223:A225"/>
    <mergeCell ref="B223:B225"/>
    <mergeCell ref="D223:F223"/>
    <mergeCell ref="G223:I223"/>
    <mergeCell ref="J223:J224"/>
    <mergeCell ref="A243:A245"/>
    <mergeCell ref="B243:B245"/>
    <mergeCell ref="C243:C245"/>
    <mergeCell ref="D243:F243"/>
    <mergeCell ref="G243:I243"/>
    <mergeCell ref="A210:A212"/>
    <mergeCell ref="B210:B212"/>
    <mergeCell ref="C210:C212"/>
    <mergeCell ref="D210:F210"/>
    <mergeCell ref="G210:I210"/>
    <mergeCell ref="J210:J211"/>
    <mergeCell ref="A199:A201"/>
    <mergeCell ref="B199:B201"/>
    <mergeCell ref="C199:C201"/>
    <mergeCell ref="D199:F199"/>
    <mergeCell ref="G199:I199"/>
    <mergeCell ref="J199:J200"/>
    <mergeCell ref="A175:A177"/>
    <mergeCell ref="B175:B177"/>
    <mergeCell ref="C175:C177"/>
    <mergeCell ref="D175:F175"/>
    <mergeCell ref="G175:I175"/>
    <mergeCell ref="J175:J176"/>
    <mergeCell ref="A163:A165"/>
    <mergeCell ref="B163:B165"/>
    <mergeCell ref="C163:C165"/>
    <mergeCell ref="D163:F163"/>
    <mergeCell ref="G163:I163"/>
    <mergeCell ref="J163:J164"/>
    <mergeCell ref="K132:K134"/>
    <mergeCell ref="A150:B150"/>
    <mergeCell ref="A153:A155"/>
    <mergeCell ref="B153:B155"/>
    <mergeCell ref="C153:C155"/>
    <mergeCell ref="D153:F153"/>
    <mergeCell ref="G153:I153"/>
    <mergeCell ref="J153:J154"/>
    <mergeCell ref="A129:C129"/>
    <mergeCell ref="A132:A134"/>
    <mergeCell ref="B132:B134"/>
    <mergeCell ref="D132:F132"/>
    <mergeCell ref="G132:I132"/>
    <mergeCell ref="J132:J133"/>
    <mergeCell ref="A96:C96"/>
    <mergeCell ref="A98:K98"/>
    <mergeCell ref="A99:K99"/>
    <mergeCell ref="A100:K100"/>
    <mergeCell ref="A101:A103"/>
    <mergeCell ref="B101:B103"/>
    <mergeCell ref="C101:C103"/>
    <mergeCell ref="D101:F101"/>
    <mergeCell ref="G101:I101"/>
    <mergeCell ref="J101:J102"/>
    <mergeCell ref="A1:K1"/>
    <mergeCell ref="A2:K2"/>
    <mergeCell ref="A3:K3"/>
    <mergeCell ref="A5:A7"/>
    <mergeCell ref="B5:B7"/>
    <mergeCell ref="C5:C7"/>
    <mergeCell ref="D5:F5"/>
    <mergeCell ref="G5:I5"/>
    <mergeCell ref="J5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49"/>
  <sheetViews>
    <sheetView topLeftCell="A331" workbookViewId="0">
      <selection activeCell="A331" sqref="A1:XFD1048576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555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869" t="s">
        <v>1</v>
      </c>
      <c r="B4" s="869"/>
      <c r="C4" s="869"/>
      <c r="D4" s="869"/>
      <c r="E4" s="870"/>
      <c r="F4" s="870"/>
      <c r="G4" s="47"/>
      <c r="H4" s="870"/>
      <c r="I4" s="870"/>
      <c r="J4" s="869"/>
      <c r="K4" s="869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C11+C16+C21+C29+C40+C45+C53+C55+C58+C63+C65+C69+C73+C77+C80+C86+C90+C92</f>
        <v>14557351544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/>
      <c r="H12" s="161"/>
      <c r="I12" s="161"/>
      <c r="J12" s="6">
        <f>G12-C12</f>
        <v>-1150000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0</v>
      </c>
      <c r="F13" s="134">
        <f>(D13*E13)/100</f>
        <v>0</v>
      </c>
      <c r="G13" s="6">
        <v>0</v>
      </c>
      <c r="H13" s="134">
        <f>G13/C13*100</f>
        <v>0</v>
      </c>
      <c r="I13" s="134">
        <f>(D13*H13)/100</f>
        <v>0</v>
      </c>
      <c r="J13" s="6">
        <f t="shared" ref="J13:J15" si="0">G13-C13</f>
        <v>-4430000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v>0</v>
      </c>
      <c r="H14" s="134"/>
      <c r="I14" s="134"/>
      <c r="J14" s="6">
        <f t="shared" si="0"/>
        <v>-4320000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v>0</v>
      </c>
      <c r="H15" s="134"/>
      <c r="I15" s="134"/>
      <c r="J15" s="6">
        <f t="shared" si="0"/>
        <v>-20100000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v>0</v>
      </c>
      <c r="H18" s="134"/>
      <c r="I18" s="134"/>
      <c r="J18" s="6">
        <f t="shared" si="1"/>
        <v>-4720000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v>0</v>
      </c>
      <c r="H19" s="134"/>
      <c r="I19" s="134"/>
      <c r="J19" s="6">
        <f t="shared" si="1"/>
        <v>-5730000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v>0</v>
      </c>
      <c r="H20" s="134"/>
      <c r="I20" s="134"/>
      <c r="J20" s="6">
        <f t="shared" si="1"/>
        <v>-9380000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0</v>
      </c>
      <c r="F24" s="134">
        <f t="shared" ref="F24:F26" si="3">(D24*E24)/100</f>
        <v>0</v>
      </c>
      <c r="G24" s="6">
        <v>0</v>
      </c>
      <c r="H24" s="134">
        <f t="shared" ref="H24:H26" si="4">G24/C24*100</f>
        <v>0</v>
      </c>
      <c r="I24" s="134">
        <f t="shared" ref="I24:I26" si="5">(D24*H24)/100</f>
        <v>0</v>
      </c>
      <c r="J24" s="6">
        <f t="shared" si="2"/>
        <v>-5459000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46.579029086015936</v>
      </c>
      <c r="F25" s="134">
        <f t="shared" si="3"/>
        <v>8.9999999999999982</v>
      </c>
      <c r="G25" s="6">
        <f>4500000</f>
        <v>4500000</v>
      </c>
      <c r="H25" s="134">
        <f t="shared" si="4"/>
        <v>46.579029086015936</v>
      </c>
      <c r="I25" s="134">
        <f t="shared" si="5"/>
        <v>8.9999999999999982</v>
      </c>
      <c r="J25" s="6">
        <f t="shared" si="2"/>
        <v>-5161000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0</v>
      </c>
      <c r="F26" s="134">
        <f t="shared" si="3"/>
        <v>0</v>
      </c>
      <c r="G26" s="6">
        <v>0</v>
      </c>
      <c r="H26" s="134">
        <f t="shared" si="4"/>
        <v>0</v>
      </c>
      <c r="I26" s="134">
        <f t="shared" si="5"/>
        <v>0</v>
      </c>
      <c r="J26" s="6">
        <f t="shared" si="2"/>
        <v>-14400000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f>17851651</f>
        <v>17851651</v>
      </c>
      <c r="H27" s="134"/>
      <c r="I27" s="134"/>
      <c r="J27" s="6">
        <f t="shared" si="2"/>
        <v>-148349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4245540345</v>
      </c>
      <c r="D30" s="200">
        <f>C30/C29*100</f>
        <v>36.245950350934478</v>
      </c>
      <c r="E30" s="134">
        <f>G30/C30*100</f>
        <v>69.253149448047466</v>
      </c>
      <c r="F30" s="134">
        <f t="shared" ref="F30:F38" si="6">(D30*E30)/100</f>
        <v>25.101462165397738</v>
      </c>
      <c r="G30" s="6">
        <f>2940170400</f>
        <v>2940170400</v>
      </c>
      <c r="H30" s="134">
        <f>G30/C30*100</f>
        <v>69.253149448047466</v>
      </c>
      <c r="I30" s="134">
        <f t="shared" ref="I30:I38" si="7">(D30*H30)/100</f>
        <v>25.101462165397738</v>
      </c>
      <c r="J30" s="6">
        <f t="shared" ref="J30:J39" si="8">G30-C30</f>
        <v>-1305369945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9" si="9">G31/C31*100</f>
        <v>39.900816268563183</v>
      </c>
      <c r="F31" s="134">
        <f t="shared" si="6"/>
        <v>2.4010004906657016</v>
      </c>
      <c r="G31" s="6">
        <f>281232644</f>
        <v>281232644</v>
      </c>
      <c r="H31" s="134">
        <f t="shared" ref="H31:H39" si="10">G31/C31*100</f>
        <v>39.900816268563183</v>
      </c>
      <c r="I31" s="134">
        <f t="shared" si="7"/>
        <v>2.4010004906657016</v>
      </c>
      <c r="J31" s="6">
        <f t="shared" si="8"/>
        <v>-423596656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52.012005086139858</v>
      </c>
      <c r="F32" s="134">
        <f t="shared" si="6"/>
        <v>1.7405233015268899</v>
      </c>
      <c r="G32" s="6">
        <f>203870000</f>
        <v>203870000</v>
      </c>
      <c r="H32" s="134">
        <f t="shared" si="10"/>
        <v>52.012005086139858</v>
      </c>
      <c r="I32" s="134">
        <f t="shared" si="7"/>
        <v>1.7405233015268899</v>
      </c>
      <c r="J32" s="6">
        <f t="shared" si="8"/>
        <v>-188097200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25.656108597285066</v>
      </c>
      <c r="F33" s="134">
        <f t="shared" si="6"/>
        <v>9.6814314216485661E-2</v>
      </c>
      <c r="G33" s="6">
        <f>11340000</f>
        <v>11340000</v>
      </c>
      <c r="H33" s="134">
        <f t="shared" si="10"/>
        <v>25.656108597285066</v>
      </c>
      <c r="I33" s="134">
        <f t="shared" si="7"/>
        <v>9.6814314216485661E-2</v>
      </c>
      <c r="J33" s="6">
        <f t="shared" si="8"/>
        <v>-32860000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65.498367261619322</v>
      </c>
      <c r="F34" s="134">
        <f t="shared" si="6"/>
        <v>0.6366779085268448</v>
      </c>
      <c r="G34" s="6">
        <f>74575000</f>
        <v>74575000</v>
      </c>
      <c r="H34" s="134">
        <f>G34/C34*100</f>
        <v>65.498367261619322</v>
      </c>
      <c r="I34" s="134">
        <f t="shared" si="7"/>
        <v>0.6366779085268448</v>
      </c>
      <c r="J34" s="6">
        <f t="shared" si="8"/>
        <v>-39282800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64.81481481481481</v>
      </c>
      <c r="F35" s="134">
        <f t="shared" si="6"/>
        <v>1.5147854459538659</v>
      </c>
      <c r="G35" s="6">
        <f>177429000</f>
        <v>177429000</v>
      </c>
      <c r="H35" s="134">
        <f t="shared" si="10"/>
        <v>64.81481481481481</v>
      </c>
      <c r="I35" s="134">
        <f t="shared" si="7"/>
        <v>1.5147854459538659</v>
      </c>
      <c r="J35" s="6">
        <f t="shared" si="8"/>
        <v>-96318600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44.37934666666667</v>
      </c>
      <c r="F36" s="134">
        <f t="shared" si="6"/>
        <v>5.6832751493505473E-2</v>
      </c>
      <c r="G36" s="6">
        <f>6656902</f>
        <v>6656902</v>
      </c>
      <c r="H36" s="134">
        <f t="shared" si="10"/>
        <v>44.37934666666667</v>
      </c>
      <c r="I36" s="134">
        <f t="shared" si="7"/>
        <v>5.6832751493505473E-2</v>
      </c>
      <c r="J36" s="6">
        <f t="shared" si="8"/>
        <v>-8343098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6.6950836820083683</v>
      </c>
      <c r="F37" s="134">
        <f t="shared" si="6"/>
        <v>3.2786244346170188E-4</v>
      </c>
      <c r="G37" s="6">
        <f>38403</f>
        <v>38403</v>
      </c>
      <c r="H37" s="134">
        <f>G37/C37*100</f>
        <v>6.6950836820083683</v>
      </c>
      <c r="I37" s="134">
        <f t="shared" si="7"/>
        <v>3.2786244346170188E-4</v>
      </c>
      <c r="J37" s="6">
        <f t="shared" si="8"/>
        <v>-535197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5647177786</v>
      </c>
      <c r="D38" s="200">
        <f>C38/C29*100</f>
        <v>48.212314339520454</v>
      </c>
      <c r="E38" s="134">
        <f t="shared" si="9"/>
        <v>45.640675407629175</v>
      </c>
      <c r="F38" s="134">
        <f t="shared" si="6"/>
        <v>22.004425894206388</v>
      </c>
      <c r="G38" s="6">
        <f>2577410083</f>
        <v>2577410083</v>
      </c>
      <c r="H38" s="134">
        <f t="shared" si="10"/>
        <v>45.640675407629175</v>
      </c>
      <c r="I38" s="134">
        <f t="shared" si="7"/>
        <v>22.004425894206388</v>
      </c>
      <c r="J38" s="6">
        <f t="shared" si="8"/>
        <v>-3069767703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276250331</v>
      </c>
      <c r="D39" s="200"/>
      <c r="E39" s="134">
        <f t="shared" si="9"/>
        <v>50.000000542985781</v>
      </c>
      <c r="F39" s="134"/>
      <c r="G39" s="6">
        <f>138125167</f>
        <v>138125167</v>
      </c>
      <c r="H39" s="134">
        <f t="shared" si="10"/>
        <v>50.000000542985781</v>
      </c>
      <c r="I39" s="134"/>
      <c r="J39" s="6">
        <f t="shared" si="8"/>
        <v>-138125164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1853928000</v>
      </c>
      <c r="D40" s="241"/>
      <c r="E40" s="242"/>
      <c r="F40" s="242"/>
      <c r="G40" s="791">
        <v>0</v>
      </c>
      <c r="H40" s="242"/>
      <c r="I40" s="242"/>
      <c r="J40" s="791">
        <v>0</v>
      </c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1723250000</v>
      </c>
      <c r="D41" s="200">
        <f>C41/C40*100</f>
        <v>92.95129044925153</v>
      </c>
      <c r="E41" s="134">
        <f>G41/C41*100</f>
        <v>55.248803133613812</v>
      </c>
      <c r="F41" s="134">
        <f t="shared" ref="F41:F44" si="11">(D41*E41)/100</f>
        <v>51.354475470460557</v>
      </c>
      <c r="G41" s="6">
        <f>952075000</f>
        <v>952075000</v>
      </c>
      <c r="H41" s="134">
        <f t="shared" ref="H41:H44" si="12">G41/C41*100</f>
        <v>55.248803133613812</v>
      </c>
      <c r="I41" s="134">
        <f t="shared" ref="I41:I44" si="13">(D41*H41)/100</f>
        <v>51.354475470460557</v>
      </c>
      <c r="J41" s="6">
        <f t="shared" ref="J41:J44" si="14">G41-C41</f>
        <v>-771175000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122730550</v>
      </c>
      <c r="D42" s="200">
        <f>C42/C40*100</f>
        <v>6.6200278543719069</v>
      </c>
      <c r="E42" s="134">
        <f t="shared" ref="E42:E44" si="15">G42/C42*100</f>
        <v>54.511263088122718</v>
      </c>
      <c r="F42" s="134">
        <f t="shared" si="11"/>
        <v>3.6086608002036757</v>
      </c>
      <c r="G42" s="6">
        <f>66901973</f>
        <v>66901973</v>
      </c>
      <c r="H42" s="134">
        <f t="shared" si="12"/>
        <v>54.511263088122718</v>
      </c>
      <c r="I42" s="134">
        <f t="shared" si="13"/>
        <v>3.6086608002036757</v>
      </c>
      <c r="J42" s="6">
        <f t="shared" si="14"/>
        <v>-55828577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3532200</v>
      </c>
      <c r="D43" s="200">
        <f>C43/C40*100</f>
        <v>0.19052519838958148</v>
      </c>
      <c r="E43" s="134">
        <f t="shared" si="15"/>
        <v>82.791319857312729</v>
      </c>
      <c r="F43" s="134">
        <f t="shared" si="11"/>
        <v>0.15773832640749805</v>
      </c>
      <c r="G43" s="6">
        <f>2924355</f>
        <v>2924355</v>
      </c>
      <c r="H43" s="134">
        <f t="shared" si="12"/>
        <v>82.791319857312729</v>
      </c>
      <c r="I43" s="134">
        <f t="shared" si="13"/>
        <v>0.15773832640749805</v>
      </c>
      <c r="J43" s="6">
        <f t="shared" si="14"/>
        <v>-607845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4415250</v>
      </c>
      <c r="D44" s="200">
        <f>C44/C40*100</f>
        <v>0.23815649798697683</v>
      </c>
      <c r="E44" s="134">
        <f t="shared" si="15"/>
        <v>82.791574656021737</v>
      </c>
      <c r="F44" s="134">
        <f t="shared" si="11"/>
        <v>0.19717351482905482</v>
      </c>
      <c r="G44" s="6">
        <f>3655455</f>
        <v>3655455</v>
      </c>
      <c r="H44" s="134">
        <f t="shared" si="12"/>
        <v>82.791574656021737</v>
      </c>
      <c r="I44" s="134">
        <f t="shared" si="13"/>
        <v>0.19717351482905482</v>
      </c>
      <c r="J44" s="6">
        <f t="shared" si="14"/>
        <v>-759795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</v>
      </c>
      <c r="D47" s="741"/>
      <c r="E47" s="742"/>
      <c r="F47" s="742"/>
      <c r="G47" s="6">
        <v>0</v>
      </c>
      <c r="H47" s="742"/>
      <c r="I47" s="742"/>
      <c r="J47" s="6">
        <f t="shared" si="16"/>
        <v>-170000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8775400</v>
      </c>
      <c r="D48" s="200">
        <f>C48/C45*100</f>
        <v>17.550799999999999</v>
      </c>
      <c r="E48" s="134">
        <f t="shared" ref="E48:E50" si="17">G48/C48*100</f>
        <v>55.287223374433069</v>
      </c>
      <c r="F48" s="134">
        <f t="shared" ref="F48:F50" si="18">(D48*E48)/100</f>
        <v>9.7033499999999986</v>
      </c>
      <c r="G48" s="6">
        <f>4851675</f>
        <v>4851675</v>
      </c>
      <c r="H48" s="134">
        <f t="shared" ref="H48:H50" si="19">G48/C48*100</f>
        <v>55.287223374433069</v>
      </c>
      <c r="I48" s="134">
        <f t="shared" ref="I48:I50" si="20">(D48*H48)/100</f>
        <v>9.7033499999999986</v>
      </c>
      <c r="J48" s="6">
        <f t="shared" si="16"/>
        <v>-3923725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0</v>
      </c>
      <c r="F49" s="134">
        <f t="shared" si="18"/>
        <v>0</v>
      </c>
      <c r="G49" s="6">
        <v>0</v>
      </c>
      <c r="H49" s="134">
        <f t="shared" si="19"/>
        <v>0</v>
      </c>
      <c r="I49" s="134">
        <f t="shared" si="20"/>
        <v>0</v>
      </c>
      <c r="J49" s="6">
        <f t="shared" si="16"/>
        <v>-4124600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14520000</v>
      </c>
      <c r="D50" s="200">
        <f>C50/C45*100</f>
        <v>29.04</v>
      </c>
      <c r="E50" s="134">
        <f t="shared" si="17"/>
        <v>34.380165289256198</v>
      </c>
      <c r="F50" s="134">
        <f t="shared" si="18"/>
        <v>9.984</v>
      </c>
      <c r="G50" s="6">
        <f>4992000</f>
        <v>4992000</v>
      </c>
      <c r="H50" s="134">
        <f t="shared" si="19"/>
        <v>34.380165289256198</v>
      </c>
      <c r="I50" s="134">
        <f t="shared" si="20"/>
        <v>9.984</v>
      </c>
      <c r="J50" s="6">
        <f t="shared" si="16"/>
        <v>-9528000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v>0</v>
      </c>
      <c r="H51" s="134"/>
      <c r="I51" s="134"/>
      <c r="J51" s="6">
        <f t="shared" si="16"/>
        <v>-20100000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20.149890550217044</v>
      </c>
      <c r="F54" s="134">
        <f t="shared" ref="F54:F57" si="21">(D54*E54)/100</f>
        <v>20.149890550217044</v>
      </c>
      <c r="G54" s="6">
        <f>2715500</f>
        <v>2715500</v>
      </c>
      <c r="H54" s="134">
        <f>G54/C54*100</f>
        <v>20.149890550217044</v>
      </c>
      <c r="I54" s="134">
        <f>(D54*H54)/100</f>
        <v>20.149890550217044</v>
      </c>
      <c r="J54" s="6">
        <f>G54-C54</f>
        <v>-10761000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SUM(C56:C57)</f>
        <v>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2.5342874180083479</v>
      </c>
      <c r="E56" s="134">
        <f t="shared" ref="E56:E57" si="22">G56/C56*100</f>
        <v>0</v>
      </c>
      <c r="F56" s="134">
        <f t="shared" si="21"/>
        <v>0</v>
      </c>
      <c r="G56" s="6">
        <v>0</v>
      </c>
      <c r="H56" s="134">
        <f t="shared" ref="H56:H58" si="23">G56/C56*100</f>
        <v>0</v>
      </c>
      <c r="I56" s="134">
        <f t="shared" ref="I56:I57" si="24">(D56*H56)/100</f>
        <v>0</v>
      </c>
      <c r="J56" s="6">
        <f t="shared" ref="J56:J57" si="25">G56-C56</f>
        <v>-170000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6538000</v>
      </c>
      <c r="D57" s="200">
        <f>C57/C55*100</f>
        <v>97.465712581991653</v>
      </c>
      <c r="E57" s="134">
        <f t="shared" si="22"/>
        <v>33.473539308657081</v>
      </c>
      <c r="F57" s="134">
        <f t="shared" si="21"/>
        <v>32.625223613595708</v>
      </c>
      <c r="G57" s="6">
        <f>2188500</f>
        <v>2188500</v>
      </c>
      <c r="H57" s="134">
        <f t="shared" si="23"/>
        <v>33.473539308657081</v>
      </c>
      <c r="I57" s="134">
        <f t="shared" si="24"/>
        <v>32.625223613595708</v>
      </c>
      <c r="J57" s="6">
        <f t="shared" si="25"/>
        <v>-4349500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238" t="s">
        <v>503</v>
      </c>
      <c r="B58" s="238" t="s">
        <v>61</v>
      </c>
      <c r="C58" s="239">
        <f>SUM(C59:C62)</f>
        <v>62599600</v>
      </c>
      <c r="D58" s="241"/>
      <c r="E58" s="242"/>
      <c r="F58" s="242"/>
      <c r="G58" s="791">
        <v>0</v>
      </c>
      <c r="H58" s="242">
        <f t="shared" si="23"/>
        <v>0</v>
      </c>
      <c r="I58" s="242"/>
      <c r="J58" s="791">
        <v>0</v>
      </c>
      <c r="K58" s="237"/>
      <c r="L58" s="4"/>
      <c r="M58" s="4"/>
      <c r="N58" s="4"/>
      <c r="O58" s="4"/>
      <c r="P58" s="4"/>
      <c r="Q58" s="4"/>
      <c r="R58" s="9"/>
    </row>
    <row r="59" spans="1:18" ht="22.5" customHeight="1" x14ac:dyDescent="0.25">
      <c r="A59" s="49" t="s">
        <v>450</v>
      </c>
      <c r="B59" s="707" t="s">
        <v>384</v>
      </c>
      <c r="C59" s="56">
        <v>3090000</v>
      </c>
      <c r="D59" s="200">
        <f>C59/C58*100</f>
        <v>4.9361337772126337</v>
      </c>
      <c r="E59" s="134">
        <f>G59/C59*100</f>
        <v>100</v>
      </c>
      <c r="F59" s="134">
        <f t="shared" ref="F59:F71" si="26">(D59*E59)/100</f>
        <v>4.9361337772126337</v>
      </c>
      <c r="G59" s="6">
        <f>3090000</f>
        <v>3090000</v>
      </c>
      <c r="H59" s="134">
        <f>G59/C59*100</f>
        <v>100</v>
      </c>
      <c r="I59" s="134">
        <f>(D59*H59)/100</f>
        <v>4.9361337772126337</v>
      </c>
      <c r="J59" s="6">
        <f t="shared" ref="J59:J62" si="27">G59-C59</f>
        <v>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448</v>
      </c>
      <c r="B60" s="707" t="s">
        <v>445</v>
      </c>
      <c r="C60" s="56">
        <v>170000</v>
      </c>
      <c r="D60" s="200"/>
      <c r="E60" s="134"/>
      <c r="F60" s="134"/>
      <c r="G60" s="6">
        <v>0</v>
      </c>
      <c r="H60" s="134"/>
      <c r="I60" s="134"/>
      <c r="J60" s="6">
        <f t="shared" si="27"/>
        <v>-170000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415</v>
      </c>
      <c r="B61" s="707" t="s">
        <v>197</v>
      </c>
      <c r="C61" s="56">
        <v>7993000</v>
      </c>
      <c r="D61" s="200"/>
      <c r="E61" s="134"/>
      <c r="F61" s="134"/>
      <c r="G61" s="6">
        <f>4891500+302500</f>
        <v>5194000</v>
      </c>
      <c r="H61" s="134"/>
      <c r="I61" s="134"/>
      <c r="J61" s="6">
        <f t="shared" si="27"/>
        <v>-2799000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413</v>
      </c>
      <c r="B62" s="707" t="s">
        <v>334</v>
      </c>
      <c r="C62" s="56">
        <v>51346600</v>
      </c>
      <c r="D62" s="200"/>
      <c r="E62" s="134"/>
      <c r="F62" s="134"/>
      <c r="G62" s="6">
        <f>7200000+9495800</f>
        <v>16695800</v>
      </c>
      <c r="H62" s="134"/>
      <c r="I62" s="134"/>
      <c r="J62" s="6">
        <f t="shared" si="27"/>
        <v>-34650800</v>
      </c>
      <c r="K62" s="163"/>
      <c r="L62" s="4"/>
      <c r="M62" s="4"/>
      <c r="N62" s="4"/>
      <c r="O62" s="4"/>
      <c r="P62" s="4"/>
      <c r="Q62" s="4"/>
      <c r="R62" s="9"/>
    </row>
    <row r="63" spans="1:18" s="796" customFormat="1" x14ac:dyDescent="0.25">
      <c r="A63" s="799" t="s">
        <v>468</v>
      </c>
      <c r="B63" s="736" t="s">
        <v>467</v>
      </c>
      <c r="C63" s="800">
        <v>3000000</v>
      </c>
      <c r="D63" s="789"/>
      <c r="E63" s="790"/>
      <c r="F63" s="790"/>
      <c r="G63" s="791">
        <v>0</v>
      </c>
      <c r="H63" s="790"/>
      <c r="I63" s="790"/>
      <c r="J63" s="791">
        <v>0</v>
      </c>
      <c r="K63" s="793"/>
      <c r="L63" s="794"/>
      <c r="M63" s="794"/>
      <c r="N63" s="794"/>
      <c r="O63" s="794"/>
      <c r="P63" s="794"/>
      <c r="Q63" s="794"/>
      <c r="R63" s="795"/>
    </row>
    <row r="64" spans="1:18" x14ac:dyDescent="0.25">
      <c r="A64" s="49" t="s">
        <v>413</v>
      </c>
      <c r="B64" s="707" t="s">
        <v>334</v>
      </c>
      <c r="C64" s="56">
        <v>3000000</v>
      </c>
      <c r="D64" s="200"/>
      <c r="E64" s="134"/>
      <c r="F64" s="134"/>
      <c r="G64" s="6">
        <v>0</v>
      </c>
      <c r="H64" s="134"/>
      <c r="I64" s="134"/>
      <c r="J64" s="6">
        <f>G64-C64</f>
        <v>-3000000</v>
      </c>
      <c r="K64" s="163"/>
      <c r="L64" s="4"/>
      <c r="M64" s="4"/>
      <c r="N64" s="4"/>
      <c r="O64" s="4"/>
      <c r="P64" s="4"/>
      <c r="Q64" s="4"/>
      <c r="R64" s="9"/>
    </row>
    <row r="65" spans="1:18" s="796" customFormat="1" x14ac:dyDescent="0.25">
      <c r="A65" s="799" t="s">
        <v>469</v>
      </c>
      <c r="B65" s="736" t="s">
        <v>470</v>
      </c>
      <c r="C65" s="800">
        <f>SUM(C66:C68)</f>
        <v>12000000</v>
      </c>
      <c r="D65" s="789"/>
      <c r="E65" s="790"/>
      <c r="F65" s="790"/>
      <c r="G65" s="791">
        <v>0</v>
      </c>
      <c r="H65" s="790"/>
      <c r="I65" s="790"/>
      <c r="J65" s="791">
        <v>0</v>
      </c>
      <c r="K65" s="793"/>
      <c r="L65" s="794"/>
      <c r="M65" s="794"/>
      <c r="N65" s="794"/>
      <c r="O65" s="794"/>
      <c r="P65" s="794"/>
      <c r="Q65" s="794"/>
      <c r="R65" s="795"/>
    </row>
    <row r="66" spans="1:18" x14ac:dyDescent="0.25">
      <c r="A66" s="49" t="s">
        <v>448</v>
      </c>
      <c r="B66" s="707" t="s">
        <v>445</v>
      </c>
      <c r="C66" s="56">
        <v>170000</v>
      </c>
      <c r="D66" s="200"/>
      <c r="E66" s="134"/>
      <c r="F66" s="134"/>
      <c r="G66" s="6">
        <v>0</v>
      </c>
      <c r="H66" s="134"/>
      <c r="I66" s="134"/>
      <c r="J66" s="6">
        <f t="shared" ref="J66:J68" si="28">G66-C66</f>
        <v>-170000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413</v>
      </c>
      <c r="B67" s="707" t="s">
        <v>334</v>
      </c>
      <c r="C67" s="56">
        <v>820000</v>
      </c>
      <c r="D67" s="200"/>
      <c r="E67" s="134"/>
      <c r="F67" s="134"/>
      <c r="G67" s="6">
        <v>0</v>
      </c>
      <c r="H67" s="134"/>
      <c r="I67" s="134"/>
      <c r="J67" s="6">
        <f t="shared" si="28"/>
        <v>-820000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391</v>
      </c>
      <c r="B68" s="218" t="s">
        <v>198</v>
      </c>
      <c r="C68" s="56">
        <v>11010000</v>
      </c>
      <c r="D68" s="200"/>
      <c r="E68" s="134"/>
      <c r="F68" s="134"/>
      <c r="G68" s="6">
        <v>0</v>
      </c>
      <c r="H68" s="134"/>
      <c r="I68" s="134"/>
      <c r="J68" s="6">
        <f t="shared" si="28"/>
        <v>-11010000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238" t="s">
        <v>504</v>
      </c>
      <c r="B69" s="238" t="s">
        <v>64</v>
      </c>
      <c r="C69" s="239">
        <f>SUM(C70:C71)</f>
        <v>148714000</v>
      </c>
      <c r="D69" s="241"/>
      <c r="E69" s="242"/>
      <c r="F69" s="242"/>
      <c r="G69" s="791">
        <v>0</v>
      </c>
      <c r="H69" s="242"/>
      <c r="I69" s="242"/>
      <c r="J69" s="791">
        <v>0</v>
      </c>
      <c r="K69" s="237"/>
      <c r="L69" s="4"/>
      <c r="M69" s="4"/>
      <c r="N69" s="4"/>
      <c r="O69" s="4"/>
      <c r="P69" s="4"/>
      <c r="Q69" s="4"/>
      <c r="R69" s="9"/>
    </row>
    <row r="70" spans="1:18" ht="21" customHeight="1" x14ac:dyDescent="0.25">
      <c r="A70" s="49" t="s">
        <v>450</v>
      </c>
      <c r="B70" s="707" t="s">
        <v>384</v>
      </c>
      <c r="C70" s="56">
        <v>3480000</v>
      </c>
      <c r="D70" s="200">
        <f>C70/C69*100</f>
        <v>2.3400621326842126</v>
      </c>
      <c r="E70" s="134">
        <f t="shared" ref="E70:E71" si="29">G70/C70*100</f>
        <v>100</v>
      </c>
      <c r="F70" s="134">
        <f t="shared" si="26"/>
        <v>2.3400621326842126</v>
      </c>
      <c r="G70" s="6">
        <f>3480000</f>
        <v>3480000</v>
      </c>
      <c r="H70" s="134">
        <f t="shared" ref="H70:H71" si="30">G70/C70*100</f>
        <v>100</v>
      </c>
      <c r="I70" s="134">
        <f t="shared" ref="I70:I71" si="31">(D70*H70)/100</f>
        <v>2.3400621326842126</v>
      </c>
      <c r="J70" s="6">
        <f t="shared" ref="J70:J71" si="32">G70-C70</f>
        <v>0</v>
      </c>
      <c r="K70" s="163"/>
      <c r="L70" s="4"/>
      <c r="M70" s="4"/>
      <c r="N70" s="4"/>
      <c r="O70" s="4"/>
      <c r="P70" s="4"/>
      <c r="Q70" s="4"/>
      <c r="R70" s="9"/>
    </row>
    <row r="71" spans="1:18" ht="15.75" thickBot="1" x14ac:dyDescent="0.3">
      <c r="A71" s="217" t="s">
        <v>449</v>
      </c>
      <c r="B71" s="78" t="s">
        <v>23</v>
      </c>
      <c r="C71" s="219">
        <v>145234000</v>
      </c>
      <c r="D71" s="200">
        <f>C71/C69*100</f>
        <v>97.659937867315776</v>
      </c>
      <c r="E71" s="134">
        <f t="shared" si="29"/>
        <v>69.553442720024236</v>
      </c>
      <c r="F71" s="134">
        <f t="shared" si="26"/>
        <v>67.925848944954737</v>
      </c>
      <c r="G71" s="6">
        <f>51608336+49406911</f>
        <v>101015247</v>
      </c>
      <c r="H71" s="134">
        <f t="shared" si="30"/>
        <v>69.553442720024236</v>
      </c>
      <c r="I71" s="134">
        <f t="shared" si="31"/>
        <v>67.925848944954737</v>
      </c>
      <c r="J71" s="6">
        <f t="shared" si="32"/>
        <v>-44218753</v>
      </c>
      <c r="K71" s="163"/>
      <c r="L71" s="4"/>
      <c r="M71" s="4"/>
      <c r="N71" s="4"/>
      <c r="O71" s="694"/>
      <c r="P71" s="4"/>
      <c r="Q71" s="4"/>
      <c r="R71" s="9"/>
    </row>
    <row r="72" spans="1:18" ht="15.75" thickBot="1" x14ac:dyDescent="0.3">
      <c r="A72" s="689" t="s">
        <v>248</v>
      </c>
      <c r="B72" s="708" t="s">
        <v>68</v>
      </c>
      <c r="C72" s="690"/>
      <c r="D72" s="216"/>
      <c r="E72" s="134"/>
      <c r="F72" s="134"/>
      <c r="G72" s="6">
        <v>0</v>
      </c>
      <c r="H72" s="134"/>
      <c r="I72" s="134"/>
      <c r="J72" s="6">
        <v>0</v>
      </c>
      <c r="K72" s="163"/>
      <c r="L72" s="4"/>
      <c r="M72" s="4"/>
      <c r="N72" s="4"/>
      <c r="O72" s="4"/>
      <c r="P72" s="4"/>
      <c r="Q72" s="4"/>
      <c r="R72" s="9"/>
    </row>
    <row r="73" spans="1:18" x14ac:dyDescent="0.25">
      <c r="A73" s="233" t="s">
        <v>249</v>
      </c>
      <c r="B73" s="696" t="s">
        <v>387</v>
      </c>
      <c r="C73" s="234">
        <f>SUM(C74:C76)</f>
        <v>237367500</v>
      </c>
      <c r="D73" s="241"/>
      <c r="E73" s="242"/>
      <c r="F73" s="242"/>
      <c r="G73" s="791">
        <v>0</v>
      </c>
      <c r="H73" s="242"/>
      <c r="I73" s="242"/>
      <c r="J73" s="791">
        <v>0</v>
      </c>
      <c r="K73" s="237"/>
      <c r="L73" s="4"/>
      <c r="M73" s="4"/>
      <c r="N73" s="4"/>
      <c r="O73" s="713"/>
      <c r="P73" s="4"/>
      <c r="Q73" s="4"/>
      <c r="R73" s="9"/>
    </row>
    <row r="74" spans="1:18" x14ac:dyDescent="0.25">
      <c r="A74" s="49" t="s">
        <v>471</v>
      </c>
      <c r="B74" s="78" t="s">
        <v>388</v>
      </c>
      <c r="C74" s="56">
        <v>54000000</v>
      </c>
      <c r="D74" s="200">
        <f>C74/C73*100</f>
        <v>22.749533950519762</v>
      </c>
      <c r="E74" s="134">
        <f t="shared" ref="E74:E76" si="33">G74/C74*100</f>
        <v>39.697407407407411</v>
      </c>
      <c r="F74" s="134">
        <f t="shared" ref="F74:F76" si="34">(D74*E74)/100</f>
        <v>9.0309751756242971</v>
      </c>
      <c r="G74" s="6">
        <f>21436600</f>
        <v>21436600</v>
      </c>
      <c r="H74" s="134">
        <f t="shared" ref="H74:H78" si="35">G74/C74*100</f>
        <v>39.697407407407411</v>
      </c>
      <c r="I74" s="134">
        <f t="shared" ref="I74:I76" si="36">(D74*H74)/100</f>
        <v>9.0309751756242971</v>
      </c>
      <c r="J74" s="6">
        <f t="shared" ref="J74:J76" si="37">G74-C74</f>
        <v>-32563400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472</v>
      </c>
      <c r="B75" s="78" t="s">
        <v>73</v>
      </c>
      <c r="C75" s="56">
        <v>39000000</v>
      </c>
      <c r="D75" s="200">
        <f>C75/C73*100</f>
        <v>16.430218964264274</v>
      </c>
      <c r="E75" s="134">
        <f t="shared" si="33"/>
        <v>28.985420512820514</v>
      </c>
      <c r="F75" s="134">
        <f t="shared" si="34"/>
        <v>4.7623680579691827</v>
      </c>
      <c r="G75" s="6">
        <f>11304314</f>
        <v>11304314</v>
      </c>
      <c r="H75" s="134">
        <f t="shared" si="35"/>
        <v>28.985420512820514</v>
      </c>
      <c r="I75" s="134">
        <f t="shared" si="36"/>
        <v>4.7623680579691827</v>
      </c>
      <c r="J75" s="6">
        <f t="shared" si="37"/>
        <v>-27695686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473</v>
      </c>
      <c r="B76" s="78" t="s">
        <v>75</v>
      </c>
      <c r="C76" s="56">
        <v>144367500</v>
      </c>
      <c r="D76" s="200">
        <f>C76/C73*100</f>
        <v>60.820247085215961</v>
      </c>
      <c r="E76" s="134">
        <f t="shared" si="33"/>
        <v>47.733988605468681</v>
      </c>
      <c r="F76" s="134">
        <f t="shared" si="34"/>
        <v>29.031929813474886</v>
      </c>
      <c r="G76" s="6">
        <f>68912366</f>
        <v>68912366</v>
      </c>
      <c r="H76" s="134">
        <f t="shared" si="35"/>
        <v>47.733988605468681</v>
      </c>
      <c r="I76" s="134">
        <f t="shared" si="36"/>
        <v>29.031929813474886</v>
      </c>
      <c r="J76" s="6">
        <f t="shared" si="37"/>
        <v>-75455134</v>
      </c>
      <c r="K76" s="163"/>
      <c r="L76" s="4"/>
      <c r="M76" s="4"/>
      <c r="N76" s="4"/>
      <c r="O76" s="4"/>
      <c r="P76" s="4"/>
      <c r="Q76" s="4"/>
      <c r="R76" s="9"/>
    </row>
    <row r="77" spans="1:18" x14ac:dyDescent="0.25">
      <c r="A77" s="238" t="s">
        <v>505</v>
      </c>
      <c r="B77" s="238" t="s">
        <v>76</v>
      </c>
      <c r="C77" s="239">
        <f>SUM(C78:C78)</f>
        <v>20000000</v>
      </c>
      <c r="D77" s="241"/>
      <c r="E77" s="242"/>
      <c r="F77" s="242"/>
      <c r="G77" s="791">
        <v>0</v>
      </c>
      <c r="H77" s="242"/>
      <c r="I77" s="242"/>
      <c r="J77" s="791">
        <v>0</v>
      </c>
      <c r="K77" s="237"/>
      <c r="L77" s="4"/>
      <c r="M77" s="4"/>
      <c r="N77" s="4"/>
      <c r="O77" s="4"/>
      <c r="P77" s="4"/>
      <c r="Q77" s="4"/>
      <c r="R77" s="9"/>
    </row>
    <row r="78" spans="1:18" ht="14.25" customHeight="1" thickBot="1" x14ac:dyDescent="0.3">
      <c r="A78" s="49" t="s">
        <v>450</v>
      </c>
      <c r="B78" s="707" t="s">
        <v>384</v>
      </c>
      <c r="C78" s="56">
        <v>20000000</v>
      </c>
      <c r="D78" s="200">
        <f>C78/C77*100</f>
        <v>100</v>
      </c>
      <c r="E78" s="134">
        <f t="shared" ref="E78" si="38">G78/C78*100</f>
        <v>0</v>
      </c>
      <c r="F78" s="134">
        <f t="shared" ref="F78" si="39">(D78*E78)/100</f>
        <v>0</v>
      </c>
      <c r="G78" s="6">
        <v>0</v>
      </c>
      <c r="H78" s="134">
        <f t="shared" si="35"/>
        <v>0</v>
      </c>
      <c r="I78" s="134">
        <f t="shared" ref="I78" si="40">(D78*H78)/100</f>
        <v>0</v>
      </c>
      <c r="J78" s="6">
        <f>G78-C78</f>
        <v>-20000000</v>
      </c>
      <c r="K78" s="163"/>
      <c r="L78" s="4"/>
      <c r="M78" s="4"/>
      <c r="N78" s="4"/>
      <c r="O78" s="4"/>
      <c r="P78" s="4"/>
      <c r="Q78" s="4"/>
      <c r="R78" s="9"/>
    </row>
    <row r="79" spans="1:18" ht="26.25" thickBot="1" x14ac:dyDescent="0.3">
      <c r="A79" s="689" t="s">
        <v>506</v>
      </c>
      <c r="B79" s="692" t="s">
        <v>377</v>
      </c>
      <c r="C79" s="690"/>
      <c r="D79" s="216"/>
      <c r="E79" s="134"/>
      <c r="F79" s="134"/>
      <c r="G79" s="6">
        <v>0</v>
      </c>
      <c r="H79" s="134"/>
      <c r="I79" s="134"/>
      <c r="J79" s="6">
        <v>0</v>
      </c>
      <c r="K79" s="163"/>
      <c r="L79" s="4"/>
      <c r="M79" s="4"/>
      <c r="N79" s="4"/>
      <c r="O79" s="694"/>
      <c r="P79" s="4"/>
      <c r="Q79" s="4"/>
      <c r="R79" s="9"/>
    </row>
    <row r="80" spans="1:18" ht="26.25" x14ac:dyDescent="0.25">
      <c r="A80" s="693" t="s">
        <v>507</v>
      </c>
      <c r="B80" s="691" t="s">
        <v>474</v>
      </c>
      <c r="C80" s="234">
        <f>SUM(C81:C85)</f>
        <v>151843982</v>
      </c>
      <c r="D80" s="241"/>
      <c r="E80" s="242"/>
      <c r="F80" s="242"/>
      <c r="G80" s="791">
        <v>0</v>
      </c>
      <c r="H80" s="242"/>
      <c r="I80" s="242"/>
      <c r="J80" s="791">
        <v>0</v>
      </c>
      <c r="K80" s="244"/>
      <c r="L80" s="4"/>
      <c r="M80" s="4"/>
      <c r="N80" s="4"/>
      <c r="O80" s="4"/>
      <c r="P80" s="4"/>
      <c r="Q80" s="4"/>
      <c r="R80" s="9"/>
    </row>
    <row r="81" spans="1:18" s="783" customFormat="1" ht="25.5" x14ac:dyDescent="0.25">
      <c r="A81" s="801" t="s">
        <v>450</v>
      </c>
      <c r="B81" s="707" t="s">
        <v>384</v>
      </c>
      <c r="C81" s="788">
        <v>7330000</v>
      </c>
      <c r="D81" s="741"/>
      <c r="E81" s="742"/>
      <c r="F81" s="742"/>
      <c r="G81" s="6">
        <f>3670000</f>
        <v>3670000</v>
      </c>
      <c r="H81" s="742"/>
      <c r="I81" s="742"/>
      <c r="J81" s="6">
        <f t="shared" ref="J81:J85" si="41">G81-C81</f>
        <v>-3660000</v>
      </c>
      <c r="K81" s="743"/>
      <c r="L81" s="737"/>
      <c r="M81" s="737"/>
      <c r="N81" s="737"/>
      <c r="O81" s="737"/>
      <c r="P81" s="737"/>
      <c r="Q81" s="737"/>
      <c r="R81" s="782"/>
    </row>
    <row r="82" spans="1:18" x14ac:dyDescent="0.25">
      <c r="A82" s="224" t="s">
        <v>475</v>
      </c>
      <c r="B82" s="78" t="s">
        <v>81</v>
      </c>
      <c r="C82" s="56">
        <v>79356018</v>
      </c>
      <c r="D82" s="200">
        <f>C82/C80*100</f>
        <v>52.261549621373874</v>
      </c>
      <c r="E82" s="134">
        <f t="shared" ref="E82:E85" si="42">G82/C82*100</f>
        <v>52.588668196531742</v>
      </c>
      <c r="F82" s="134">
        <f t="shared" ref="F82:F85" si="43">(D82*E82)/100</f>
        <v>27.4836529247501</v>
      </c>
      <c r="G82" s="6">
        <f>41732273</f>
        <v>41732273</v>
      </c>
      <c r="H82" s="134">
        <f t="shared" ref="H82:H85" si="44">G82/C82*100</f>
        <v>52.588668196531742</v>
      </c>
      <c r="I82" s="134">
        <f t="shared" ref="I82:I85" si="45">(D82*H82)/100</f>
        <v>27.4836529247501</v>
      </c>
      <c r="J82" s="6">
        <f t="shared" si="41"/>
        <v>-37623745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476</v>
      </c>
      <c r="B83" s="78" t="s">
        <v>83</v>
      </c>
      <c r="C83" s="56">
        <v>22600000</v>
      </c>
      <c r="D83" s="200">
        <f>C83/C80*100</f>
        <v>14.883698189632566</v>
      </c>
      <c r="E83" s="134">
        <f t="shared" si="42"/>
        <v>14.752212389380531</v>
      </c>
      <c r="F83" s="134">
        <f t="shared" si="43"/>
        <v>2.1956747683289812</v>
      </c>
      <c r="G83" s="6">
        <f>3334000</f>
        <v>3334000</v>
      </c>
      <c r="H83" s="134">
        <f t="shared" si="44"/>
        <v>14.752212389380531</v>
      </c>
      <c r="I83" s="134">
        <f t="shared" si="45"/>
        <v>2.1956747683289812</v>
      </c>
      <c r="J83" s="6">
        <f t="shared" si="41"/>
        <v>-19266000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477</v>
      </c>
      <c r="B84" s="78" t="s">
        <v>85</v>
      </c>
      <c r="C84" s="56">
        <v>13307964</v>
      </c>
      <c r="D84" s="200">
        <f>C84/C80*100</f>
        <v>8.7642353847121832</v>
      </c>
      <c r="E84" s="134">
        <f t="shared" si="42"/>
        <v>2.6856099099757107</v>
      </c>
      <c r="F84" s="134">
        <f t="shared" si="43"/>
        <v>0.23537317402542826</v>
      </c>
      <c r="G84" s="6">
        <f>357400</f>
        <v>357400</v>
      </c>
      <c r="H84" s="134">
        <f t="shared" si="44"/>
        <v>2.6856099099757107</v>
      </c>
      <c r="I84" s="134">
        <f t="shared" si="45"/>
        <v>0.23537317402542826</v>
      </c>
      <c r="J84" s="6">
        <f t="shared" si="41"/>
        <v>-12950564</v>
      </c>
      <c r="K84" s="56"/>
      <c r="L84" s="4"/>
      <c r="M84" s="4"/>
      <c r="N84" s="4"/>
      <c r="O84" s="713"/>
      <c r="P84" s="4"/>
      <c r="Q84" s="4"/>
      <c r="R84" s="9"/>
    </row>
    <row r="85" spans="1:18" ht="25.5" x14ac:dyDescent="0.25">
      <c r="A85" s="49" t="s">
        <v>478</v>
      </c>
      <c r="B85" s="77" t="s">
        <v>87</v>
      </c>
      <c r="C85" s="56">
        <v>29250000</v>
      </c>
      <c r="D85" s="200">
        <f>C85/C80*100</f>
        <v>19.263193453396134</v>
      </c>
      <c r="E85" s="134">
        <f t="shared" si="42"/>
        <v>8.3487179487179493</v>
      </c>
      <c r="F85" s="134">
        <f t="shared" si="43"/>
        <v>1.6082296893399439</v>
      </c>
      <c r="G85" s="6">
        <f>2442000</f>
        <v>2442000</v>
      </c>
      <c r="H85" s="134">
        <f t="shared" si="44"/>
        <v>8.3487179487179493</v>
      </c>
      <c r="I85" s="134">
        <f t="shared" si="45"/>
        <v>1.6082296893399439</v>
      </c>
      <c r="J85" s="6">
        <f t="shared" si="41"/>
        <v>-26808000</v>
      </c>
      <c r="K85" s="56"/>
      <c r="L85" s="4"/>
      <c r="M85" s="4"/>
      <c r="N85" s="4"/>
      <c r="O85" s="4"/>
      <c r="P85" s="4"/>
      <c r="Q85" s="4"/>
      <c r="R85" s="9"/>
    </row>
    <row r="86" spans="1:18" s="796" customFormat="1" x14ac:dyDescent="0.25">
      <c r="A86" s="799" t="s">
        <v>483</v>
      </c>
      <c r="B86" s="691" t="s">
        <v>479</v>
      </c>
      <c r="C86" s="800">
        <f>SUM(C87:C89)</f>
        <v>30280000</v>
      </c>
      <c r="D86" s="789"/>
      <c r="E86" s="790"/>
      <c r="F86" s="790"/>
      <c r="G86" s="791">
        <v>0</v>
      </c>
      <c r="H86" s="790"/>
      <c r="I86" s="790"/>
      <c r="J86" s="791">
        <v>0</v>
      </c>
      <c r="K86" s="792"/>
      <c r="L86" s="794"/>
      <c r="M86" s="794"/>
      <c r="N86" s="794"/>
      <c r="O86" s="794"/>
      <c r="P86" s="794"/>
      <c r="Q86" s="794"/>
      <c r="R86" s="795"/>
    </row>
    <row r="87" spans="1:18" ht="25.5" x14ac:dyDescent="0.25">
      <c r="A87" s="49" t="s">
        <v>484</v>
      </c>
      <c r="B87" s="77" t="s">
        <v>480</v>
      </c>
      <c r="C87" s="56">
        <v>4110000</v>
      </c>
      <c r="D87" s="200"/>
      <c r="E87" s="134"/>
      <c r="F87" s="134"/>
      <c r="G87" s="132">
        <f>2870000</f>
        <v>2870000</v>
      </c>
      <c r="H87" s="134"/>
      <c r="I87" s="134"/>
      <c r="J87" s="6">
        <f t="shared" ref="J87:J89" si="46">G87-C87</f>
        <v>-1240000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485</v>
      </c>
      <c r="B88" s="77" t="s">
        <v>481</v>
      </c>
      <c r="C88" s="56">
        <v>14490000</v>
      </c>
      <c r="D88" s="200"/>
      <c r="E88" s="134"/>
      <c r="F88" s="134"/>
      <c r="G88" s="6">
        <f>3600000</f>
        <v>3600000</v>
      </c>
      <c r="H88" s="134"/>
      <c r="I88" s="134"/>
      <c r="J88" s="6">
        <f t="shared" si="46"/>
        <v>-10890000</v>
      </c>
      <c r="K88" s="56"/>
      <c r="L88" s="4"/>
      <c r="M88" s="4"/>
      <c r="N88" s="4"/>
      <c r="O88" s="4"/>
      <c r="P88" s="4"/>
      <c r="Q88" s="4"/>
      <c r="R88" s="9"/>
    </row>
    <row r="89" spans="1:18" ht="25.5" x14ac:dyDescent="0.25">
      <c r="A89" s="49" t="s">
        <v>486</v>
      </c>
      <c r="B89" s="77" t="s">
        <v>482</v>
      </c>
      <c r="C89" s="56">
        <v>11680000</v>
      </c>
      <c r="D89" s="200"/>
      <c r="E89" s="134"/>
      <c r="F89" s="134"/>
      <c r="G89" s="132">
        <f>5815000</f>
        <v>5815000</v>
      </c>
      <c r="H89" s="134"/>
      <c r="I89" s="134"/>
      <c r="J89" s="6">
        <f t="shared" si="46"/>
        <v>-5865000</v>
      </c>
      <c r="K89" s="56"/>
      <c r="L89" s="4"/>
      <c r="M89" s="4"/>
      <c r="N89" s="4"/>
      <c r="O89" s="4"/>
      <c r="P89" s="4"/>
      <c r="Q89" s="4"/>
      <c r="R89" s="9"/>
    </row>
    <row r="90" spans="1:18" s="796" customFormat="1" ht="25.5" x14ac:dyDescent="0.25">
      <c r="A90" s="799" t="s">
        <v>508</v>
      </c>
      <c r="B90" s="802" t="s">
        <v>90</v>
      </c>
      <c r="C90" s="800">
        <v>107280000</v>
      </c>
      <c r="D90" s="789"/>
      <c r="E90" s="790"/>
      <c r="F90" s="790"/>
      <c r="G90" s="791"/>
      <c r="H90" s="790"/>
      <c r="I90" s="790"/>
      <c r="J90" s="791"/>
      <c r="K90" s="792"/>
      <c r="L90" s="794"/>
      <c r="M90" s="794"/>
      <c r="N90" s="794"/>
      <c r="O90" s="794"/>
      <c r="P90" s="794"/>
      <c r="Q90" s="794"/>
      <c r="R90" s="795"/>
    </row>
    <row r="91" spans="1:18" ht="25.5" x14ac:dyDescent="0.25">
      <c r="A91" s="49" t="s">
        <v>487</v>
      </c>
      <c r="B91" s="77" t="s">
        <v>509</v>
      </c>
      <c r="C91" s="56">
        <v>107280000</v>
      </c>
      <c r="D91" s="200"/>
      <c r="E91" s="134"/>
      <c r="F91" s="134"/>
      <c r="G91" s="132">
        <f>1093000</f>
        <v>1093000</v>
      </c>
      <c r="H91" s="134"/>
      <c r="I91" s="134"/>
      <c r="J91" s="6">
        <f>G91-C91</f>
        <v>-106187000</v>
      </c>
      <c r="K91" s="56"/>
      <c r="L91" s="4"/>
      <c r="M91" s="4"/>
      <c r="N91" s="4"/>
      <c r="O91" s="4"/>
      <c r="P91" s="4"/>
      <c r="Q91" s="4"/>
      <c r="R91" s="9"/>
    </row>
    <row r="92" spans="1:18" ht="25.5" x14ac:dyDescent="0.25">
      <c r="A92" s="238" t="s">
        <v>510</v>
      </c>
      <c r="B92" s="240" t="s">
        <v>90</v>
      </c>
      <c r="C92" s="239">
        <v>47010000</v>
      </c>
      <c r="D92" s="241"/>
      <c r="E92" s="242"/>
      <c r="F92" s="242"/>
      <c r="G92" s="791">
        <v>0</v>
      </c>
      <c r="H92" s="242"/>
      <c r="I92" s="242"/>
      <c r="J92" s="791">
        <v>0</v>
      </c>
      <c r="K92" s="244"/>
      <c r="L92" s="4"/>
      <c r="M92" s="4"/>
      <c r="N92" s="4"/>
      <c r="O92" s="4"/>
      <c r="P92" s="4"/>
      <c r="Q92" s="4"/>
      <c r="R92" s="9"/>
    </row>
    <row r="93" spans="1:18" s="783" customFormat="1" x14ac:dyDescent="0.25">
      <c r="A93" s="124" t="s">
        <v>448</v>
      </c>
      <c r="B93" s="707" t="s">
        <v>445</v>
      </c>
      <c r="C93" s="743">
        <v>170000</v>
      </c>
      <c r="D93" s="741"/>
      <c r="E93" s="742"/>
      <c r="F93" s="742"/>
      <c r="G93" s="6">
        <v>0</v>
      </c>
      <c r="H93" s="742"/>
      <c r="I93" s="742"/>
      <c r="J93" s="6">
        <f t="shared" ref="J93:J95" si="47">G93-C93</f>
        <v>-170000</v>
      </c>
      <c r="K93" s="743"/>
      <c r="L93" s="737"/>
      <c r="M93" s="737"/>
      <c r="N93" s="737"/>
      <c r="O93" s="737"/>
      <c r="P93" s="737"/>
      <c r="Q93" s="737"/>
      <c r="R93" s="782"/>
    </row>
    <row r="94" spans="1:18" x14ac:dyDescent="0.25">
      <c r="A94" s="49" t="s">
        <v>490</v>
      </c>
      <c r="B94" s="316" t="s">
        <v>488</v>
      </c>
      <c r="C94" s="56">
        <v>8500000</v>
      </c>
      <c r="D94" s="200">
        <f>C94/C92*100</f>
        <v>18.081259306530526</v>
      </c>
      <c r="E94" s="134">
        <f t="shared" ref="E94:E95" si="48">G94/C94*100</f>
        <v>0</v>
      </c>
      <c r="F94" s="134">
        <f t="shared" ref="F94:F95" si="49">(D94*E94)/100</f>
        <v>0</v>
      </c>
      <c r="G94" s="6">
        <v>0</v>
      </c>
      <c r="H94" s="134">
        <f t="shared" ref="H94:H95" si="50">G94/C94*100</f>
        <v>0</v>
      </c>
      <c r="I94" s="134">
        <f t="shared" ref="I94:I95" si="51">(D94*H94)/100</f>
        <v>0</v>
      </c>
      <c r="J94" s="6">
        <f t="shared" si="47"/>
        <v>-8500000</v>
      </c>
      <c r="K94" s="56"/>
      <c r="L94" s="4"/>
      <c r="M94" s="4"/>
      <c r="N94" s="4"/>
      <c r="O94" s="4"/>
      <c r="P94" s="4"/>
      <c r="Q94" s="4"/>
      <c r="R94" s="9"/>
    </row>
    <row r="95" spans="1:18" ht="25.5" x14ac:dyDescent="0.25">
      <c r="A95" s="49" t="s">
        <v>491</v>
      </c>
      <c r="B95" s="77" t="s">
        <v>489</v>
      </c>
      <c r="C95" s="56">
        <v>38340000</v>
      </c>
      <c r="D95" s="200">
        <f>C95/C92*100</f>
        <v>81.557115507338864</v>
      </c>
      <c r="E95" s="134">
        <f t="shared" si="48"/>
        <v>15.881129368805425</v>
      </c>
      <c r="F95" s="134">
        <f t="shared" si="49"/>
        <v>12.952191023186556</v>
      </c>
      <c r="G95" s="138">
        <f>2380925+3707900</f>
        <v>6088825</v>
      </c>
      <c r="H95" s="134">
        <f t="shared" si="50"/>
        <v>15.881129368805425</v>
      </c>
      <c r="I95" s="134">
        <f t="shared" si="51"/>
        <v>12.952191023186556</v>
      </c>
      <c r="J95" s="6">
        <f t="shared" si="47"/>
        <v>-32251175</v>
      </c>
      <c r="K95" s="56"/>
      <c r="L95" s="4"/>
      <c r="M95" s="695"/>
      <c r="N95" s="4"/>
      <c r="O95" s="4"/>
      <c r="P95" s="4"/>
      <c r="Q95" s="4"/>
      <c r="R95" s="9"/>
    </row>
    <row r="96" spans="1:18" x14ac:dyDescent="0.25">
      <c r="A96" s="1045" t="s">
        <v>95</v>
      </c>
      <c r="B96" s="1046"/>
      <c r="C96" s="1047"/>
      <c r="D96" s="81"/>
      <c r="E96" s="134"/>
      <c r="F96" s="134"/>
      <c r="G96" s="768">
        <f>SUM(G12:G95)</f>
        <v>7780254533</v>
      </c>
      <c r="H96" s="134"/>
      <c r="I96" s="134"/>
      <c r="J96" s="781">
        <v>0</v>
      </c>
      <c r="K96" s="130"/>
      <c r="L96" s="1"/>
      <c r="M96" s="1"/>
      <c r="N96" s="1"/>
      <c r="O96" s="1"/>
      <c r="P96" s="1"/>
      <c r="Q96" s="1"/>
      <c r="R96" s="1"/>
    </row>
    <row r="97" spans="1:18" x14ac:dyDescent="0.25">
      <c r="A97" s="50"/>
      <c r="B97" s="5"/>
      <c r="C97" s="50"/>
      <c r="D97" s="9"/>
      <c r="E97" s="23"/>
      <c r="F97" s="23"/>
      <c r="G97" s="11"/>
      <c r="H97" s="23"/>
      <c r="I97" s="23"/>
      <c r="J97" s="4"/>
      <c r="K97" s="9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0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1"/>
      <c r="M98" s="1"/>
      <c r="N98" s="1"/>
      <c r="O98" s="1"/>
      <c r="P98" s="1"/>
      <c r="Q98" s="1"/>
      <c r="R98" s="1"/>
    </row>
    <row r="99" spans="1:18" x14ac:dyDescent="0.25">
      <c r="A99" s="1036" t="s">
        <v>511</v>
      </c>
      <c r="B99" s="1036"/>
      <c r="C99" s="1036"/>
      <c r="D99" s="1036"/>
      <c r="E99" s="1037"/>
      <c r="F99" s="1037"/>
      <c r="G99" s="1038"/>
      <c r="H99" s="1037"/>
      <c r="I99" s="1037"/>
      <c r="J99" s="1036"/>
      <c r="K99" s="1036"/>
      <c r="L99" s="9"/>
      <c r="M99" s="9"/>
      <c r="N99" s="9"/>
      <c r="O99" s="9"/>
      <c r="P99" s="9"/>
      <c r="Q99" s="9"/>
      <c r="R99" s="9"/>
    </row>
    <row r="100" spans="1:18" x14ac:dyDescent="0.25">
      <c r="A100" s="1161" t="s">
        <v>555</v>
      </c>
      <c r="B100" s="1161"/>
      <c r="C100" s="1161"/>
      <c r="D100" s="1161"/>
      <c r="E100" s="1161"/>
      <c r="F100" s="1161"/>
      <c r="G100" s="1161"/>
      <c r="H100" s="1161"/>
      <c r="I100" s="1161"/>
      <c r="J100" s="1161"/>
      <c r="K100" s="1161"/>
      <c r="L100" s="9"/>
      <c r="M100" s="9"/>
      <c r="N100" s="9"/>
      <c r="O100" s="9"/>
      <c r="P100" s="9"/>
      <c r="Q100" s="9"/>
      <c r="R100" s="9"/>
    </row>
    <row r="101" spans="1:18" x14ac:dyDescent="0.25">
      <c r="A101" s="1048" t="s">
        <v>2</v>
      </c>
      <c r="B101" s="1051" t="s">
        <v>3</v>
      </c>
      <c r="C101" s="1048" t="s">
        <v>4</v>
      </c>
      <c r="D101" s="1054" t="s">
        <v>5</v>
      </c>
      <c r="E101" s="1055"/>
      <c r="F101" s="1055"/>
      <c r="G101" s="1044" t="s">
        <v>6</v>
      </c>
      <c r="H101" s="1055"/>
      <c r="I101" s="1055"/>
      <c r="J101" s="1048" t="s">
        <v>7</v>
      </c>
      <c r="K101" s="213" t="s">
        <v>8</v>
      </c>
      <c r="L101" s="9"/>
      <c r="M101" s="9"/>
      <c r="N101" s="9"/>
      <c r="O101" s="9"/>
      <c r="P101" s="9"/>
      <c r="Q101" s="9"/>
      <c r="R101" s="9"/>
    </row>
    <row r="102" spans="1:18" x14ac:dyDescent="0.25">
      <c r="A102" s="1049"/>
      <c r="B102" s="1052"/>
      <c r="C102" s="1049"/>
      <c r="D102" s="209" t="s">
        <v>9</v>
      </c>
      <c r="E102" s="214" t="s">
        <v>10</v>
      </c>
      <c r="F102" s="214" t="s">
        <v>11</v>
      </c>
      <c r="G102" s="209" t="s">
        <v>12</v>
      </c>
      <c r="H102" s="214" t="s">
        <v>13</v>
      </c>
      <c r="I102" s="214" t="s">
        <v>11</v>
      </c>
      <c r="J102" s="1049"/>
      <c r="K102" s="209"/>
      <c r="L102" s="1"/>
      <c r="M102" s="1"/>
      <c r="N102" s="1"/>
      <c r="O102" s="1"/>
      <c r="P102" s="1"/>
      <c r="Q102" s="1"/>
      <c r="R102" s="1"/>
    </row>
    <row r="103" spans="1:18" x14ac:dyDescent="0.25">
      <c r="A103" s="1050"/>
      <c r="B103" s="1053"/>
      <c r="C103" s="1050"/>
      <c r="D103" s="212" t="s">
        <v>14</v>
      </c>
      <c r="E103" s="215" t="s">
        <v>14</v>
      </c>
      <c r="F103" s="215" t="s">
        <v>14</v>
      </c>
      <c r="G103" s="212" t="s">
        <v>15</v>
      </c>
      <c r="H103" s="215" t="s">
        <v>14</v>
      </c>
      <c r="I103" s="215" t="s">
        <v>14</v>
      </c>
      <c r="J103" s="212" t="s">
        <v>15</v>
      </c>
      <c r="K103" s="212"/>
      <c r="L103" s="1"/>
      <c r="M103" s="1"/>
      <c r="N103" s="1"/>
      <c r="O103" s="1"/>
      <c r="P103" s="1"/>
      <c r="Q103" s="1"/>
      <c r="R103" s="1"/>
    </row>
    <row r="104" spans="1:18" ht="26.25" thickBot="1" x14ac:dyDescent="0.3">
      <c r="A104" s="227" t="s">
        <v>220</v>
      </c>
      <c r="B104" s="704" t="s">
        <v>212</v>
      </c>
      <c r="C104" s="245">
        <f>SUM(C105:C105)</f>
        <v>1071720000</v>
      </c>
      <c r="D104" s="6"/>
      <c r="E104" s="203"/>
      <c r="F104" s="204"/>
      <c r="G104" s="6"/>
      <c r="H104" s="204"/>
      <c r="I104" s="204"/>
      <c r="J104" s="6"/>
      <c r="K104" s="6"/>
      <c r="L104" s="1"/>
      <c r="M104" s="1"/>
      <c r="N104" s="1"/>
      <c r="O104" s="714"/>
      <c r="P104" s="1"/>
      <c r="Q104" s="1"/>
      <c r="R104" s="1"/>
    </row>
    <row r="105" spans="1:18" ht="26.25" thickBot="1" x14ac:dyDescent="0.3">
      <c r="A105" s="703" t="s">
        <v>180</v>
      </c>
      <c r="B105" s="705" t="s">
        <v>379</v>
      </c>
      <c r="C105" s="246">
        <f>SUM(C106:C106)</f>
        <v>1071720000</v>
      </c>
      <c r="D105" s="226"/>
      <c r="E105" s="204"/>
      <c r="F105" s="204"/>
      <c r="G105" s="6"/>
      <c r="H105" s="204"/>
      <c r="I105" s="204"/>
      <c r="J105" s="6"/>
      <c r="K105" s="6"/>
      <c r="L105" s="1"/>
      <c r="M105" s="1"/>
      <c r="N105" s="1"/>
      <c r="O105" s="1"/>
      <c r="P105" s="1"/>
      <c r="Q105" s="1"/>
      <c r="R105" s="1"/>
    </row>
    <row r="106" spans="1:18" ht="25.5" x14ac:dyDescent="0.25">
      <c r="A106" s="698" t="s">
        <v>181</v>
      </c>
      <c r="B106" s="706" t="s">
        <v>380</v>
      </c>
      <c r="C106" s="246">
        <f>SUM(C107:C128)</f>
        <v>1071720000</v>
      </c>
      <c r="D106" s="236"/>
      <c r="E106" s="278"/>
      <c r="F106" s="278"/>
      <c r="G106" s="236"/>
      <c r="H106" s="278"/>
      <c r="I106" s="278"/>
      <c r="J106" s="236"/>
      <c r="K106" s="236"/>
      <c r="L106" s="1"/>
      <c r="M106" s="1"/>
      <c r="N106" s="1"/>
      <c r="O106" s="715"/>
      <c r="P106" s="1"/>
      <c r="Q106" s="1"/>
      <c r="R106" s="1"/>
    </row>
    <row r="107" spans="1:18" ht="15" customHeight="1" x14ac:dyDescent="0.25">
      <c r="A107" s="315" t="s">
        <v>44</v>
      </c>
      <c r="B107" s="707" t="s">
        <v>384</v>
      </c>
      <c r="C107" s="722">
        <v>53020000</v>
      </c>
      <c r="D107" s="722">
        <f>C107/C105*100</f>
        <v>4.947187698279401</v>
      </c>
      <c r="E107" s="134">
        <f t="shared" ref="E107:E127" si="52">G107/C107*100</f>
        <v>34.458694832138818</v>
      </c>
      <c r="F107" s="134">
        <f t="shared" ref="F107:F127" si="53">(D107*E107)/100</f>
        <v>1.7047363117232113</v>
      </c>
      <c r="G107" s="6">
        <f>18270000</f>
        <v>18270000</v>
      </c>
      <c r="H107" s="134">
        <f t="shared" ref="H107:H127" si="54">G107/C107*100</f>
        <v>34.458694832138818</v>
      </c>
      <c r="I107" s="134">
        <f t="shared" ref="I107:I127" si="55">(D107*H107)/100</f>
        <v>1.7047363117232113</v>
      </c>
      <c r="J107" s="6">
        <f t="shared" ref="J107:J128" si="56">G107-C107</f>
        <v>-34750000</v>
      </c>
      <c r="K107" s="6"/>
      <c r="L107" s="1"/>
      <c r="M107" s="1"/>
      <c r="N107" s="1"/>
      <c r="O107" s="1"/>
      <c r="P107" s="1"/>
      <c r="Q107" s="1"/>
      <c r="R107" s="1"/>
    </row>
    <row r="108" spans="1:18" ht="15" customHeight="1" x14ac:dyDescent="0.25">
      <c r="A108" s="315" t="s">
        <v>518</v>
      </c>
      <c r="B108" s="707" t="s">
        <v>512</v>
      </c>
      <c r="C108" s="722">
        <v>1500000</v>
      </c>
      <c r="D108" s="722"/>
      <c r="E108" s="134"/>
      <c r="F108" s="134"/>
      <c r="G108" s="6"/>
      <c r="H108" s="134"/>
      <c r="I108" s="134"/>
      <c r="J108" s="6">
        <f t="shared" si="56"/>
        <v>-1500000</v>
      </c>
      <c r="K108" s="6"/>
      <c r="L108" s="1"/>
      <c r="M108" s="1"/>
      <c r="N108" s="1"/>
      <c r="O108" s="1"/>
      <c r="P108" s="1"/>
      <c r="Q108" s="1"/>
      <c r="R108" s="1"/>
    </row>
    <row r="109" spans="1:18" x14ac:dyDescent="0.25">
      <c r="A109" s="315" t="s">
        <v>59</v>
      </c>
      <c r="B109" s="707" t="s">
        <v>197</v>
      </c>
      <c r="C109" s="247">
        <v>24044000</v>
      </c>
      <c r="D109" s="279">
        <f>C109/C105*100</f>
        <v>2.2434964356361737</v>
      </c>
      <c r="E109" s="134">
        <f t="shared" si="52"/>
        <v>66.193229080019961</v>
      </c>
      <c r="F109" s="134">
        <f t="shared" si="53"/>
        <v>1.4850427350427351</v>
      </c>
      <c r="G109" s="6">
        <f>13845500+2070000</f>
        <v>15915500</v>
      </c>
      <c r="H109" s="134">
        <f t="shared" si="54"/>
        <v>66.193229080019961</v>
      </c>
      <c r="I109" s="134">
        <f t="shared" si="55"/>
        <v>1.4850427350427351</v>
      </c>
      <c r="J109" s="6">
        <f t="shared" si="56"/>
        <v>-8128500</v>
      </c>
      <c r="K109" s="6"/>
      <c r="L109" s="1"/>
      <c r="M109" s="25"/>
    </row>
    <row r="110" spans="1:18" x14ac:dyDescent="0.25">
      <c r="A110" s="228" t="s">
        <v>62</v>
      </c>
      <c r="B110" s="707" t="s">
        <v>334</v>
      </c>
      <c r="C110" s="247">
        <v>25150000</v>
      </c>
      <c r="D110" s="279">
        <f>C110/C105*100</f>
        <v>2.3466950322845519</v>
      </c>
      <c r="E110" s="134">
        <f t="shared" si="52"/>
        <v>54.867196819085486</v>
      </c>
      <c r="F110" s="134">
        <f t="shared" si="53"/>
        <v>1.2875657821072668</v>
      </c>
      <c r="G110" s="6">
        <f>13799100</f>
        <v>13799100</v>
      </c>
      <c r="H110" s="134">
        <f t="shared" si="54"/>
        <v>54.867196819085486</v>
      </c>
      <c r="I110" s="134">
        <f t="shared" si="55"/>
        <v>1.2875657821072668</v>
      </c>
      <c r="J110" s="6">
        <f t="shared" si="56"/>
        <v>-11350900</v>
      </c>
      <c r="K110" s="6"/>
      <c r="L110" s="1"/>
      <c r="M110" s="1"/>
      <c r="O110" s="716"/>
    </row>
    <row r="111" spans="1:18" x14ac:dyDescent="0.25">
      <c r="A111" s="315" t="s">
        <v>54</v>
      </c>
      <c r="B111" s="707" t="s">
        <v>386</v>
      </c>
      <c r="C111" s="248">
        <v>6000000</v>
      </c>
      <c r="D111" s="279">
        <f>C111/C105*100</f>
        <v>0.55984772141977379</v>
      </c>
      <c r="E111" s="134">
        <f t="shared" si="52"/>
        <v>0</v>
      </c>
      <c r="F111" s="134">
        <f t="shared" si="53"/>
        <v>0</v>
      </c>
      <c r="G111" s="6">
        <v>0</v>
      </c>
      <c r="H111" s="134">
        <f t="shared" si="54"/>
        <v>0</v>
      </c>
      <c r="I111" s="134">
        <f t="shared" si="55"/>
        <v>0</v>
      </c>
      <c r="J111" s="6">
        <f t="shared" si="56"/>
        <v>-6000000</v>
      </c>
      <c r="K111" s="6"/>
      <c r="L111" s="1"/>
      <c r="M111" s="1"/>
    </row>
    <row r="112" spans="1:18" ht="25.5" x14ac:dyDescent="0.25">
      <c r="A112" s="315" t="s">
        <v>86</v>
      </c>
      <c r="B112" s="707" t="s">
        <v>545</v>
      </c>
      <c r="C112" s="732">
        <v>6000000</v>
      </c>
      <c r="D112" s="279"/>
      <c r="E112" s="134"/>
      <c r="F112" s="134"/>
      <c r="G112" s="6"/>
      <c r="H112" s="134"/>
      <c r="I112" s="134"/>
      <c r="J112" s="6">
        <f t="shared" si="56"/>
        <v>-6000000</v>
      </c>
      <c r="K112" s="6"/>
      <c r="L112" s="1"/>
      <c r="M112" s="1"/>
    </row>
    <row r="113" spans="1:13" ht="25.5" x14ac:dyDescent="0.25">
      <c r="A113" s="315" t="s">
        <v>193</v>
      </c>
      <c r="B113" s="316" t="s">
        <v>372</v>
      </c>
      <c r="C113" s="732">
        <v>20000000</v>
      </c>
      <c r="D113" s="279">
        <f>C113/C105*100</f>
        <v>1.8661590713992462</v>
      </c>
      <c r="E113" s="134">
        <f t="shared" si="52"/>
        <v>0</v>
      </c>
      <c r="F113" s="134">
        <f t="shared" si="53"/>
        <v>0</v>
      </c>
      <c r="G113" s="6">
        <v>0</v>
      </c>
      <c r="H113" s="134">
        <f t="shared" si="54"/>
        <v>0</v>
      </c>
      <c r="I113" s="134">
        <f t="shared" si="55"/>
        <v>0</v>
      </c>
      <c r="J113" s="6">
        <f t="shared" si="56"/>
        <v>-20000000</v>
      </c>
      <c r="K113" s="6"/>
      <c r="L113" s="1"/>
      <c r="M113" s="716"/>
    </row>
    <row r="114" spans="1:13" x14ac:dyDescent="0.25">
      <c r="A114" s="315" t="s">
        <v>519</v>
      </c>
      <c r="B114" s="315" t="s">
        <v>513</v>
      </c>
      <c r="C114" s="248">
        <v>2292000</v>
      </c>
      <c r="D114" s="279">
        <f>C114/C105*100</f>
        <v>0.21386182958235359</v>
      </c>
      <c r="E114" s="134">
        <v>0</v>
      </c>
      <c r="F114" s="134">
        <f t="shared" si="53"/>
        <v>0</v>
      </c>
      <c r="G114" s="6">
        <v>0</v>
      </c>
      <c r="H114" s="134">
        <v>0</v>
      </c>
      <c r="I114" s="134">
        <f t="shared" si="55"/>
        <v>0</v>
      </c>
      <c r="J114" s="6">
        <f t="shared" si="56"/>
        <v>-2292000</v>
      </c>
      <c r="K114" s="6"/>
      <c r="L114" s="1"/>
      <c r="M114" s="1"/>
    </row>
    <row r="115" spans="1:13" x14ac:dyDescent="0.25">
      <c r="A115" s="228" t="s">
        <v>77</v>
      </c>
      <c r="B115" s="315" t="s">
        <v>103</v>
      </c>
      <c r="C115" s="247">
        <v>325910000</v>
      </c>
      <c r="D115" s="279">
        <f>C115/C105*100</f>
        <v>30.409995147986415</v>
      </c>
      <c r="E115" s="134">
        <f t="shared" si="52"/>
        <v>45.268632444539904</v>
      </c>
      <c r="F115" s="134">
        <f t="shared" si="53"/>
        <v>13.76618892994439</v>
      </c>
      <c r="G115" s="6">
        <f>146125000+1410000</f>
        <v>147535000</v>
      </c>
      <c r="H115" s="134">
        <f t="shared" si="54"/>
        <v>45.268632444539904</v>
      </c>
      <c r="I115" s="134">
        <f t="shared" si="55"/>
        <v>13.76618892994439</v>
      </c>
      <c r="J115" s="6">
        <f t="shared" si="56"/>
        <v>-178375000</v>
      </c>
      <c r="K115" s="6"/>
      <c r="L115" s="1"/>
      <c r="M115" s="1"/>
    </row>
    <row r="116" spans="1:13" x14ac:dyDescent="0.25">
      <c r="A116" s="228" t="s">
        <v>225</v>
      </c>
      <c r="B116" s="315" t="s">
        <v>217</v>
      </c>
      <c r="C116" s="247">
        <v>600000</v>
      </c>
      <c r="D116" s="279">
        <f>C116/C105*100</f>
        <v>5.5984772141977376E-2</v>
      </c>
      <c r="E116" s="134">
        <f t="shared" si="52"/>
        <v>100</v>
      </c>
      <c r="F116" s="134">
        <f t="shared" si="53"/>
        <v>5.5984772141977376E-2</v>
      </c>
      <c r="G116" s="6">
        <f>600000</f>
        <v>600000</v>
      </c>
      <c r="H116" s="134">
        <f t="shared" si="54"/>
        <v>100</v>
      </c>
      <c r="I116" s="134">
        <f t="shared" si="55"/>
        <v>5.5984772141977376E-2</v>
      </c>
      <c r="J116" s="6">
        <f t="shared" si="56"/>
        <v>0</v>
      </c>
      <c r="K116" s="6"/>
      <c r="L116" s="1"/>
      <c r="M116" s="1"/>
    </row>
    <row r="117" spans="1:13" x14ac:dyDescent="0.25">
      <c r="A117" s="228" t="s">
        <v>283</v>
      </c>
      <c r="B117" s="315" t="s">
        <v>514</v>
      </c>
      <c r="C117" s="247">
        <v>5000000</v>
      </c>
      <c r="D117" s="279">
        <f>C117/C105*100</f>
        <v>0.46653976784981155</v>
      </c>
      <c r="E117" s="134">
        <f t="shared" si="52"/>
        <v>100</v>
      </c>
      <c r="F117" s="134">
        <f t="shared" si="53"/>
        <v>0.46653976784981155</v>
      </c>
      <c r="G117" s="6">
        <f>5000000</f>
        <v>5000000</v>
      </c>
      <c r="H117" s="134">
        <f t="shared" si="54"/>
        <v>100</v>
      </c>
      <c r="I117" s="134">
        <f t="shared" si="55"/>
        <v>0.46653976784981155</v>
      </c>
      <c r="J117" s="6">
        <f t="shared" si="56"/>
        <v>0</v>
      </c>
      <c r="K117" s="6"/>
      <c r="L117" s="1"/>
      <c r="M117" s="1"/>
    </row>
    <row r="118" spans="1:13" x14ac:dyDescent="0.25">
      <c r="A118" s="228" t="s">
        <v>104</v>
      </c>
      <c r="B118" s="315" t="s">
        <v>105</v>
      </c>
      <c r="C118" s="249">
        <v>76700000</v>
      </c>
      <c r="D118" s="279">
        <f>C118/C105*100</f>
        <v>7.1567200388161085</v>
      </c>
      <c r="E118" s="134">
        <f t="shared" si="52"/>
        <v>22.816166883963493</v>
      </c>
      <c r="F118" s="134">
        <f t="shared" si="53"/>
        <v>1.6328891874743403</v>
      </c>
      <c r="G118" s="6">
        <f>17500000</f>
        <v>17500000</v>
      </c>
      <c r="H118" s="134">
        <f t="shared" si="54"/>
        <v>22.816166883963493</v>
      </c>
      <c r="I118" s="134">
        <f t="shared" si="55"/>
        <v>1.6328891874743403</v>
      </c>
      <c r="J118" s="6">
        <f t="shared" si="56"/>
        <v>-59200000</v>
      </c>
      <c r="K118" s="6"/>
      <c r="L118" s="1"/>
      <c r="M118" s="1"/>
    </row>
    <row r="119" spans="1:13" x14ac:dyDescent="0.25">
      <c r="A119" s="228" t="s">
        <v>130</v>
      </c>
      <c r="B119" s="315" t="s">
        <v>392</v>
      </c>
      <c r="C119" s="249">
        <v>28200000</v>
      </c>
      <c r="D119" s="279"/>
      <c r="E119" s="134"/>
      <c r="F119" s="134"/>
      <c r="G119" s="6">
        <f>28200000</f>
        <v>28200000</v>
      </c>
      <c r="H119" s="134"/>
      <c r="I119" s="134"/>
      <c r="J119" s="6">
        <f t="shared" si="56"/>
        <v>0</v>
      </c>
      <c r="K119" s="6"/>
      <c r="L119" s="1"/>
      <c r="M119" s="1"/>
    </row>
    <row r="120" spans="1:13" ht="25.5" x14ac:dyDescent="0.25">
      <c r="A120" s="228" t="s">
        <v>106</v>
      </c>
      <c r="B120" s="316" t="s">
        <v>107</v>
      </c>
      <c r="C120" s="251">
        <v>139200000</v>
      </c>
      <c r="D120" s="279">
        <f>C120/C105*100</f>
        <v>12.988467136938752</v>
      </c>
      <c r="E120" s="134">
        <f t="shared" si="52"/>
        <v>50.143678160919535</v>
      </c>
      <c r="F120" s="134">
        <f t="shared" si="53"/>
        <v>6.5128951591833673</v>
      </c>
      <c r="G120" s="135">
        <f>69800000</f>
        <v>69800000</v>
      </c>
      <c r="H120" s="134">
        <f t="shared" si="54"/>
        <v>50.143678160919535</v>
      </c>
      <c r="I120" s="134">
        <f t="shared" si="55"/>
        <v>6.5128951591833673</v>
      </c>
      <c r="J120" s="6">
        <f t="shared" si="56"/>
        <v>-69400000</v>
      </c>
      <c r="K120" s="6"/>
      <c r="L120" s="1"/>
      <c r="M120" s="1"/>
    </row>
    <row r="121" spans="1:13" x14ac:dyDescent="0.25">
      <c r="A121" s="228" t="s">
        <v>227</v>
      </c>
      <c r="B121" s="315" t="s">
        <v>218</v>
      </c>
      <c r="C121" s="250">
        <v>219000000</v>
      </c>
      <c r="D121" s="279">
        <f>C121/C105*100</f>
        <v>20.434441831821744</v>
      </c>
      <c r="E121" s="134">
        <f t="shared" si="52"/>
        <v>30</v>
      </c>
      <c r="F121" s="134">
        <f t="shared" si="53"/>
        <v>6.1303325495465231</v>
      </c>
      <c r="G121" s="6">
        <f>65700000</f>
        <v>65700000</v>
      </c>
      <c r="H121" s="134">
        <f t="shared" si="54"/>
        <v>30</v>
      </c>
      <c r="I121" s="134">
        <f t="shared" si="55"/>
        <v>6.1303325495465231</v>
      </c>
      <c r="J121" s="6">
        <f t="shared" si="56"/>
        <v>-153300000</v>
      </c>
      <c r="K121" s="6"/>
      <c r="L121" s="1"/>
      <c r="M121" s="1"/>
    </row>
    <row r="122" spans="1:13" x14ac:dyDescent="0.25">
      <c r="A122" s="315" t="s">
        <v>108</v>
      </c>
      <c r="B122" s="315" t="s">
        <v>109</v>
      </c>
      <c r="C122" s="250">
        <v>1200000</v>
      </c>
      <c r="D122" s="279">
        <f>C122/C105*100</f>
        <v>0.11196954428395475</v>
      </c>
      <c r="E122" s="134">
        <f t="shared" si="52"/>
        <v>0</v>
      </c>
      <c r="F122" s="134">
        <f t="shared" si="53"/>
        <v>0</v>
      </c>
      <c r="G122" s="6">
        <v>0</v>
      </c>
      <c r="H122" s="134">
        <f t="shared" si="54"/>
        <v>0</v>
      </c>
      <c r="I122" s="134">
        <f t="shared" si="55"/>
        <v>0</v>
      </c>
      <c r="J122" s="6">
        <f t="shared" si="56"/>
        <v>-1200000</v>
      </c>
      <c r="K122" s="6"/>
      <c r="L122" s="1"/>
      <c r="M122" s="1"/>
    </row>
    <row r="123" spans="1:13" x14ac:dyDescent="0.25">
      <c r="A123" s="83" t="s">
        <v>162</v>
      </c>
      <c r="B123" s="315" t="s">
        <v>515</v>
      </c>
      <c r="C123" s="250">
        <v>3000000</v>
      </c>
      <c r="D123" s="279">
        <f>C123/C105*100</f>
        <v>0.2799238607098869</v>
      </c>
      <c r="E123" s="134">
        <f t="shared" si="52"/>
        <v>0</v>
      </c>
      <c r="F123" s="134">
        <f t="shared" si="53"/>
        <v>0</v>
      </c>
      <c r="G123" s="6">
        <v>0</v>
      </c>
      <c r="H123" s="134">
        <f t="shared" si="54"/>
        <v>0</v>
      </c>
      <c r="I123" s="134">
        <f t="shared" si="55"/>
        <v>0</v>
      </c>
      <c r="J123" s="6">
        <f t="shared" si="56"/>
        <v>-3000000</v>
      </c>
      <c r="K123" s="6"/>
      <c r="L123" s="1"/>
      <c r="M123" s="1"/>
    </row>
    <row r="124" spans="1:13" ht="25.5" x14ac:dyDescent="0.25">
      <c r="A124" s="315" t="s">
        <v>116</v>
      </c>
      <c r="B124" s="316" t="s">
        <v>516</v>
      </c>
      <c r="C124" s="250">
        <v>7603000</v>
      </c>
      <c r="D124" s="279">
        <f>C124/C105*100</f>
        <v>0.70942037099242339</v>
      </c>
      <c r="E124" s="134">
        <f t="shared" si="52"/>
        <v>0</v>
      </c>
      <c r="F124" s="134">
        <f t="shared" si="53"/>
        <v>0</v>
      </c>
      <c r="G124" s="6">
        <v>0</v>
      </c>
      <c r="H124" s="134">
        <f t="shared" si="54"/>
        <v>0</v>
      </c>
      <c r="I124" s="134">
        <f t="shared" si="55"/>
        <v>0</v>
      </c>
      <c r="J124" s="6">
        <f t="shared" si="56"/>
        <v>-7603000</v>
      </c>
      <c r="K124" s="6"/>
      <c r="L124" s="1"/>
      <c r="M124" s="1"/>
    </row>
    <row r="125" spans="1:13" x14ac:dyDescent="0.25">
      <c r="A125" s="228" t="s">
        <v>65</v>
      </c>
      <c r="B125" s="315" t="s">
        <v>393</v>
      </c>
      <c r="C125" s="251">
        <v>43666000</v>
      </c>
      <c r="D125" s="279">
        <f>C125/C106*100</f>
        <v>4.0743851005859737</v>
      </c>
      <c r="E125" s="134">
        <f t="shared" si="52"/>
        <v>7.3146154903128284</v>
      </c>
      <c r="F125" s="134">
        <f t="shared" si="53"/>
        <v>0.29802560370245956</v>
      </c>
      <c r="G125" s="6">
        <v>3194000</v>
      </c>
      <c r="H125" s="134">
        <f t="shared" si="54"/>
        <v>7.3146154903128284</v>
      </c>
      <c r="I125" s="134">
        <f t="shared" si="55"/>
        <v>0.29802560370245956</v>
      </c>
      <c r="J125" s="6">
        <f t="shared" si="56"/>
        <v>-40472000</v>
      </c>
      <c r="K125" s="6"/>
    </row>
    <row r="126" spans="1:13" x14ac:dyDescent="0.25">
      <c r="A126" s="228" t="s">
        <v>66</v>
      </c>
      <c r="B126" s="315" t="s">
        <v>120</v>
      </c>
      <c r="C126" s="251">
        <v>38885000</v>
      </c>
      <c r="D126" s="279">
        <f>C126/C107*100</f>
        <v>73.340248962655593</v>
      </c>
      <c r="E126" s="134">
        <f t="shared" si="52"/>
        <v>70.875658994470882</v>
      </c>
      <c r="F126" s="134">
        <f t="shared" si="53"/>
        <v>51.98038476046775</v>
      </c>
      <c r="G126" s="6">
        <f>25760000+1800000</f>
        <v>27560000</v>
      </c>
      <c r="H126" s="134">
        <v>0</v>
      </c>
      <c r="I126" s="134">
        <v>0</v>
      </c>
      <c r="J126" s="6">
        <f t="shared" si="56"/>
        <v>-11325000</v>
      </c>
      <c r="K126" s="6"/>
    </row>
    <row r="127" spans="1:13" x14ac:dyDescent="0.25">
      <c r="A127" s="315" t="s">
        <v>287</v>
      </c>
      <c r="B127" s="315" t="s">
        <v>191</v>
      </c>
      <c r="C127" s="250">
        <v>15000000</v>
      </c>
      <c r="D127" s="279">
        <f>C127/C105*100</f>
        <v>1.3996193035494346</v>
      </c>
      <c r="E127" s="134">
        <f t="shared" si="52"/>
        <v>0</v>
      </c>
      <c r="F127" s="134">
        <f t="shared" si="53"/>
        <v>0</v>
      </c>
      <c r="G127" s="6">
        <v>0</v>
      </c>
      <c r="H127" s="134">
        <f t="shared" si="54"/>
        <v>0</v>
      </c>
      <c r="I127" s="134">
        <f t="shared" si="55"/>
        <v>0</v>
      </c>
      <c r="J127" s="6">
        <f t="shared" si="56"/>
        <v>-15000000</v>
      </c>
      <c r="K127" s="6"/>
    </row>
    <row r="128" spans="1:13" x14ac:dyDescent="0.25">
      <c r="A128" s="803" t="s">
        <v>520</v>
      </c>
      <c r="B128" s="315" t="s">
        <v>517</v>
      </c>
      <c r="C128" s="250">
        <v>29750000</v>
      </c>
      <c r="D128" s="279"/>
      <c r="E128" s="134"/>
      <c r="F128" s="134"/>
      <c r="G128" s="6">
        <f>29750000</f>
        <v>29750000</v>
      </c>
      <c r="H128" s="134"/>
      <c r="I128" s="134"/>
      <c r="J128" s="6">
        <f t="shared" si="56"/>
        <v>0</v>
      </c>
      <c r="K128" s="6"/>
    </row>
    <row r="129" spans="1:15" x14ac:dyDescent="0.25">
      <c r="A129" s="1066" t="s">
        <v>95</v>
      </c>
      <c r="B129" s="1067"/>
      <c r="C129" s="1068"/>
      <c r="D129" s="277"/>
      <c r="E129" s="134"/>
      <c r="F129" s="134"/>
      <c r="G129" s="26">
        <f>SUM(G107:G128)</f>
        <v>442823600</v>
      </c>
      <c r="H129" s="134"/>
      <c r="I129" s="134"/>
      <c r="J129" s="734"/>
      <c r="K129" s="26">
        <v>0</v>
      </c>
    </row>
    <row r="130" spans="1:15" x14ac:dyDescent="0.25">
      <c r="A130" s="52"/>
      <c r="B130" s="8"/>
      <c r="C130" s="52"/>
      <c r="D130" s="27"/>
      <c r="E130" s="28"/>
      <c r="F130" s="23"/>
      <c r="G130" s="11"/>
      <c r="H130" s="23"/>
      <c r="I130" s="23"/>
      <c r="J130" s="9"/>
      <c r="K130" s="9"/>
    </row>
    <row r="131" spans="1:15" x14ac:dyDescent="0.25">
      <c r="A131" s="50"/>
      <c r="B131" s="5"/>
      <c r="C131" s="50"/>
      <c r="D131" s="9"/>
      <c r="E131" s="23"/>
      <c r="F131" s="23"/>
      <c r="G131" s="11"/>
      <c r="H131" s="23"/>
      <c r="I131" s="23"/>
      <c r="J131" s="9"/>
      <c r="K131" s="9"/>
    </row>
    <row r="132" spans="1:15" x14ac:dyDescent="0.25">
      <c r="A132" s="1069" t="s">
        <v>2</v>
      </c>
      <c r="B132" s="1069" t="s">
        <v>123</v>
      </c>
      <c r="C132" s="866"/>
      <c r="D132" s="1063" t="s">
        <v>5</v>
      </c>
      <c r="E132" s="1064"/>
      <c r="F132" s="1064"/>
      <c r="G132" s="1065" t="s">
        <v>6</v>
      </c>
      <c r="H132" s="1064"/>
      <c r="I132" s="1064"/>
      <c r="J132" s="1056" t="s">
        <v>7</v>
      </c>
      <c r="K132" s="1056" t="s">
        <v>8</v>
      </c>
    </row>
    <row r="133" spans="1:15" x14ac:dyDescent="0.25">
      <c r="A133" s="1070"/>
      <c r="B133" s="1070"/>
      <c r="C133" s="867" t="s">
        <v>124</v>
      </c>
      <c r="D133" s="89" t="s">
        <v>9</v>
      </c>
      <c r="E133" s="90" t="s">
        <v>10</v>
      </c>
      <c r="F133" s="90" t="s">
        <v>11</v>
      </c>
      <c r="G133" s="91" t="s">
        <v>12</v>
      </c>
      <c r="H133" s="90" t="s">
        <v>13</v>
      </c>
      <c r="I133" s="90" t="s">
        <v>11</v>
      </c>
      <c r="J133" s="1057"/>
      <c r="K133" s="1057"/>
      <c r="O133" s="713"/>
    </row>
    <row r="134" spans="1:15" x14ac:dyDescent="0.25">
      <c r="A134" s="1071"/>
      <c r="B134" s="1071"/>
      <c r="C134" s="867"/>
      <c r="D134" s="92" t="s">
        <v>14</v>
      </c>
      <c r="E134" s="93" t="s">
        <v>14</v>
      </c>
      <c r="F134" s="93" t="s">
        <v>14</v>
      </c>
      <c r="G134" s="94" t="s">
        <v>15</v>
      </c>
      <c r="H134" s="93" t="s">
        <v>14</v>
      </c>
      <c r="I134" s="93" t="s">
        <v>14</v>
      </c>
      <c r="J134" s="92" t="s">
        <v>15</v>
      </c>
      <c r="K134" s="1058"/>
    </row>
    <row r="135" spans="1:15" ht="25.5" x14ac:dyDescent="0.25">
      <c r="A135" s="139" t="s">
        <v>180</v>
      </c>
      <c r="B135" s="696" t="s">
        <v>379</v>
      </c>
      <c r="C135" s="58"/>
      <c r="D135" s="38"/>
      <c r="E135" s="134"/>
      <c r="F135" s="134"/>
      <c r="G135" s="135"/>
      <c r="H135" s="134"/>
      <c r="I135" s="134"/>
      <c r="J135" s="38"/>
      <c r="K135" s="10"/>
    </row>
    <row r="136" spans="1:15" ht="25.5" x14ac:dyDescent="0.25">
      <c r="A136" s="176" t="s">
        <v>181</v>
      </c>
      <c r="B136" s="697" t="s">
        <v>380</v>
      </c>
      <c r="C136" s="86">
        <f>SUM(C137:C149)</f>
        <v>185000000</v>
      </c>
      <c r="D136" s="179"/>
      <c r="E136" s="180"/>
      <c r="F136" s="180"/>
      <c r="G136" s="181"/>
      <c r="H136" s="180"/>
      <c r="I136" s="180"/>
      <c r="J136" s="179"/>
      <c r="K136" s="167"/>
    </row>
    <row r="137" spans="1:15" ht="25.5" x14ac:dyDescent="0.25">
      <c r="A137" s="170" t="s">
        <v>44</v>
      </c>
      <c r="B137" s="707" t="s">
        <v>384</v>
      </c>
      <c r="C137" s="58">
        <v>8580000</v>
      </c>
      <c r="D137" s="180">
        <f>C137/C136*100</f>
        <v>4.6378378378378375</v>
      </c>
      <c r="E137" s="134">
        <f t="shared" ref="E137:E144" si="57">G137/C137*100</f>
        <v>89.16083916083916</v>
      </c>
      <c r="F137" s="134">
        <f t="shared" ref="F137:F144" si="58">(D137*E137)/100</f>
        <v>4.1351351351351351</v>
      </c>
      <c r="G137" s="181">
        <f>7650000</f>
        <v>7650000</v>
      </c>
      <c r="H137" s="134">
        <f t="shared" ref="H137:H144" si="59">G137/C137*100</f>
        <v>89.16083916083916</v>
      </c>
      <c r="I137" s="134">
        <f t="shared" ref="I137:I144" si="60">(D137*H137)/100</f>
        <v>4.1351351351351351</v>
      </c>
      <c r="J137" s="6">
        <f t="shared" ref="J137:J149" si="61">G137-C137</f>
        <v>-930000</v>
      </c>
      <c r="K137" s="167"/>
    </row>
    <row r="138" spans="1:15" x14ac:dyDescent="0.25">
      <c r="A138" s="170" t="s">
        <v>59</v>
      </c>
      <c r="B138" s="707" t="s">
        <v>197</v>
      </c>
      <c r="C138" s="58">
        <v>13390000</v>
      </c>
      <c r="D138" s="180">
        <f>C138/C136*100</f>
        <v>7.2378378378378381</v>
      </c>
      <c r="E138" s="134">
        <f t="shared" si="57"/>
        <v>66.691560866318142</v>
      </c>
      <c r="F138" s="134">
        <f t="shared" si="58"/>
        <v>4.8270270270270261</v>
      </c>
      <c r="G138" s="181">
        <f>8930000</f>
        <v>8930000</v>
      </c>
      <c r="H138" s="134">
        <f t="shared" si="59"/>
        <v>66.691560866318142</v>
      </c>
      <c r="I138" s="134">
        <f t="shared" si="60"/>
        <v>4.8270270270270261</v>
      </c>
      <c r="J138" s="6">
        <f t="shared" si="61"/>
        <v>-4460000</v>
      </c>
      <c r="K138" s="167"/>
    </row>
    <row r="139" spans="1:15" x14ac:dyDescent="0.25">
      <c r="A139" s="170" t="s">
        <v>62</v>
      </c>
      <c r="B139" s="707" t="s">
        <v>334</v>
      </c>
      <c r="C139" s="58">
        <v>8840000</v>
      </c>
      <c r="D139" s="180">
        <v>2.34</v>
      </c>
      <c r="E139" s="134">
        <f t="shared" si="57"/>
        <v>54.751131221719461</v>
      </c>
      <c r="F139" s="134">
        <f t="shared" si="58"/>
        <v>1.2811764705882354</v>
      </c>
      <c r="G139" s="181">
        <f>4840000</f>
        <v>4840000</v>
      </c>
      <c r="H139" s="134">
        <f t="shared" si="59"/>
        <v>54.751131221719461</v>
      </c>
      <c r="I139" s="134">
        <f t="shared" si="60"/>
        <v>1.2811764705882354</v>
      </c>
      <c r="J139" s="6">
        <f t="shared" si="61"/>
        <v>-4000000</v>
      </c>
      <c r="K139" s="167"/>
    </row>
    <row r="140" spans="1:15" ht="25.5" x14ac:dyDescent="0.25">
      <c r="A140" s="170" t="s">
        <v>193</v>
      </c>
      <c r="B140" s="316" t="s">
        <v>372</v>
      </c>
      <c r="C140" s="58">
        <v>6300000</v>
      </c>
      <c r="D140" s="180"/>
      <c r="E140" s="134"/>
      <c r="F140" s="134"/>
      <c r="G140" s="181">
        <f>6300000</f>
        <v>6300000</v>
      </c>
      <c r="H140" s="134"/>
      <c r="I140" s="134"/>
      <c r="J140" s="6">
        <f t="shared" si="61"/>
        <v>0</v>
      </c>
      <c r="K140" s="167"/>
    </row>
    <row r="141" spans="1:15" x14ac:dyDescent="0.25">
      <c r="A141" s="170" t="s">
        <v>148</v>
      </c>
      <c r="B141" s="133" t="s">
        <v>531</v>
      </c>
      <c r="C141" s="58">
        <v>10000000</v>
      </c>
      <c r="D141" s="180"/>
      <c r="E141" s="134"/>
      <c r="F141" s="134"/>
      <c r="G141" s="181">
        <f>10000000</f>
        <v>10000000</v>
      </c>
      <c r="H141" s="134"/>
      <c r="I141" s="134"/>
      <c r="J141" s="6">
        <f t="shared" si="61"/>
        <v>0</v>
      </c>
      <c r="K141" s="167"/>
    </row>
    <row r="142" spans="1:15" x14ac:dyDescent="0.25">
      <c r="A142" s="170" t="s">
        <v>77</v>
      </c>
      <c r="B142" s="170" t="s">
        <v>127</v>
      </c>
      <c r="C142" s="58">
        <v>67741000</v>
      </c>
      <c r="D142" s="180">
        <f>C142/C136*100</f>
        <v>36.616756756756757</v>
      </c>
      <c r="E142" s="134">
        <f t="shared" si="57"/>
        <v>33.871658227661236</v>
      </c>
      <c r="F142" s="134">
        <f t="shared" si="58"/>
        <v>12.402702702702703</v>
      </c>
      <c r="G142" s="181">
        <f>22945000</f>
        <v>22945000</v>
      </c>
      <c r="H142" s="134">
        <f t="shared" si="59"/>
        <v>33.871658227661236</v>
      </c>
      <c r="I142" s="134">
        <f t="shared" si="60"/>
        <v>12.402702702702703</v>
      </c>
      <c r="J142" s="6">
        <f t="shared" si="61"/>
        <v>-44796000</v>
      </c>
      <c r="K142" s="167"/>
    </row>
    <row r="143" spans="1:15" x14ac:dyDescent="0.25">
      <c r="A143" s="170" t="s">
        <v>183</v>
      </c>
      <c r="B143" s="170" t="s">
        <v>178</v>
      </c>
      <c r="C143" s="58">
        <v>12000000</v>
      </c>
      <c r="D143" s="180">
        <f>C143/C136*100</f>
        <v>6.4864864864864868</v>
      </c>
      <c r="E143" s="134">
        <f t="shared" si="57"/>
        <v>58.333333333333336</v>
      </c>
      <c r="F143" s="134">
        <f t="shared" si="58"/>
        <v>3.7837837837837842</v>
      </c>
      <c r="G143" s="181">
        <f>7000000</f>
        <v>7000000</v>
      </c>
      <c r="H143" s="134">
        <f t="shared" si="59"/>
        <v>58.333333333333336</v>
      </c>
      <c r="I143" s="134">
        <f t="shared" si="60"/>
        <v>3.7837837837837842</v>
      </c>
      <c r="J143" s="6">
        <f t="shared" si="61"/>
        <v>-5000000</v>
      </c>
      <c r="K143" s="167"/>
    </row>
    <row r="144" spans="1:15" x14ac:dyDescent="0.25">
      <c r="A144" s="170" t="s">
        <v>104</v>
      </c>
      <c r="B144" s="170" t="s">
        <v>182</v>
      </c>
      <c r="C144" s="58">
        <v>23200000</v>
      </c>
      <c r="D144" s="180">
        <f>C144/C136*100</f>
        <v>12.54054054054054</v>
      </c>
      <c r="E144" s="134">
        <f t="shared" si="57"/>
        <v>48.275862068965516</v>
      </c>
      <c r="F144" s="134">
        <f t="shared" si="58"/>
        <v>6.0540540540540544</v>
      </c>
      <c r="G144" s="181">
        <f>11200000</f>
        <v>11200000</v>
      </c>
      <c r="H144" s="134">
        <f t="shared" si="59"/>
        <v>48.275862068965516</v>
      </c>
      <c r="I144" s="134">
        <f t="shared" si="60"/>
        <v>6.0540540540540544</v>
      </c>
      <c r="J144" s="6">
        <f t="shared" si="61"/>
        <v>-12000000</v>
      </c>
      <c r="K144" s="167"/>
    </row>
    <row r="145" spans="1:14" ht="25.5" x14ac:dyDescent="0.25">
      <c r="A145" s="170" t="s">
        <v>106</v>
      </c>
      <c r="B145" s="316" t="s">
        <v>107</v>
      </c>
      <c r="C145" s="58">
        <v>22200000</v>
      </c>
      <c r="D145" s="180"/>
      <c r="E145" s="134"/>
      <c r="F145" s="134"/>
      <c r="G145" s="181">
        <f>17400000</f>
        <v>17400000</v>
      </c>
      <c r="H145" s="134"/>
      <c r="I145" s="134"/>
      <c r="J145" s="6">
        <f t="shared" si="61"/>
        <v>-4800000</v>
      </c>
      <c r="K145" s="167"/>
    </row>
    <row r="146" spans="1:14" x14ac:dyDescent="0.25">
      <c r="A146" s="170" t="s">
        <v>162</v>
      </c>
      <c r="B146" s="315" t="s">
        <v>515</v>
      </c>
      <c r="C146" s="58">
        <v>2000000</v>
      </c>
      <c r="D146" s="180"/>
      <c r="E146" s="134"/>
      <c r="F146" s="134"/>
      <c r="G146" s="181">
        <f>2000000</f>
        <v>2000000</v>
      </c>
      <c r="H146" s="134"/>
      <c r="I146" s="134"/>
      <c r="J146" s="6">
        <f t="shared" si="61"/>
        <v>0</v>
      </c>
      <c r="K146" s="167"/>
    </row>
    <row r="147" spans="1:14" x14ac:dyDescent="0.25">
      <c r="A147" s="170" t="s">
        <v>521</v>
      </c>
      <c r="B147" s="316" t="s">
        <v>526</v>
      </c>
      <c r="C147" s="58">
        <v>1000000</v>
      </c>
      <c r="D147" s="180"/>
      <c r="E147" s="134"/>
      <c r="F147" s="134"/>
      <c r="G147" s="181">
        <f>1000000</f>
        <v>1000000</v>
      </c>
      <c r="H147" s="134"/>
      <c r="I147" s="134"/>
      <c r="J147" s="6">
        <f t="shared" si="61"/>
        <v>0</v>
      </c>
      <c r="K147" s="167"/>
    </row>
    <row r="148" spans="1:14" ht="25.5" x14ac:dyDescent="0.25">
      <c r="A148" s="747" t="s">
        <v>116</v>
      </c>
      <c r="B148" s="316" t="s">
        <v>420</v>
      </c>
      <c r="C148" s="58">
        <v>2749000</v>
      </c>
      <c r="D148" s="180"/>
      <c r="E148" s="134"/>
      <c r="F148" s="134"/>
      <c r="G148" s="181">
        <f>2749000</f>
        <v>2749000</v>
      </c>
      <c r="H148" s="134"/>
      <c r="I148" s="134"/>
      <c r="J148" s="6">
        <f t="shared" si="61"/>
        <v>0</v>
      </c>
      <c r="K148" s="167"/>
    </row>
    <row r="149" spans="1:14" x14ac:dyDescent="0.25">
      <c r="A149" s="747" t="s">
        <v>65</v>
      </c>
      <c r="B149" s="315" t="s">
        <v>393</v>
      </c>
      <c r="C149" s="58">
        <v>7000000</v>
      </c>
      <c r="D149" s="180"/>
      <c r="E149" s="134"/>
      <c r="F149" s="134"/>
      <c r="G149" s="181">
        <v>0</v>
      </c>
      <c r="H149" s="134"/>
      <c r="I149" s="134"/>
      <c r="J149" s="6">
        <f t="shared" si="61"/>
        <v>-7000000</v>
      </c>
      <c r="K149" s="167"/>
    </row>
    <row r="150" spans="1:14" x14ac:dyDescent="0.25">
      <c r="A150" s="1059" t="s">
        <v>128</v>
      </c>
      <c r="B150" s="1060"/>
      <c r="C150" s="60">
        <f>SUM(C137:C149)</f>
        <v>185000000</v>
      </c>
      <c r="D150" s="276">
        <f>SUM(D137:D147)</f>
        <v>69.859459459459458</v>
      </c>
      <c r="E150" s="134"/>
      <c r="F150" s="134"/>
      <c r="G150" s="837">
        <f>SUM(G137:G149)</f>
        <v>102014000</v>
      </c>
      <c r="H150" s="134"/>
      <c r="I150" s="134"/>
      <c r="J150" s="56">
        <v>0</v>
      </c>
      <c r="K150" s="3"/>
    </row>
    <row r="151" spans="1:14" x14ac:dyDescent="0.25">
      <c r="A151" s="54"/>
      <c r="B151" s="54"/>
      <c r="C151" s="59"/>
      <c r="D151" s="182"/>
      <c r="E151" s="183"/>
      <c r="F151" s="183"/>
      <c r="G151" s="184"/>
      <c r="H151" s="183"/>
      <c r="I151" s="183"/>
      <c r="J151" s="185"/>
      <c r="K151" s="37"/>
    </row>
    <row r="152" spans="1:14" ht="31.5" x14ac:dyDescent="0.25">
      <c r="A152" s="55"/>
      <c r="B152" s="46" t="s">
        <v>145</v>
      </c>
      <c r="C152" s="155"/>
      <c r="D152" s="44"/>
      <c r="E152" s="45"/>
      <c r="F152" s="45"/>
      <c r="G152" s="48"/>
      <c r="H152" s="45"/>
      <c r="I152" s="45"/>
      <c r="J152" s="44"/>
      <c r="K152" s="44"/>
      <c r="L152" s="1"/>
      <c r="M152" s="1"/>
      <c r="N152" s="1"/>
    </row>
    <row r="153" spans="1:14" x14ac:dyDescent="0.25">
      <c r="A153" s="1061" t="s">
        <v>2</v>
      </c>
      <c r="B153" s="1062" t="s">
        <v>176</v>
      </c>
      <c r="C153" s="1061" t="s">
        <v>4</v>
      </c>
      <c r="D153" s="1063" t="s">
        <v>5</v>
      </c>
      <c r="E153" s="1064"/>
      <c r="F153" s="1064"/>
      <c r="G153" s="1065" t="s">
        <v>6</v>
      </c>
      <c r="H153" s="1064"/>
      <c r="I153" s="1064"/>
      <c r="J153" s="1061" t="s">
        <v>7</v>
      </c>
      <c r="K153" s="281" t="s">
        <v>8</v>
      </c>
      <c r="L153" s="1"/>
      <c r="M153" s="1"/>
      <c r="N153" s="1"/>
    </row>
    <row r="154" spans="1:14" x14ac:dyDescent="0.25">
      <c r="A154" s="1061"/>
      <c r="B154" s="1062"/>
      <c r="C154" s="1061"/>
      <c r="D154" s="281" t="s">
        <v>9</v>
      </c>
      <c r="E154" s="292" t="s">
        <v>10</v>
      </c>
      <c r="F154" s="292" t="s">
        <v>11</v>
      </c>
      <c r="G154" s="293" t="s">
        <v>12</v>
      </c>
      <c r="H154" s="292" t="s">
        <v>13</v>
      </c>
      <c r="I154" s="292" t="s">
        <v>11</v>
      </c>
      <c r="J154" s="1056"/>
      <c r="K154" s="89"/>
    </row>
    <row r="155" spans="1:14" x14ac:dyDescent="0.25">
      <c r="A155" s="1061"/>
      <c r="B155" s="1062"/>
      <c r="C155" s="1061"/>
      <c r="D155" s="92" t="s">
        <v>14</v>
      </c>
      <c r="E155" s="93" t="s">
        <v>14</v>
      </c>
      <c r="F155" s="93" t="s">
        <v>14</v>
      </c>
      <c r="G155" s="94" t="s">
        <v>15</v>
      </c>
      <c r="H155" s="93" t="s">
        <v>14</v>
      </c>
      <c r="I155" s="93" t="s">
        <v>14</v>
      </c>
      <c r="J155" s="92" t="s">
        <v>15</v>
      </c>
      <c r="K155" s="92"/>
    </row>
    <row r="156" spans="1:14" x14ac:dyDescent="0.25">
      <c r="A156" s="79" t="s">
        <v>185</v>
      </c>
      <c r="B156" s="199" t="s">
        <v>146</v>
      </c>
      <c r="C156" s="24"/>
      <c r="D156" s="10"/>
      <c r="E156" s="34"/>
      <c r="F156" s="34"/>
      <c r="G156" s="6"/>
      <c r="H156" s="34"/>
      <c r="I156" s="34"/>
      <c r="J156" s="10"/>
      <c r="K156" s="10"/>
    </row>
    <row r="157" spans="1:14" x14ac:dyDescent="0.25">
      <c r="A157" s="125" t="s">
        <v>184</v>
      </c>
      <c r="B157" s="280" t="s">
        <v>147</v>
      </c>
      <c r="C157" s="252">
        <f>SUM(C158:C159)</f>
        <v>2975640000</v>
      </c>
      <c r="D157" s="10"/>
      <c r="E157" s="34"/>
      <c r="F157" s="34"/>
      <c r="G157" s="6"/>
      <c r="H157" s="34"/>
      <c r="I157" s="34"/>
      <c r="J157" s="10"/>
      <c r="K157" s="10"/>
    </row>
    <row r="158" spans="1:14" ht="25.5" x14ac:dyDescent="0.25">
      <c r="A158" s="154" t="s">
        <v>44</v>
      </c>
      <c r="B158" s="707" t="s">
        <v>384</v>
      </c>
      <c r="C158" s="253">
        <v>35640000</v>
      </c>
      <c r="D158" s="134">
        <f>C158/C157*100</f>
        <v>1.1977255313142718</v>
      </c>
      <c r="E158" s="134">
        <f t="shared" ref="E158:E159" si="62">G158/C158*100</f>
        <v>33.333333333333329</v>
      </c>
      <c r="F158" s="134">
        <f t="shared" ref="F158:F159" si="63">(D158*E158)/100</f>
        <v>0.39924184377142391</v>
      </c>
      <c r="G158" s="181">
        <f>11880000</f>
        <v>11880000</v>
      </c>
      <c r="H158" s="134">
        <f t="shared" ref="H158:H159" si="64">G158/C158*100</f>
        <v>33.333333333333329</v>
      </c>
      <c r="I158" s="134">
        <f t="shared" ref="I158:I159" si="65">(D158*H158)/100</f>
        <v>0.39924184377142391</v>
      </c>
      <c r="J158" s="6">
        <f t="shared" ref="J158:J159" si="66">G158-C158</f>
        <v>-23760000</v>
      </c>
      <c r="K158" s="10"/>
    </row>
    <row r="159" spans="1:14" x14ac:dyDescent="0.25">
      <c r="A159" s="124" t="s">
        <v>148</v>
      </c>
      <c r="B159" s="133" t="s">
        <v>531</v>
      </c>
      <c r="C159" s="253">
        <v>2940000000</v>
      </c>
      <c r="D159" s="134">
        <f>C159/C157*100</f>
        <v>98.802274468685724</v>
      </c>
      <c r="E159" s="134">
        <f t="shared" si="62"/>
        <v>30.307993197278911</v>
      </c>
      <c r="F159" s="134">
        <f t="shared" si="63"/>
        <v>29.944986624726106</v>
      </c>
      <c r="G159" s="181">
        <f>891055000</f>
        <v>891055000</v>
      </c>
      <c r="H159" s="134">
        <f t="shared" si="64"/>
        <v>30.307993197278911</v>
      </c>
      <c r="I159" s="134">
        <f t="shared" si="65"/>
        <v>29.944986624726106</v>
      </c>
      <c r="J159" s="6">
        <f t="shared" si="66"/>
        <v>-2048945000</v>
      </c>
      <c r="K159" s="10"/>
    </row>
    <row r="160" spans="1:14" x14ac:dyDescent="0.25">
      <c r="A160" s="70"/>
      <c r="B160" s="129" t="s">
        <v>95</v>
      </c>
      <c r="C160" s="807">
        <f>SUM(C158:C159)</f>
        <v>2975640000</v>
      </c>
      <c r="D160" s="271">
        <f>SUM(D158:D159)</f>
        <v>100</v>
      </c>
      <c r="E160" s="134"/>
      <c r="F160" s="134"/>
      <c r="G160" s="181">
        <f>SUM(G158:G159)</f>
        <v>902935000</v>
      </c>
      <c r="H160" s="134"/>
      <c r="I160" s="134"/>
      <c r="J160" s="734"/>
      <c r="K160" s="130"/>
    </row>
    <row r="161" spans="1:11" x14ac:dyDescent="0.25">
      <c r="A161" s="54"/>
      <c r="B161" s="2"/>
      <c r="C161" s="59"/>
      <c r="D161" s="29"/>
      <c r="E161" s="31"/>
      <c r="F161" s="31"/>
      <c r="G161" s="36"/>
      <c r="H161" s="31"/>
      <c r="I161" s="31"/>
      <c r="J161" s="15"/>
      <c r="K161" s="37"/>
    </row>
    <row r="162" spans="1:11" x14ac:dyDescent="0.25">
      <c r="A162" s="50"/>
      <c r="B162" s="5"/>
      <c r="C162" s="50"/>
      <c r="D162" s="29"/>
      <c r="E162" s="30"/>
      <c r="F162" s="31"/>
      <c r="G162" s="36"/>
      <c r="H162" s="32"/>
      <c r="I162" s="31"/>
      <c r="J162" s="36"/>
      <c r="K162" s="37"/>
    </row>
    <row r="163" spans="1:11" x14ac:dyDescent="0.25">
      <c r="A163" s="1061" t="s">
        <v>2</v>
      </c>
      <c r="B163" s="1062" t="s">
        <v>176</v>
      </c>
      <c r="C163" s="1061" t="s">
        <v>4</v>
      </c>
      <c r="D163" s="1063" t="s">
        <v>5</v>
      </c>
      <c r="E163" s="1064"/>
      <c r="F163" s="1064"/>
      <c r="G163" s="1065" t="s">
        <v>6</v>
      </c>
      <c r="H163" s="1064"/>
      <c r="I163" s="1064"/>
      <c r="J163" s="1061" t="s">
        <v>7</v>
      </c>
      <c r="K163" s="281" t="s">
        <v>8</v>
      </c>
    </row>
    <row r="164" spans="1:11" x14ac:dyDescent="0.25">
      <c r="A164" s="1061"/>
      <c r="B164" s="1062"/>
      <c r="C164" s="1061"/>
      <c r="D164" s="281" t="s">
        <v>9</v>
      </c>
      <c r="E164" s="292" t="s">
        <v>10</v>
      </c>
      <c r="F164" s="292" t="s">
        <v>11</v>
      </c>
      <c r="G164" s="293" t="s">
        <v>12</v>
      </c>
      <c r="H164" s="292" t="s">
        <v>13</v>
      </c>
      <c r="I164" s="292" t="s">
        <v>11</v>
      </c>
      <c r="J164" s="1056"/>
      <c r="K164" s="89"/>
    </row>
    <row r="165" spans="1:11" x14ac:dyDescent="0.25">
      <c r="A165" s="1061"/>
      <c r="B165" s="1062"/>
      <c r="C165" s="1061"/>
      <c r="D165" s="92" t="s">
        <v>14</v>
      </c>
      <c r="E165" s="93" t="s">
        <v>14</v>
      </c>
      <c r="F165" s="93" t="s">
        <v>14</v>
      </c>
      <c r="G165" s="94" t="s">
        <v>15</v>
      </c>
      <c r="H165" s="93" t="s">
        <v>14</v>
      </c>
      <c r="I165" s="93" t="s">
        <v>14</v>
      </c>
      <c r="J165" s="92" t="s">
        <v>15</v>
      </c>
      <c r="K165" s="92"/>
    </row>
    <row r="166" spans="1:11" x14ac:dyDescent="0.25">
      <c r="A166" s="79" t="s">
        <v>185</v>
      </c>
      <c r="B166" s="199" t="s">
        <v>146</v>
      </c>
      <c r="C166" s="153"/>
      <c r="D166" s="150"/>
      <c r="E166" s="151"/>
      <c r="F166" s="151"/>
      <c r="G166" s="152"/>
      <c r="H166" s="151"/>
      <c r="I166" s="151"/>
      <c r="J166" s="150"/>
      <c r="K166" s="150"/>
    </row>
    <row r="167" spans="1:11" x14ac:dyDescent="0.25">
      <c r="A167" s="125" t="s">
        <v>184</v>
      </c>
      <c r="B167" s="280" t="s">
        <v>150</v>
      </c>
      <c r="C167" s="254">
        <f>SUM(C168:C171)</f>
        <v>1803960912</v>
      </c>
      <c r="D167" s="10"/>
      <c r="E167" s="34"/>
      <c r="F167" s="34"/>
      <c r="G167" s="6"/>
      <c r="H167" s="34"/>
      <c r="I167" s="34"/>
      <c r="J167" s="10"/>
      <c r="K167" s="10"/>
    </row>
    <row r="168" spans="1:11" ht="25.5" x14ac:dyDescent="0.25">
      <c r="A168" s="38" t="s">
        <v>44</v>
      </c>
      <c r="B168" s="707" t="s">
        <v>384</v>
      </c>
      <c r="C168" s="255">
        <v>30310000</v>
      </c>
      <c r="D168" s="134">
        <f>C168/C167*100</f>
        <v>1.6801916160365231</v>
      </c>
      <c r="E168" s="134">
        <f t="shared" ref="E168:E170" si="67">G168/C168*100</f>
        <v>35.499835037941274</v>
      </c>
      <c r="F168" s="134">
        <f t="shared" ref="F168:F170" si="68">(D168*E168)/100</f>
        <v>0.59646525201428535</v>
      </c>
      <c r="G168" s="181">
        <f>10760000</f>
        <v>10760000</v>
      </c>
      <c r="H168" s="134">
        <f t="shared" ref="H168:H170" si="69">G168/C168*100</f>
        <v>35.499835037941274</v>
      </c>
      <c r="I168" s="134">
        <f t="shared" ref="I168:I170" si="70">(D168*H168)/100</f>
        <v>0.59646525201428535</v>
      </c>
      <c r="J168" s="6">
        <f t="shared" ref="J168:J171" si="71">G168-C168</f>
        <v>-19550000</v>
      </c>
      <c r="K168" s="10"/>
    </row>
    <row r="169" spans="1:11" x14ac:dyDescent="0.25">
      <c r="A169" s="49" t="s">
        <v>148</v>
      </c>
      <c r="B169" s="133" t="s">
        <v>531</v>
      </c>
      <c r="C169" s="256">
        <v>1260590000</v>
      </c>
      <c r="D169" s="134">
        <f>C169/C167*100</f>
        <v>69.87900855359554</v>
      </c>
      <c r="E169" s="134">
        <f t="shared" si="67"/>
        <v>78.81692699450258</v>
      </c>
      <c r="F169" s="134">
        <f t="shared" si="68"/>
        <v>55.076487156169613</v>
      </c>
      <c r="G169" s="181">
        <f>627032300+366526000</f>
        <v>993558300</v>
      </c>
      <c r="H169" s="134">
        <f t="shared" si="69"/>
        <v>78.81692699450258</v>
      </c>
      <c r="I169" s="134">
        <f t="shared" si="70"/>
        <v>55.076487156169613</v>
      </c>
      <c r="J169" s="6">
        <f t="shared" si="71"/>
        <v>-267031700</v>
      </c>
      <c r="K169" s="10"/>
    </row>
    <row r="170" spans="1:11" s="84" customFormat="1" ht="25.5" x14ac:dyDescent="0.2">
      <c r="A170" s="49" t="s">
        <v>152</v>
      </c>
      <c r="B170" s="133" t="s">
        <v>153</v>
      </c>
      <c r="C170" s="256">
        <v>504000000</v>
      </c>
      <c r="D170" s="134">
        <f>C170/C167*100</f>
        <v>27.9385210980669</v>
      </c>
      <c r="E170" s="134">
        <f t="shared" si="67"/>
        <v>25</v>
      </c>
      <c r="F170" s="134">
        <f t="shared" si="68"/>
        <v>6.984630274516725</v>
      </c>
      <c r="G170" s="181">
        <f>126000000</f>
        <v>126000000</v>
      </c>
      <c r="H170" s="134">
        <f t="shared" si="69"/>
        <v>25</v>
      </c>
      <c r="I170" s="134">
        <f t="shared" si="70"/>
        <v>6.984630274516725</v>
      </c>
      <c r="J170" s="6">
        <f t="shared" si="71"/>
        <v>-378000000</v>
      </c>
      <c r="K170" s="38"/>
    </row>
    <row r="171" spans="1:11" s="84" customFormat="1" x14ac:dyDescent="0.2">
      <c r="A171" s="749" t="s">
        <v>234</v>
      </c>
      <c r="B171" s="133" t="s">
        <v>522</v>
      </c>
      <c r="C171" s="256">
        <v>9060912</v>
      </c>
      <c r="D171" s="804"/>
      <c r="E171" s="134"/>
      <c r="F171" s="134"/>
      <c r="G171" s="181">
        <f>9060912</f>
        <v>9060912</v>
      </c>
      <c r="H171" s="134"/>
      <c r="I171" s="134"/>
      <c r="J171" s="6">
        <f t="shared" si="71"/>
        <v>0</v>
      </c>
      <c r="K171" s="805"/>
    </row>
    <row r="172" spans="1:11" x14ac:dyDescent="0.25">
      <c r="A172" s="868"/>
      <c r="B172" s="129" t="s">
        <v>154</v>
      </c>
      <c r="C172" s="826">
        <f>SUM(C168:C171)</f>
        <v>1803960912</v>
      </c>
      <c r="D172" s="272">
        <f>SUM(D168:D170)</f>
        <v>99.497721267698964</v>
      </c>
      <c r="E172" s="134"/>
      <c r="F172" s="134"/>
      <c r="G172" s="181">
        <f>SUM(G168:G171)</f>
        <v>1139379212</v>
      </c>
      <c r="H172" s="134"/>
      <c r="I172" s="134"/>
      <c r="J172" s="734"/>
      <c r="K172" s="40"/>
    </row>
    <row r="173" spans="1:11" x14ac:dyDescent="0.25">
      <c r="A173" s="54"/>
      <c r="B173" s="54"/>
      <c r="C173" s="59"/>
      <c r="D173" s="182"/>
      <c r="E173" s="183"/>
      <c r="F173" s="183"/>
      <c r="G173" s="184"/>
      <c r="H173" s="183"/>
      <c r="I173" s="183"/>
      <c r="J173" s="185"/>
      <c r="K173" s="37"/>
    </row>
    <row r="174" spans="1:11" x14ac:dyDescent="0.25">
      <c r="A174" s="50"/>
      <c r="B174" s="5"/>
      <c r="C174" s="50"/>
      <c r="D174" s="9"/>
      <c r="E174" s="23"/>
      <c r="F174" s="23"/>
      <c r="G174" s="11"/>
      <c r="H174" s="23"/>
      <c r="I174" s="23"/>
      <c r="J174" s="9"/>
      <c r="K174" s="9"/>
    </row>
    <row r="175" spans="1:11" x14ac:dyDescent="0.25">
      <c r="A175" s="1072" t="s">
        <v>2</v>
      </c>
      <c r="B175" s="1072" t="s">
        <v>129</v>
      </c>
      <c r="C175" s="1072" t="s">
        <v>124</v>
      </c>
      <c r="D175" s="1075" t="s">
        <v>5</v>
      </c>
      <c r="E175" s="1076"/>
      <c r="F175" s="1076"/>
      <c r="G175" s="1077" t="s">
        <v>6</v>
      </c>
      <c r="H175" s="1076"/>
      <c r="I175" s="1076"/>
      <c r="J175" s="1078" t="s">
        <v>7</v>
      </c>
      <c r="K175" s="95" t="s">
        <v>8</v>
      </c>
    </row>
    <row r="176" spans="1:11" x14ac:dyDescent="0.25">
      <c r="A176" s="1073"/>
      <c r="B176" s="1073"/>
      <c r="C176" s="1073"/>
      <c r="D176" s="95" t="s">
        <v>9</v>
      </c>
      <c r="E176" s="294" t="s">
        <v>10</v>
      </c>
      <c r="F176" s="294" t="s">
        <v>11</v>
      </c>
      <c r="G176" s="96" t="s">
        <v>12</v>
      </c>
      <c r="H176" s="97" t="s">
        <v>13</v>
      </c>
      <c r="I176" s="97" t="s">
        <v>11</v>
      </c>
      <c r="J176" s="1079"/>
      <c r="K176" s="98"/>
    </row>
    <row r="177" spans="1:15" x14ac:dyDescent="0.25">
      <c r="A177" s="1074"/>
      <c r="B177" s="1074"/>
      <c r="C177" s="1074"/>
      <c r="D177" s="101" t="s">
        <v>14</v>
      </c>
      <c r="E177" s="100" t="s">
        <v>14</v>
      </c>
      <c r="F177" s="100" t="s">
        <v>14</v>
      </c>
      <c r="G177" s="99" t="s">
        <v>15</v>
      </c>
      <c r="H177" s="100" t="s">
        <v>14</v>
      </c>
      <c r="I177" s="100" t="s">
        <v>14</v>
      </c>
      <c r="J177" s="101" t="s">
        <v>15</v>
      </c>
      <c r="K177" s="101"/>
    </row>
    <row r="178" spans="1:15" ht="25.5" x14ac:dyDescent="0.25">
      <c r="A178" s="175" t="s">
        <v>180</v>
      </c>
      <c r="B178" s="696" t="s">
        <v>379</v>
      </c>
      <c r="C178" s="126"/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6" t="s">
        <v>181</v>
      </c>
      <c r="B179" s="697" t="s">
        <v>380</v>
      </c>
      <c r="C179" s="86">
        <f>SUM(C180:C195)</f>
        <v>335000000</v>
      </c>
      <c r="D179" s="121"/>
      <c r="E179" s="122"/>
      <c r="F179" s="122"/>
      <c r="G179" s="123"/>
      <c r="H179" s="122"/>
      <c r="I179" s="122"/>
      <c r="J179" s="121"/>
      <c r="K179" s="121"/>
    </row>
    <row r="180" spans="1:15" ht="25.5" x14ac:dyDescent="0.25">
      <c r="A180" s="170" t="s">
        <v>44</v>
      </c>
      <c r="B180" s="707" t="s">
        <v>384</v>
      </c>
      <c r="C180" s="58">
        <v>16310000</v>
      </c>
      <c r="D180" s="134">
        <f>C180/C179*100</f>
        <v>4.8686567164179104</v>
      </c>
      <c r="E180" s="134">
        <f t="shared" ref="E180:E192" si="72">G180/C180*100</f>
        <v>49.294911097486207</v>
      </c>
      <c r="F180" s="134">
        <f t="shared" ref="F180:F192" si="73">(D180*E180)/100</f>
        <v>2.4</v>
      </c>
      <c r="G180" s="181">
        <f>8040000</f>
        <v>8040000</v>
      </c>
      <c r="H180" s="134">
        <f t="shared" ref="H180:H192" si="74">G180/C180*100</f>
        <v>49.294911097486207</v>
      </c>
      <c r="I180" s="134">
        <f t="shared" ref="I180:I192" si="75">(D180*H180)/100</f>
        <v>2.4</v>
      </c>
      <c r="J180" s="6">
        <f t="shared" ref="J180:J195" si="76">G180-C180</f>
        <v>-8270000</v>
      </c>
      <c r="K180" s="121"/>
    </row>
    <row r="181" spans="1:15" x14ac:dyDescent="0.25">
      <c r="A181" s="170" t="s">
        <v>59</v>
      </c>
      <c r="B181" s="707" t="s">
        <v>197</v>
      </c>
      <c r="C181" s="58">
        <v>13836500</v>
      </c>
      <c r="D181" s="180">
        <f>C181/C179*100</f>
        <v>4.1302985074626868</v>
      </c>
      <c r="E181" s="134">
        <f t="shared" si="72"/>
        <v>50</v>
      </c>
      <c r="F181" s="134">
        <f t="shared" si="73"/>
        <v>2.0651492537313434</v>
      </c>
      <c r="G181" s="181">
        <f>6918250</f>
        <v>6918250</v>
      </c>
      <c r="H181" s="134">
        <f t="shared" si="74"/>
        <v>50</v>
      </c>
      <c r="I181" s="134">
        <f t="shared" si="75"/>
        <v>2.0651492537313434</v>
      </c>
      <c r="J181" s="6">
        <f t="shared" si="76"/>
        <v>-6918250</v>
      </c>
      <c r="K181" s="167"/>
    </row>
    <row r="182" spans="1:15" ht="25.5" x14ac:dyDescent="0.25">
      <c r="A182" s="170" t="s">
        <v>62</v>
      </c>
      <c r="B182" s="707" t="s">
        <v>385</v>
      </c>
      <c r="C182" s="58">
        <v>10871000</v>
      </c>
      <c r="D182" s="726">
        <f>C182/C179*100</f>
        <v>3.2450746268656716</v>
      </c>
      <c r="E182" s="134">
        <f t="shared" si="72"/>
        <v>0</v>
      </c>
      <c r="F182" s="134">
        <f t="shared" si="73"/>
        <v>0</v>
      </c>
      <c r="G182" s="181">
        <v>0</v>
      </c>
      <c r="H182" s="134">
        <f t="shared" si="74"/>
        <v>0</v>
      </c>
      <c r="I182" s="134">
        <f t="shared" si="75"/>
        <v>0</v>
      </c>
      <c r="J182" s="6">
        <f t="shared" si="76"/>
        <v>-10871000</v>
      </c>
      <c r="K182" s="167"/>
    </row>
    <row r="183" spans="1:15" x14ac:dyDescent="0.25">
      <c r="A183" s="170" t="s">
        <v>148</v>
      </c>
      <c r="B183" s="133" t="s">
        <v>531</v>
      </c>
      <c r="C183" s="58">
        <v>10000000</v>
      </c>
      <c r="D183" s="726"/>
      <c r="E183" s="134"/>
      <c r="F183" s="134"/>
      <c r="G183" s="181">
        <f>10000000</f>
        <v>10000000</v>
      </c>
      <c r="H183" s="134"/>
      <c r="I183" s="134"/>
      <c r="J183" s="6">
        <f t="shared" si="76"/>
        <v>0</v>
      </c>
      <c r="K183" s="167"/>
    </row>
    <row r="184" spans="1:15" x14ac:dyDescent="0.25">
      <c r="A184" s="170" t="s">
        <v>77</v>
      </c>
      <c r="B184" s="170" t="s">
        <v>127</v>
      </c>
      <c r="C184" s="58">
        <v>61010000</v>
      </c>
      <c r="D184" s="726">
        <f>C184/C179*100</f>
        <v>18.211940298507461</v>
      </c>
      <c r="E184" s="134">
        <f t="shared" si="72"/>
        <v>52.696279298475659</v>
      </c>
      <c r="F184" s="134">
        <f t="shared" si="73"/>
        <v>9.5970149253731343</v>
      </c>
      <c r="G184" s="181">
        <f>32150000</f>
        <v>32150000</v>
      </c>
      <c r="H184" s="134">
        <f t="shared" si="74"/>
        <v>52.696279298475659</v>
      </c>
      <c r="I184" s="134">
        <f t="shared" si="75"/>
        <v>9.5970149253731343</v>
      </c>
      <c r="J184" s="6">
        <f t="shared" si="76"/>
        <v>-28860000</v>
      </c>
      <c r="K184" s="167"/>
      <c r="O184" s="190"/>
    </row>
    <row r="185" spans="1:15" x14ac:dyDescent="0.25">
      <c r="A185" s="170" t="s">
        <v>183</v>
      </c>
      <c r="B185" s="170" t="s">
        <v>178</v>
      </c>
      <c r="C185" s="58">
        <v>44625000</v>
      </c>
      <c r="D185" s="726">
        <f>C185/C179*100</f>
        <v>13.32089552238806</v>
      </c>
      <c r="E185" s="134">
        <f t="shared" si="72"/>
        <v>22.408963585434176</v>
      </c>
      <c r="F185" s="134">
        <f t="shared" si="73"/>
        <v>2.9850746268656718</v>
      </c>
      <c r="G185" s="181">
        <f>10000000</f>
        <v>10000000</v>
      </c>
      <c r="H185" s="134">
        <f t="shared" si="74"/>
        <v>22.408963585434176</v>
      </c>
      <c r="I185" s="134">
        <f t="shared" si="75"/>
        <v>2.9850746268656718</v>
      </c>
      <c r="J185" s="6">
        <f t="shared" si="76"/>
        <v>-34625000</v>
      </c>
      <c r="K185" s="167"/>
    </row>
    <row r="186" spans="1:15" x14ac:dyDescent="0.25">
      <c r="A186" s="170" t="s">
        <v>186</v>
      </c>
      <c r="B186" s="170" t="s">
        <v>179</v>
      </c>
      <c r="C186" s="58">
        <v>44100000</v>
      </c>
      <c r="D186" s="726">
        <f>C186/C179*100</f>
        <v>13.164179104477611</v>
      </c>
      <c r="E186" s="134">
        <f t="shared" si="72"/>
        <v>79.365079365079367</v>
      </c>
      <c r="F186" s="134">
        <f t="shared" si="73"/>
        <v>10.447761194029852</v>
      </c>
      <c r="G186" s="181">
        <f>35000000</f>
        <v>35000000</v>
      </c>
      <c r="H186" s="134">
        <f t="shared" si="74"/>
        <v>79.365079365079367</v>
      </c>
      <c r="I186" s="134">
        <f t="shared" si="75"/>
        <v>10.447761194029852</v>
      </c>
      <c r="J186" s="6">
        <f t="shared" si="76"/>
        <v>-9100000</v>
      </c>
      <c r="K186" s="167"/>
    </row>
    <row r="187" spans="1:15" ht="25.5" x14ac:dyDescent="0.25">
      <c r="A187" s="170" t="s">
        <v>106</v>
      </c>
      <c r="B187" s="316" t="s">
        <v>375</v>
      </c>
      <c r="C187" s="58">
        <v>44000000</v>
      </c>
      <c r="D187" s="726">
        <f>C187/C179*100</f>
        <v>13.134328358208954</v>
      </c>
      <c r="E187" s="134">
        <f t="shared" si="72"/>
        <v>87.727272727272734</v>
      </c>
      <c r="F187" s="134">
        <f t="shared" si="73"/>
        <v>11.522388059701493</v>
      </c>
      <c r="G187" s="181">
        <f>38600000</f>
        <v>38600000</v>
      </c>
      <c r="H187" s="134">
        <f t="shared" si="74"/>
        <v>87.727272727272734</v>
      </c>
      <c r="I187" s="134">
        <f t="shared" si="75"/>
        <v>11.522388059701493</v>
      </c>
      <c r="J187" s="6">
        <f t="shared" si="76"/>
        <v>-5400000</v>
      </c>
      <c r="K187" s="167"/>
    </row>
    <row r="188" spans="1:15" x14ac:dyDescent="0.25">
      <c r="A188" s="170" t="s">
        <v>162</v>
      </c>
      <c r="B188" s="315" t="s">
        <v>515</v>
      </c>
      <c r="C188" s="58">
        <v>36000000</v>
      </c>
      <c r="D188" s="726"/>
      <c r="E188" s="134"/>
      <c r="F188" s="134"/>
      <c r="G188" s="181">
        <f>36000000</f>
        <v>36000000</v>
      </c>
      <c r="H188" s="134"/>
      <c r="I188" s="134"/>
      <c r="J188" s="6">
        <f t="shared" si="76"/>
        <v>0</v>
      </c>
      <c r="K188" s="167"/>
    </row>
    <row r="189" spans="1:15" x14ac:dyDescent="0.25">
      <c r="A189" s="170" t="s">
        <v>527</v>
      </c>
      <c r="B189" s="316" t="s">
        <v>523</v>
      </c>
      <c r="C189" s="58">
        <v>5625000</v>
      </c>
      <c r="D189" s="726"/>
      <c r="E189" s="134"/>
      <c r="F189" s="134"/>
      <c r="G189" s="181">
        <f>5625000</f>
        <v>5625000</v>
      </c>
      <c r="H189" s="134"/>
      <c r="I189" s="134"/>
      <c r="J189" s="6">
        <f t="shared" si="76"/>
        <v>0</v>
      </c>
      <c r="K189" s="167"/>
    </row>
    <row r="190" spans="1:15" x14ac:dyDescent="0.25">
      <c r="A190" s="170" t="s">
        <v>528</v>
      </c>
      <c r="B190" s="316" t="s">
        <v>524</v>
      </c>
      <c r="C190" s="58">
        <v>16000000</v>
      </c>
      <c r="D190" s="726"/>
      <c r="E190" s="134"/>
      <c r="F190" s="134"/>
      <c r="G190" s="181">
        <f>16000000</f>
        <v>16000000</v>
      </c>
      <c r="H190" s="134"/>
      <c r="I190" s="134"/>
      <c r="J190" s="6">
        <f t="shared" si="76"/>
        <v>0</v>
      </c>
      <c r="K190" s="167"/>
    </row>
    <row r="191" spans="1:15" x14ac:dyDescent="0.25">
      <c r="A191" s="170" t="s">
        <v>529</v>
      </c>
      <c r="B191" s="316" t="s">
        <v>525</v>
      </c>
      <c r="C191" s="58">
        <v>4000000</v>
      </c>
      <c r="D191" s="726"/>
      <c r="E191" s="134"/>
      <c r="F191" s="134"/>
      <c r="G191" s="181">
        <f>4000000</f>
        <v>4000000</v>
      </c>
      <c r="H191" s="134"/>
      <c r="I191" s="134"/>
      <c r="J191" s="6">
        <f t="shared" si="76"/>
        <v>0</v>
      </c>
      <c r="K191" s="167"/>
    </row>
    <row r="192" spans="1:15" ht="25.5" x14ac:dyDescent="0.25">
      <c r="A192" s="170" t="s">
        <v>116</v>
      </c>
      <c r="B192" s="133" t="s">
        <v>371</v>
      </c>
      <c r="C192" s="178">
        <v>1622500</v>
      </c>
      <c r="D192" s="726">
        <f>C192/C179*100</f>
        <v>0.4843283582089552</v>
      </c>
      <c r="E192" s="134">
        <f t="shared" si="72"/>
        <v>0</v>
      </c>
      <c r="F192" s="134">
        <f t="shared" si="73"/>
        <v>0</v>
      </c>
      <c r="G192" s="181">
        <v>0</v>
      </c>
      <c r="H192" s="134">
        <f t="shared" si="74"/>
        <v>0</v>
      </c>
      <c r="I192" s="134">
        <f t="shared" si="75"/>
        <v>0</v>
      </c>
      <c r="J192" s="6">
        <f t="shared" si="76"/>
        <v>-1622500</v>
      </c>
      <c r="K192" s="167"/>
      <c r="M192" s="190"/>
    </row>
    <row r="193" spans="1:14" x14ac:dyDescent="0.25">
      <c r="A193" s="748" t="s">
        <v>65</v>
      </c>
      <c r="B193" s="315" t="s">
        <v>393</v>
      </c>
      <c r="C193" s="178">
        <v>7000000</v>
      </c>
      <c r="D193" s="726"/>
      <c r="E193" s="134"/>
      <c r="F193" s="134"/>
      <c r="G193" s="181"/>
      <c r="H193" s="134"/>
      <c r="I193" s="134"/>
      <c r="J193" s="6">
        <f t="shared" si="76"/>
        <v>-7000000</v>
      </c>
      <c r="K193" s="167"/>
      <c r="M193" s="190"/>
    </row>
    <row r="194" spans="1:14" x14ac:dyDescent="0.25">
      <c r="A194" s="748" t="s">
        <v>287</v>
      </c>
      <c r="B194" s="315" t="s">
        <v>191</v>
      </c>
      <c r="C194" s="178">
        <v>15000000</v>
      </c>
      <c r="D194" s="726"/>
      <c r="E194" s="134"/>
      <c r="F194" s="134"/>
      <c r="G194" s="181">
        <f>15000000</f>
        <v>15000000</v>
      </c>
      <c r="H194" s="134"/>
      <c r="I194" s="134"/>
      <c r="J194" s="6">
        <f t="shared" si="76"/>
        <v>0</v>
      </c>
      <c r="K194" s="167"/>
      <c r="M194" s="190"/>
    </row>
    <row r="195" spans="1:14" x14ac:dyDescent="0.25">
      <c r="A195" s="748" t="s">
        <v>275</v>
      </c>
      <c r="B195" s="133" t="s">
        <v>421</v>
      </c>
      <c r="C195" s="178">
        <v>5000000</v>
      </c>
      <c r="D195" s="726"/>
      <c r="E195" s="134"/>
      <c r="F195" s="134"/>
      <c r="G195" s="181">
        <v>0</v>
      </c>
      <c r="H195" s="134"/>
      <c r="I195" s="134"/>
      <c r="J195" s="6">
        <f t="shared" si="76"/>
        <v>-5000000</v>
      </c>
      <c r="K195" s="167"/>
      <c r="M195" s="190"/>
    </row>
    <row r="196" spans="1:14" x14ac:dyDescent="0.25">
      <c r="A196" s="69"/>
      <c r="B196" s="67" t="s">
        <v>128</v>
      </c>
      <c r="C196" s="60">
        <f>SUM(C180:C195)</f>
        <v>335000000</v>
      </c>
      <c r="D196" s="275">
        <f>SUM(D180:D192)</f>
        <v>70.5597014925373</v>
      </c>
      <c r="E196" s="134"/>
      <c r="F196" s="134"/>
      <c r="G196" s="42">
        <f>SUM(G180:G195)</f>
        <v>217333250</v>
      </c>
      <c r="H196" s="134"/>
      <c r="I196" s="134"/>
      <c r="J196" s="734"/>
      <c r="K196" s="38"/>
    </row>
    <row r="197" spans="1:14" x14ac:dyDescent="0.25">
      <c r="A197" s="186"/>
      <c r="B197" s="2"/>
      <c r="C197" s="187"/>
      <c r="D197" s="188"/>
      <c r="E197" s="183"/>
      <c r="F197" s="183"/>
      <c r="G197" s="184"/>
      <c r="H197" s="183"/>
      <c r="I197" s="183"/>
      <c r="J197" s="189"/>
      <c r="K197" s="53"/>
    </row>
    <row r="198" spans="1:14" ht="31.5" x14ac:dyDescent="0.25">
      <c r="A198" s="55"/>
      <c r="B198" s="46" t="s">
        <v>145</v>
      </c>
      <c r="C198" s="155"/>
      <c r="D198" s="44"/>
      <c r="E198" s="45"/>
      <c r="F198" s="45"/>
      <c r="G198" s="48"/>
      <c r="H198" s="45"/>
      <c r="I198" s="45"/>
      <c r="J198" s="44"/>
      <c r="K198" s="44"/>
      <c r="L198" s="1"/>
      <c r="M198" s="1"/>
      <c r="N198" s="1"/>
    </row>
    <row r="199" spans="1:14" x14ac:dyDescent="0.25">
      <c r="A199" s="1082" t="s">
        <v>2</v>
      </c>
      <c r="B199" s="1081" t="s">
        <v>168</v>
      </c>
      <c r="C199" s="1082" t="s">
        <v>4</v>
      </c>
      <c r="D199" s="1083" t="s">
        <v>5</v>
      </c>
      <c r="E199" s="1084"/>
      <c r="F199" s="1084"/>
      <c r="G199" s="1085" t="s">
        <v>6</v>
      </c>
      <c r="H199" s="1084"/>
      <c r="I199" s="1084"/>
      <c r="J199" s="1082" t="s">
        <v>7</v>
      </c>
      <c r="K199" s="283" t="s">
        <v>8</v>
      </c>
    </row>
    <row r="200" spans="1:14" x14ac:dyDescent="0.25">
      <c r="A200" s="1082"/>
      <c r="B200" s="1081"/>
      <c r="C200" s="1082"/>
      <c r="D200" s="283" t="s">
        <v>9</v>
      </c>
      <c r="E200" s="297" t="s">
        <v>10</v>
      </c>
      <c r="F200" s="297" t="s">
        <v>11</v>
      </c>
      <c r="G200" s="298" t="s">
        <v>12</v>
      </c>
      <c r="H200" s="297" t="s">
        <v>13</v>
      </c>
      <c r="I200" s="297" t="s">
        <v>11</v>
      </c>
      <c r="J200" s="1086"/>
      <c r="K200" s="284"/>
    </row>
    <row r="201" spans="1:14" x14ac:dyDescent="0.25">
      <c r="A201" s="1082"/>
      <c r="B201" s="1081"/>
      <c r="C201" s="1082"/>
      <c r="D201" s="282" t="s">
        <v>14</v>
      </c>
      <c r="E201" s="295" t="s">
        <v>14</v>
      </c>
      <c r="F201" s="295" t="s">
        <v>14</v>
      </c>
      <c r="G201" s="296" t="s">
        <v>15</v>
      </c>
      <c r="H201" s="295" t="s">
        <v>14</v>
      </c>
      <c r="I201" s="295" t="s">
        <v>14</v>
      </c>
      <c r="J201" s="282" t="s">
        <v>15</v>
      </c>
      <c r="K201" s="282"/>
    </row>
    <row r="202" spans="1:14" x14ac:dyDescent="0.25">
      <c r="A202" s="79" t="s">
        <v>185</v>
      </c>
      <c r="B202" s="199" t="s">
        <v>146</v>
      </c>
      <c r="C202" s="145"/>
      <c r="D202" s="146"/>
      <c r="E202" s="147"/>
      <c r="F202" s="147"/>
      <c r="G202" s="148"/>
      <c r="H202" s="147"/>
      <c r="I202" s="147"/>
      <c r="J202" s="146"/>
      <c r="K202" s="146"/>
    </row>
    <row r="203" spans="1:14" x14ac:dyDescent="0.25">
      <c r="A203" s="125" t="s">
        <v>184</v>
      </c>
      <c r="B203" s="280" t="s">
        <v>147</v>
      </c>
      <c r="C203" s="257">
        <f>SUM(C204:C206)</f>
        <v>2555640000</v>
      </c>
      <c r="D203" s="146"/>
      <c r="E203" s="147"/>
      <c r="F203" s="147"/>
      <c r="G203" s="148"/>
      <c r="H203" s="147"/>
      <c r="I203" s="147"/>
      <c r="J203" s="146"/>
      <c r="K203" s="146"/>
    </row>
    <row r="204" spans="1:14" ht="25.5" x14ac:dyDescent="0.25">
      <c r="A204" s="319" t="s">
        <v>59</v>
      </c>
      <c r="B204" s="707" t="s">
        <v>384</v>
      </c>
      <c r="C204" s="258">
        <f>33350000</f>
        <v>33350000</v>
      </c>
      <c r="D204" s="267"/>
      <c r="E204" s="134"/>
      <c r="F204" s="134"/>
      <c r="G204" s="181">
        <f>33350000</f>
        <v>33350000</v>
      </c>
      <c r="H204" s="134"/>
      <c r="I204" s="134"/>
      <c r="J204" s="6">
        <f t="shared" ref="J204:J205" si="77">G204-C204</f>
        <v>0</v>
      </c>
      <c r="K204" s="146"/>
    </row>
    <row r="205" spans="1:14" x14ac:dyDescent="0.25">
      <c r="A205" s="49" t="s">
        <v>148</v>
      </c>
      <c r="B205" s="707" t="s">
        <v>197</v>
      </c>
      <c r="C205" s="259">
        <f>2290000</f>
        <v>2290000</v>
      </c>
      <c r="D205" s="267">
        <f>C205/C203*100</f>
        <v>8.9605734767025089E-2</v>
      </c>
      <c r="E205" s="134">
        <f t="shared" ref="E205" si="78">G205/C205*100</f>
        <v>100</v>
      </c>
      <c r="F205" s="134">
        <f t="shared" ref="F205" si="79">(D205*E205)/100</f>
        <v>8.9605734767025089E-2</v>
      </c>
      <c r="G205" s="181">
        <f>2290000</f>
        <v>2290000</v>
      </c>
      <c r="H205" s="134">
        <f t="shared" ref="H205" si="80">G205/C205*100</f>
        <v>100</v>
      </c>
      <c r="I205" s="134">
        <f t="shared" ref="I205" si="81">(D205*H205)/100</f>
        <v>8.9605734767025089E-2</v>
      </c>
      <c r="J205" s="6">
        <f t="shared" si="77"/>
        <v>0</v>
      </c>
      <c r="K205" s="146"/>
    </row>
    <row r="206" spans="1:14" x14ac:dyDescent="0.25">
      <c r="A206" s="749"/>
      <c r="B206" s="133" t="s">
        <v>531</v>
      </c>
      <c r="C206" s="259">
        <f>2520000000</f>
        <v>2520000000</v>
      </c>
      <c r="D206" s="848"/>
      <c r="E206" s="134"/>
      <c r="F206" s="134"/>
      <c r="G206" s="181">
        <f>736500000</f>
        <v>736500000</v>
      </c>
      <c r="H206" s="134"/>
      <c r="I206" s="134"/>
      <c r="J206" s="6"/>
      <c r="K206" s="849"/>
    </row>
    <row r="207" spans="1:14" x14ac:dyDescent="0.25">
      <c r="A207" s="71"/>
      <c r="B207" s="76" t="s">
        <v>95</v>
      </c>
      <c r="C207" s="806">
        <f>SUM(C204:C206)</f>
        <v>2555640000</v>
      </c>
      <c r="D207" s="141">
        <f>SUM(D204:D205)</f>
        <v>8.9605734767025089E-2</v>
      </c>
      <c r="E207" s="134"/>
      <c r="F207" s="134"/>
      <c r="G207" s="181">
        <f>SUM(G204:G206)</f>
        <v>772140000</v>
      </c>
      <c r="H207" s="134"/>
      <c r="I207" s="134"/>
      <c r="J207" s="56">
        <v>0</v>
      </c>
      <c r="K207" s="143"/>
    </row>
    <row r="208" spans="1:14" x14ac:dyDescent="0.25">
      <c r="A208" s="186"/>
      <c r="B208" s="2"/>
      <c r="C208" s="187"/>
      <c r="D208" s="188"/>
      <c r="E208" s="183"/>
      <c r="F208" s="183"/>
      <c r="G208" s="184"/>
      <c r="H208" s="183"/>
      <c r="I208" s="183"/>
      <c r="J208" s="189"/>
      <c r="K208" s="53"/>
    </row>
    <row r="209" spans="1:11" x14ac:dyDescent="0.25">
      <c r="A209" s="1080" t="s">
        <v>2</v>
      </c>
      <c r="B209" s="1081" t="s">
        <v>168</v>
      </c>
      <c r="C209" s="1080" t="s">
        <v>4</v>
      </c>
      <c r="D209" s="1075" t="s">
        <v>5</v>
      </c>
      <c r="E209" s="1076"/>
      <c r="F209" s="1076"/>
      <c r="G209" s="1077" t="s">
        <v>6</v>
      </c>
      <c r="H209" s="1076"/>
      <c r="I209" s="1076"/>
      <c r="J209" s="1080" t="s">
        <v>7</v>
      </c>
      <c r="K209" s="95" t="s">
        <v>8</v>
      </c>
    </row>
    <row r="210" spans="1:11" x14ac:dyDescent="0.25">
      <c r="A210" s="1080"/>
      <c r="B210" s="1081"/>
      <c r="C210" s="1080"/>
      <c r="D210" s="95" t="s">
        <v>9</v>
      </c>
      <c r="E210" s="294" t="s">
        <v>10</v>
      </c>
      <c r="F210" s="294" t="s">
        <v>11</v>
      </c>
      <c r="G210" s="299" t="s">
        <v>12</v>
      </c>
      <c r="H210" s="294" t="s">
        <v>13</v>
      </c>
      <c r="I210" s="294" t="s">
        <v>11</v>
      </c>
      <c r="J210" s="1078"/>
      <c r="K210" s="98"/>
    </row>
    <row r="211" spans="1:11" x14ac:dyDescent="0.25">
      <c r="A211" s="1080"/>
      <c r="B211" s="1081"/>
      <c r="C211" s="1080"/>
      <c r="D211" s="101" t="s">
        <v>14</v>
      </c>
      <c r="E211" s="100" t="s">
        <v>14</v>
      </c>
      <c r="F211" s="100" t="s">
        <v>14</v>
      </c>
      <c r="G211" s="99" t="s">
        <v>15</v>
      </c>
      <c r="H211" s="100" t="s">
        <v>14</v>
      </c>
      <c r="I211" s="100" t="s">
        <v>14</v>
      </c>
      <c r="J211" s="101" t="s">
        <v>15</v>
      </c>
      <c r="K211" s="101"/>
    </row>
    <row r="212" spans="1:11" x14ac:dyDescent="0.25">
      <c r="A212" s="79" t="s">
        <v>185</v>
      </c>
      <c r="B212" s="199" t="s">
        <v>146</v>
      </c>
      <c r="C212" s="24"/>
      <c r="D212" s="10"/>
      <c r="E212" s="34"/>
      <c r="F212" s="34"/>
      <c r="G212" s="6"/>
      <c r="H212" s="34"/>
      <c r="I212" s="34"/>
      <c r="J212" s="10"/>
      <c r="K212" s="10"/>
    </row>
    <row r="213" spans="1:11" x14ac:dyDescent="0.25">
      <c r="A213" s="125" t="s">
        <v>187</v>
      </c>
      <c r="B213" s="280" t="s">
        <v>150</v>
      </c>
      <c r="C213" s="252">
        <f>SUM(C214:C218)</f>
        <v>1635097968</v>
      </c>
      <c r="D213" s="10"/>
      <c r="E213" s="34"/>
      <c r="F213" s="34"/>
      <c r="G213" s="6"/>
      <c r="H213" s="34"/>
      <c r="I213" s="34"/>
      <c r="J213" s="10"/>
      <c r="K213" s="10"/>
    </row>
    <row r="214" spans="1:11" ht="25.5" x14ac:dyDescent="0.25">
      <c r="A214" s="313" t="s">
        <v>44</v>
      </c>
      <c r="B214" s="707" t="s">
        <v>384</v>
      </c>
      <c r="C214" s="253">
        <v>29600000</v>
      </c>
      <c r="D214" s="134">
        <f>C214/C213*100</f>
        <v>1.8102890823236593</v>
      </c>
      <c r="E214" s="134">
        <f t="shared" ref="E214:E217" si="82">G214/C214*100</f>
        <v>100</v>
      </c>
      <c r="F214" s="134">
        <f t="shared" ref="F214:F217" si="83">(D214*E214)/100</f>
        <v>1.8102890823236593</v>
      </c>
      <c r="G214" s="181">
        <f>29600000</f>
        <v>29600000</v>
      </c>
      <c r="H214" s="134">
        <f t="shared" ref="H214:H217" si="84">G214/C214*100</f>
        <v>100</v>
      </c>
      <c r="I214" s="134">
        <f t="shared" ref="I214:I217" si="85">(D214*H214)/100</f>
        <v>1.8102890823236593</v>
      </c>
      <c r="J214" s="6">
        <f t="shared" ref="J214:J218" si="86">G214-C214</f>
        <v>0</v>
      </c>
      <c r="K214" s="10"/>
    </row>
    <row r="215" spans="1:11" x14ac:dyDescent="0.25">
      <c r="A215" s="319" t="s">
        <v>59</v>
      </c>
      <c r="B215" s="707" t="s">
        <v>197</v>
      </c>
      <c r="C215" s="253">
        <v>1300000</v>
      </c>
      <c r="D215" s="134"/>
      <c r="E215" s="134"/>
      <c r="F215" s="134"/>
      <c r="G215" s="181">
        <f>1300000</f>
        <v>1300000</v>
      </c>
      <c r="H215" s="134"/>
      <c r="I215" s="134"/>
      <c r="J215" s="6">
        <f t="shared" si="86"/>
        <v>0</v>
      </c>
      <c r="K215" s="10"/>
    </row>
    <row r="216" spans="1:11" x14ac:dyDescent="0.25">
      <c r="A216" s="49" t="s">
        <v>148</v>
      </c>
      <c r="B216" s="133" t="s">
        <v>531</v>
      </c>
      <c r="C216" s="256">
        <f>1140000000</f>
        <v>1140000000</v>
      </c>
      <c r="D216" s="134">
        <f>C216/C213*100</f>
        <v>69.720593035438228</v>
      </c>
      <c r="E216" s="134">
        <f t="shared" si="82"/>
        <v>42.987157894736846</v>
      </c>
      <c r="F216" s="134">
        <f t="shared" si="83"/>
        <v>29.970901413290729</v>
      </c>
      <c r="G216" s="181">
        <f>490053600</f>
        <v>490053600</v>
      </c>
      <c r="H216" s="134">
        <f t="shared" si="84"/>
        <v>42.987157894736846</v>
      </c>
      <c r="I216" s="134">
        <f t="shared" si="85"/>
        <v>29.970901413290729</v>
      </c>
      <c r="J216" s="6">
        <f t="shared" si="86"/>
        <v>-649946400</v>
      </c>
      <c r="K216" s="10"/>
    </row>
    <row r="217" spans="1:11" s="84" customFormat="1" ht="25.5" x14ac:dyDescent="0.2">
      <c r="A217" s="49" t="s">
        <v>152</v>
      </c>
      <c r="B217" s="133" t="s">
        <v>153</v>
      </c>
      <c r="C217" s="256">
        <v>456000000</v>
      </c>
      <c r="D217" s="134">
        <f>C217/C213*100</f>
        <v>27.888237214175295</v>
      </c>
      <c r="E217" s="134">
        <f t="shared" si="82"/>
        <v>25</v>
      </c>
      <c r="F217" s="134">
        <f t="shared" si="83"/>
        <v>6.9720593035438245</v>
      </c>
      <c r="G217" s="181">
        <f>114000000</f>
        <v>114000000</v>
      </c>
      <c r="H217" s="134">
        <f t="shared" si="84"/>
        <v>25</v>
      </c>
      <c r="I217" s="134">
        <f t="shared" si="85"/>
        <v>6.9720593035438245</v>
      </c>
      <c r="J217" s="6">
        <f t="shared" si="86"/>
        <v>-342000000</v>
      </c>
      <c r="K217" s="38"/>
    </row>
    <row r="218" spans="1:11" s="84" customFormat="1" x14ac:dyDescent="0.2">
      <c r="A218" s="749" t="s">
        <v>234</v>
      </c>
      <c r="B218" s="133" t="s">
        <v>522</v>
      </c>
      <c r="C218" s="256">
        <v>8197968</v>
      </c>
      <c r="D218" s="804"/>
      <c r="E218" s="134"/>
      <c r="F218" s="134"/>
      <c r="G218" s="181">
        <f>8197968</f>
        <v>8197968</v>
      </c>
      <c r="H218" s="134"/>
      <c r="I218" s="134"/>
      <c r="J218" s="6">
        <f t="shared" si="86"/>
        <v>0</v>
      </c>
      <c r="K218" s="805"/>
    </row>
    <row r="219" spans="1:11" x14ac:dyDescent="0.25">
      <c r="A219" s="70"/>
      <c r="B219" s="129" t="s">
        <v>95</v>
      </c>
      <c r="C219" s="807">
        <f>SUM(C214:C218)</f>
        <v>1635097968</v>
      </c>
      <c r="D219" s="271">
        <f>SUM(D214:D217)</f>
        <v>99.419119331937182</v>
      </c>
      <c r="E219" s="134"/>
      <c r="F219" s="134"/>
      <c r="G219" s="181">
        <f>SUM(G214:G218)</f>
        <v>643151568</v>
      </c>
      <c r="H219" s="134"/>
      <c r="I219" s="134"/>
      <c r="J219" s="56">
        <v>0</v>
      </c>
      <c r="K219" s="130"/>
    </row>
    <row r="220" spans="1:11" x14ac:dyDescent="0.25">
      <c r="A220" s="186"/>
      <c r="B220" s="2"/>
      <c r="C220" s="187"/>
      <c r="D220" s="188"/>
      <c r="E220" s="183"/>
      <c r="F220" s="183"/>
      <c r="G220" s="184"/>
      <c r="H220" s="183"/>
      <c r="I220" s="183"/>
      <c r="J220" s="189"/>
      <c r="K220" s="53"/>
    </row>
    <row r="221" spans="1:11" x14ac:dyDescent="0.25">
      <c r="A221" s="50"/>
      <c r="B221" s="5"/>
      <c r="C221" s="50"/>
      <c r="D221" s="9"/>
      <c r="E221" s="23"/>
      <c r="F221" s="23"/>
      <c r="G221" s="11"/>
      <c r="H221" s="23"/>
      <c r="I221" s="23"/>
      <c r="J221" s="9"/>
      <c r="K221" s="9"/>
    </row>
    <row r="222" spans="1:11" x14ac:dyDescent="0.25">
      <c r="A222" s="1088" t="s">
        <v>2</v>
      </c>
      <c r="B222" s="1094" t="s">
        <v>133</v>
      </c>
      <c r="C222" s="863"/>
      <c r="D222" s="1097" t="s">
        <v>5</v>
      </c>
      <c r="E222" s="1098"/>
      <c r="F222" s="1099"/>
      <c r="G222" s="1100" t="s">
        <v>6</v>
      </c>
      <c r="H222" s="1101"/>
      <c r="I222" s="1102"/>
      <c r="J222" s="1088" t="s">
        <v>7</v>
      </c>
      <c r="K222" s="108" t="s">
        <v>8</v>
      </c>
    </row>
    <row r="223" spans="1:11" x14ac:dyDescent="0.25">
      <c r="A223" s="1092"/>
      <c r="B223" s="1095"/>
      <c r="C223" s="864" t="s">
        <v>4</v>
      </c>
      <c r="D223" s="109" t="s">
        <v>9</v>
      </c>
      <c r="E223" s="110" t="s">
        <v>10</v>
      </c>
      <c r="F223" s="110" t="s">
        <v>11</v>
      </c>
      <c r="G223" s="111" t="s">
        <v>12</v>
      </c>
      <c r="H223" s="110" t="s">
        <v>13</v>
      </c>
      <c r="I223" s="110" t="s">
        <v>11</v>
      </c>
      <c r="J223" s="1092"/>
      <c r="K223" s="109"/>
    </row>
    <row r="224" spans="1:11" x14ac:dyDescent="0.25">
      <c r="A224" s="1093"/>
      <c r="B224" s="1096"/>
      <c r="C224" s="865"/>
      <c r="D224" s="112" t="s">
        <v>14</v>
      </c>
      <c r="E224" s="113" t="s">
        <v>14</v>
      </c>
      <c r="F224" s="113" t="s">
        <v>14</v>
      </c>
      <c r="G224" s="114" t="s">
        <v>15</v>
      </c>
      <c r="H224" s="113" t="s">
        <v>14</v>
      </c>
      <c r="I224" s="113" t="s">
        <v>14</v>
      </c>
      <c r="J224" s="112" t="s">
        <v>15</v>
      </c>
      <c r="K224" s="112"/>
    </row>
    <row r="225" spans="1:11" ht="25.5" x14ac:dyDescent="0.25">
      <c r="A225" s="79" t="s">
        <v>180</v>
      </c>
      <c r="B225" s="696" t="s">
        <v>379</v>
      </c>
      <c r="C225" s="291"/>
      <c r="D225" s="10"/>
      <c r="E225" s="34"/>
      <c r="F225" s="34"/>
      <c r="G225" s="6"/>
      <c r="H225" s="34"/>
      <c r="I225" s="34"/>
      <c r="J225" s="10"/>
      <c r="K225" s="10"/>
    </row>
    <row r="226" spans="1:11" ht="25.5" x14ac:dyDescent="0.25">
      <c r="A226" s="125" t="s">
        <v>181</v>
      </c>
      <c r="B226" s="697" t="s">
        <v>380</v>
      </c>
      <c r="C226" s="87">
        <f>SUM(C227:C238)</f>
        <v>185000000</v>
      </c>
      <c r="D226" s="10"/>
      <c r="E226" s="34"/>
      <c r="F226" s="34"/>
      <c r="G226" s="6"/>
      <c r="H226" s="34"/>
      <c r="I226" s="34"/>
      <c r="J226" s="10"/>
      <c r="K226" s="10"/>
    </row>
    <row r="227" spans="1:11" ht="25.5" x14ac:dyDescent="0.25">
      <c r="A227" s="49" t="s">
        <v>44</v>
      </c>
      <c r="B227" s="707" t="s">
        <v>384</v>
      </c>
      <c r="C227" s="172">
        <v>8580000</v>
      </c>
      <c r="D227" s="134">
        <f>C227/C226*100</f>
        <v>4.6378378378378375</v>
      </c>
      <c r="E227" s="134">
        <f t="shared" ref="E227:E236" si="87">G227/C227*100</f>
        <v>100</v>
      </c>
      <c r="F227" s="134">
        <f t="shared" ref="F227:F236" si="88">(D227*E227)/100</f>
        <v>4.6378378378378375</v>
      </c>
      <c r="G227" s="181">
        <f>8580000</f>
        <v>8580000</v>
      </c>
      <c r="H227" s="134">
        <f t="shared" ref="H227:H236" si="89">G227/C227*100</f>
        <v>100</v>
      </c>
      <c r="I227" s="134">
        <f t="shared" ref="I227:I236" si="90">(D227*H227)/100</f>
        <v>4.6378378378378375</v>
      </c>
      <c r="J227" s="6">
        <f t="shared" ref="J227:J238" si="91">G227-C227</f>
        <v>0</v>
      </c>
      <c r="K227" s="10"/>
    </row>
    <row r="228" spans="1:11" x14ac:dyDescent="0.25">
      <c r="A228" s="49" t="s">
        <v>59</v>
      </c>
      <c r="B228" s="707" t="s">
        <v>197</v>
      </c>
      <c r="C228" s="256">
        <v>9515700</v>
      </c>
      <c r="D228" s="134">
        <f>C228/C226*100</f>
        <v>5.1436216216216222</v>
      </c>
      <c r="E228" s="134">
        <f t="shared" si="87"/>
        <v>73.49012684300682</v>
      </c>
      <c r="F228" s="134">
        <f t="shared" si="88"/>
        <v>3.7800540540540544</v>
      </c>
      <c r="G228" s="181">
        <f>6993100</f>
        <v>6993100</v>
      </c>
      <c r="H228" s="134">
        <f t="shared" si="89"/>
        <v>73.49012684300682</v>
      </c>
      <c r="I228" s="134">
        <f t="shared" si="90"/>
        <v>3.7800540540540544</v>
      </c>
      <c r="J228" s="6">
        <f t="shared" si="91"/>
        <v>-2522600</v>
      </c>
      <c r="K228" s="10"/>
    </row>
    <row r="229" spans="1:11" x14ac:dyDescent="0.25">
      <c r="A229" s="49" t="s">
        <v>62</v>
      </c>
      <c r="B229" s="707" t="s">
        <v>334</v>
      </c>
      <c r="C229" s="256">
        <v>4450000</v>
      </c>
      <c r="D229" s="134">
        <f>C229/C226*100</f>
        <v>2.4054054054054053</v>
      </c>
      <c r="E229" s="134">
        <f t="shared" si="87"/>
        <v>100</v>
      </c>
      <c r="F229" s="134">
        <f t="shared" si="88"/>
        <v>2.4054054054054053</v>
      </c>
      <c r="G229" s="181">
        <f>4450000</f>
        <v>4450000</v>
      </c>
      <c r="H229" s="134">
        <f t="shared" si="89"/>
        <v>100</v>
      </c>
      <c r="I229" s="134">
        <f t="shared" si="90"/>
        <v>2.4054054054054053</v>
      </c>
      <c r="J229" s="6">
        <f t="shared" si="91"/>
        <v>0</v>
      </c>
      <c r="K229" s="10"/>
    </row>
    <row r="230" spans="1:11" ht="25.5" x14ac:dyDescent="0.25">
      <c r="A230" s="49"/>
      <c r="B230" s="707" t="s">
        <v>532</v>
      </c>
      <c r="C230" s="256">
        <v>3500000</v>
      </c>
      <c r="D230" s="134"/>
      <c r="E230" s="134"/>
      <c r="F230" s="134"/>
      <c r="G230" s="181">
        <f>3500000</f>
        <v>3500000</v>
      </c>
      <c r="H230" s="134"/>
      <c r="I230" s="134"/>
      <c r="J230" s="6">
        <f t="shared" si="91"/>
        <v>0</v>
      </c>
      <c r="K230" s="10"/>
    </row>
    <row r="231" spans="1:11" x14ac:dyDescent="0.25">
      <c r="A231" s="49" t="s">
        <v>77</v>
      </c>
      <c r="B231" s="49" t="s">
        <v>135</v>
      </c>
      <c r="C231" s="174">
        <v>73080000</v>
      </c>
      <c r="D231" s="134">
        <f>C231/C226*100</f>
        <v>39.502702702702699</v>
      </c>
      <c r="E231" s="134">
        <f t="shared" si="87"/>
        <v>23.604269293924464</v>
      </c>
      <c r="F231" s="134">
        <f t="shared" si="88"/>
        <v>9.3243243243243228</v>
      </c>
      <c r="G231" s="181">
        <f>17250000</f>
        <v>17250000</v>
      </c>
      <c r="H231" s="134">
        <f t="shared" si="89"/>
        <v>23.604269293924464</v>
      </c>
      <c r="I231" s="134">
        <f t="shared" si="90"/>
        <v>9.3243243243243228</v>
      </c>
      <c r="J231" s="6">
        <f t="shared" si="91"/>
        <v>-55830000</v>
      </c>
      <c r="K231" s="10"/>
    </row>
    <row r="232" spans="1:11" x14ac:dyDescent="0.25">
      <c r="A232" s="49"/>
      <c r="B232" s="170" t="s">
        <v>178</v>
      </c>
      <c r="C232" s="174">
        <v>5125000</v>
      </c>
      <c r="D232" s="134"/>
      <c r="E232" s="134"/>
      <c r="F232" s="134"/>
      <c r="G232" s="181"/>
      <c r="H232" s="134"/>
      <c r="I232" s="134"/>
      <c r="J232" s="6">
        <f t="shared" si="91"/>
        <v>-5125000</v>
      </c>
      <c r="K232" s="10"/>
    </row>
    <row r="233" spans="1:11" x14ac:dyDescent="0.25">
      <c r="A233" s="49" t="s">
        <v>104</v>
      </c>
      <c r="B233" s="170" t="s">
        <v>179</v>
      </c>
      <c r="C233" s="172">
        <v>33400000</v>
      </c>
      <c r="D233" s="134">
        <f>C233/C226*100</f>
        <v>18.054054054054053</v>
      </c>
      <c r="E233" s="134">
        <f t="shared" si="87"/>
        <v>100</v>
      </c>
      <c r="F233" s="134">
        <f t="shared" si="88"/>
        <v>18.054054054054053</v>
      </c>
      <c r="G233" s="181">
        <f>33400000</f>
        <v>33400000</v>
      </c>
      <c r="H233" s="134">
        <f t="shared" si="89"/>
        <v>100</v>
      </c>
      <c r="I233" s="134">
        <f t="shared" si="90"/>
        <v>18.054054054054053</v>
      </c>
      <c r="J233" s="6">
        <f t="shared" si="91"/>
        <v>0</v>
      </c>
      <c r="K233" s="10"/>
    </row>
    <row r="234" spans="1:11" ht="25.5" x14ac:dyDescent="0.25">
      <c r="A234" s="49" t="s">
        <v>106</v>
      </c>
      <c r="B234" s="316" t="s">
        <v>375</v>
      </c>
      <c r="C234" s="178">
        <v>16500000</v>
      </c>
      <c r="D234" s="134">
        <f>C234/C226*100</f>
        <v>8.9189189189189193</v>
      </c>
      <c r="E234" s="134">
        <f t="shared" si="87"/>
        <v>74.545454545454547</v>
      </c>
      <c r="F234" s="134">
        <f t="shared" si="88"/>
        <v>6.6486486486486491</v>
      </c>
      <c r="G234" s="181">
        <f>12300000</f>
        <v>12300000</v>
      </c>
      <c r="H234" s="134">
        <f t="shared" si="89"/>
        <v>74.545454545454547</v>
      </c>
      <c r="I234" s="134">
        <f t="shared" si="90"/>
        <v>6.6486486486486491</v>
      </c>
      <c r="J234" s="6">
        <f t="shared" si="91"/>
        <v>-4200000</v>
      </c>
      <c r="K234" s="10"/>
    </row>
    <row r="235" spans="1:11" x14ac:dyDescent="0.25">
      <c r="A235" s="49"/>
      <c r="B235" s="316" t="s">
        <v>533</v>
      </c>
      <c r="C235" s="178">
        <v>2500000</v>
      </c>
      <c r="D235" s="134"/>
      <c r="E235" s="134"/>
      <c r="F235" s="134"/>
      <c r="G235" s="181">
        <f>2500000</f>
        <v>2500000</v>
      </c>
      <c r="H235" s="134"/>
      <c r="I235" s="134"/>
      <c r="J235" s="6">
        <f t="shared" si="91"/>
        <v>0</v>
      </c>
      <c r="K235" s="10"/>
    </row>
    <row r="236" spans="1:11" ht="25.5" x14ac:dyDescent="0.25">
      <c r="A236" s="49" t="s">
        <v>116</v>
      </c>
      <c r="B236" s="133" t="s">
        <v>371</v>
      </c>
      <c r="C236" s="178">
        <v>4824300</v>
      </c>
      <c r="D236" s="134">
        <f>C236/C226*100</f>
        <v>2.6077297297297299</v>
      </c>
      <c r="E236" s="134">
        <f t="shared" si="87"/>
        <v>62.181041809174388</v>
      </c>
      <c r="F236" s="134">
        <f t="shared" si="88"/>
        <v>1.6215135135135137</v>
      </c>
      <c r="G236" s="181">
        <v>2999800</v>
      </c>
      <c r="H236" s="134">
        <f t="shared" si="89"/>
        <v>62.181041809174388</v>
      </c>
      <c r="I236" s="134">
        <f t="shared" si="90"/>
        <v>1.6215135135135137</v>
      </c>
      <c r="J236" s="6">
        <f t="shared" si="91"/>
        <v>-1824500</v>
      </c>
      <c r="K236" s="10"/>
    </row>
    <row r="237" spans="1:11" x14ac:dyDescent="0.25">
      <c r="A237" s="749" t="s">
        <v>121</v>
      </c>
      <c r="B237" s="315" t="s">
        <v>191</v>
      </c>
      <c r="C237" s="178">
        <v>19400000</v>
      </c>
      <c r="D237" s="134"/>
      <c r="E237" s="134"/>
      <c r="F237" s="134"/>
      <c r="G237" s="181">
        <f>19400000</f>
        <v>19400000</v>
      </c>
      <c r="H237" s="134"/>
      <c r="I237" s="134"/>
      <c r="J237" s="6">
        <f t="shared" si="91"/>
        <v>0</v>
      </c>
      <c r="K237" s="10"/>
    </row>
    <row r="238" spans="1:11" x14ac:dyDescent="0.25">
      <c r="A238" s="749" t="s">
        <v>407</v>
      </c>
      <c r="B238" s="133" t="s">
        <v>424</v>
      </c>
      <c r="C238" s="178">
        <v>4125000</v>
      </c>
      <c r="D238" s="134"/>
      <c r="E238" s="134"/>
      <c r="F238" s="134"/>
      <c r="G238" s="181">
        <v>4125000</v>
      </c>
      <c r="H238" s="134"/>
      <c r="I238" s="134"/>
      <c r="J238" s="6">
        <f t="shared" si="91"/>
        <v>0</v>
      </c>
      <c r="K238" s="10"/>
    </row>
    <row r="239" spans="1:11" x14ac:dyDescent="0.25">
      <c r="A239" s="70"/>
      <c r="B239" s="861" t="s">
        <v>136</v>
      </c>
      <c r="C239" s="43">
        <f>SUM(C227:C238)</f>
        <v>185000000</v>
      </c>
      <c r="D239" s="12">
        <f>SUM(D227:D236)</f>
        <v>81.27027027027026</v>
      </c>
      <c r="E239" s="134"/>
      <c r="F239" s="134"/>
      <c r="G239" s="837">
        <f>SUM(G227:G238)</f>
        <v>115497900</v>
      </c>
      <c r="H239" s="134"/>
      <c r="I239" s="134"/>
      <c r="J239" s="734"/>
      <c r="K239" s="3"/>
    </row>
    <row r="240" spans="1:11" x14ac:dyDescent="0.25">
      <c r="A240" s="53"/>
      <c r="B240" s="5"/>
      <c r="C240" s="189"/>
      <c r="D240" s="29"/>
      <c r="E240" s="30"/>
      <c r="F240" s="23"/>
      <c r="G240" s="11"/>
      <c r="H240" s="32"/>
      <c r="I240" s="23"/>
      <c r="J240" s="15"/>
      <c r="K240" s="37"/>
    </row>
    <row r="241" spans="1:14" ht="31.5" x14ac:dyDescent="0.25">
      <c r="A241" s="55"/>
      <c r="B241" s="46" t="s">
        <v>145</v>
      </c>
      <c r="C241" s="155"/>
      <c r="D241" s="44"/>
      <c r="E241" s="45"/>
      <c r="F241" s="45"/>
      <c r="G241" s="48"/>
      <c r="H241" s="45"/>
      <c r="I241" s="45"/>
      <c r="J241" s="44"/>
      <c r="K241" s="44"/>
      <c r="L241" s="1"/>
      <c r="M241" s="1"/>
      <c r="N241" s="1"/>
    </row>
    <row r="242" spans="1:14" x14ac:dyDescent="0.25">
      <c r="A242" s="1087" t="s">
        <v>2</v>
      </c>
      <c r="B242" s="1089" t="s">
        <v>169</v>
      </c>
      <c r="C242" s="1087" t="s">
        <v>4</v>
      </c>
      <c r="D242" s="1090" t="s">
        <v>5</v>
      </c>
      <c r="E242" s="1090"/>
      <c r="F242" s="1090"/>
      <c r="G242" s="1091" t="s">
        <v>6</v>
      </c>
      <c r="H242" s="1091"/>
      <c r="I242" s="1091"/>
      <c r="J242" s="1087" t="s">
        <v>7</v>
      </c>
      <c r="K242" s="108" t="s">
        <v>8</v>
      </c>
    </row>
    <row r="243" spans="1:14" x14ac:dyDescent="0.25">
      <c r="A243" s="1087"/>
      <c r="B243" s="1089"/>
      <c r="C243" s="1087"/>
      <c r="D243" s="108" t="s">
        <v>9</v>
      </c>
      <c r="E243" s="300" t="s">
        <v>10</v>
      </c>
      <c r="F243" s="300" t="s">
        <v>11</v>
      </c>
      <c r="G243" s="301" t="s">
        <v>12</v>
      </c>
      <c r="H243" s="300" t="s">
        <v>13</v>
      </c>
      <c r="I243" s="300" t="s">
        <v>11</v>
      </c>
      <c r="J243" s="1088"/>
      <c r="K243" s="109"/>
    </row>
    <row r="244" spans="1:14" x14ac:dyDescent="0.25">
      <c r="A244" s="1087"/>
      <c r="B244" s="1089"/>
      <c r="C244" s="1087"/>
      <c r="D244" s="112" t="s">
        <v>14</v>
      </c>
      <c r="E244" s="113" t="s">
        <v>14</v>
      </c>
      <c r="F244" s="113" t="s">
        <v>14</v>
      </c>
      <c r="G244" s="114" t="s">
        <v>15</v>
      </c>
      <c r="H244" s="113" t="s">
        <v>14</v>
      </c>
      <c r="I244" s="113" t="s">
        <v>14</v>
      </c>
      <c r="J244" s="112" t="s">
        <v>15</v>
      </c>
      <c r="K244" s="112"/>
    </row>
    <row r="245" spans="1:14" x14ac:dyDescent="0.25">
      <c r="A245" s="79" t="s">
        <v>185</v>
      </c>
      <c r="B245" s="199" t="s">
        <v>146</v>
      </c>
      <c r="C245" s="24"/>
      <c r="D245" s="10"/>
      <c r="E245" s="34"/>
      <c r="F245" s="34"/>
      <c r="G245" s="6"/>
      <c r="H245" s="34"/>
      <c r="I245" s="34"/>
      <c r="J245" s="10"/>
      <c r="K245" s="10"/>
    </row>
    <row r="246" spans="1:14" x14ac:dyDescent="0.25">
      <c r="A246" s="125" t="s">
        <v>184</v>
      </c>
      <c r="B246" s="280" t="s">
        <v>147</v>
      </c>
      <c r="C246" s="252">
        <f>SUM(C247:C248)</f>
        <v>2905640000</v>
      </c>
      <c r="D246" s="10"/>
      <c r="E246" s="34"/>
      <c r="F246" s="34"/>
      <c r="G246" s="6"/>
      <c r="H246" s="34"/>
      <c r="I246" s="34"/>
      <c r="J246" s="10"/>
      <c r="K246" s="10"/>
    </row>
    <row r="247" spans="1:14" ht="25.5" x14ac:dyDescent="0.25">
      <c r="A247" s="313" t="s">
        <v>44</v>
      </c>
      <c r="B247" s="707" t="s">
        <v>384</v>
      </c>
      <c r="C247" s="253">
        <v>35640000</v>
      </c>
      <c r="D247" s="134">
        <f>C247/C246*100</f>
        <v>1.2265800305612533</v>
      </c>
      <c r="E247" s="134">
        <f t="shared" ref="E247:E248" si="92">G247/C247*100</f>
        <v>50</v>
      </c>
      <c r="F247" s="134">
        <f t="shared" ref="F247:F248" si="93">(D247*E247)/100</f>
        <v>0.61329001528062665</v>
      </c>
      <c r="G247" s="181">
        <f>17820000</f>
        <v>17820000</v>
      </c>
      <c r="H247" s="134">
        <f t="shared" ref="H247:H248" si="94">G247/C247*100</f>
        <v>50</v>
      </c>
      <c r="I247" s="134">
        <f t="shared" ref="I247:I248" si="95">(D247*H247)/100</f>
        <v>0.61329001528062665</v>
      </c>
      <c r="J247" s="6">
        <f t="shared" ref="J247:J248" si="96">G247-C247</f>
        <v>-17820000</v>
      </c>
      <c r="K247" s="10"/>
    </row>
    <row r="248" spans="1:14" x14ac:dyDescent="0.25">
      <c r="A248" s="49" t="s">
        <v>148</v>
      </c>
      <c r="B248" s="133" t="s">
        <v>534</v>
      </c>
      <c r="C248" s="256">
        <v>2870000000</v>
      </c>
      <c r="D248" s="268">
        <f>C248/C246*100</f>
        <v>98.773419969438748</v>
      </c>
      <c r="E248" s="134">
        <f t="shared" si="92"/>
        <v>5.003484320557491</v>
      </c>
      <c r="F248" s="134">
        <f t="shared" si="93"/>
        <v>4.9421125810492699</v>
      </c>
      <c r="G248" s="181">
        <f>143600000</f>
        <v>143600000</v>
      </c>
      <c r="H248" s="134">
        <f t="shared" si="94"/>
        <v>5.003484320557491</v>
      </c>
      <c r="I248" s="134">
        <f t="shared" si="95"/>
        <v>4.9421125810492699</v>
      </c>
      <c r="J248" s="6">
        <f t="shared" si="96"/>
        <v>-2726400000</v>
      </c>
      <c r="K248" s="3"/>
    </row>
    <row r="249" spans="1:14" x14ac:dyDescent="0.25">
      <c r="A249" s="71"/>
      <c r="B249" s="76" t="s">
        <v>95</v>
      </c>
      <c r="C249" s="808">
        <f>SUM(C247:C248)</f>
        <v>2905640000</v>
      </c>
      <c r="D249" s="274">
        <f>SUM(D247:D248)</f>
        <v>100</v>
      </c>
      <c r="E249" s="134"/>
      <c r="F249" s="134"/>
      <c r="G249" s="181">
        <f>SUM(G247:G248)</f>
        <v>161420000</v>
      </c>
      <c r="H249" s="134"/>
      <c r="I249" s="134"/>
      <c r="J249" s="734"/>
      <c r="K249" s="40"/>
    </row>
    <row r="250" spans="1:14" x14ac:dyDescent="0.25">
      <c r="A250" s="53"/>
      <c r="B250" s="5"/>
      <c r="C250" s="189"/>
      <c r="D250" s="29"/>
      <c r="E250" s="30"/>
      <c r="F250" s="23"/>
      <c r="G250" s="11"/>
      <c r="H250" s="32"/>
      <c r="I250" s="23"/>
      <c r="J250" s="15"/>
      <c r="K250" s="37"/>
    </row>
    <row r="251" spans="1:14" x14ac:dyDescent="0.25">
      <c r="A251" s="1087" t="s">
        <v>2</v>
      </c>
      <c r="B251" s="1089" t="s">
        <v>169</v>
      </c>
      <c r="C251" s="1087" t="s">
        <v>4</v>
      </c>
      <c r="D251" s="1090" t="s">
        <v>5</v>
      </c>
      <c r="E251" s="1090"/>
      <c r="F251" s="1090"/>
      <c r="G251" s="1091" t="s">
        <v>6</v>
      </c>
      <c r="H251" s="1091"/>
      <c r="I251" s="1091"/>
      <c r="J251" s="1087" t="s">
        <v>7</v>
      </c>
      <c r="K251" s="108" t="s">
        <v>8</v>
      </c>
    </row>
    <row r="252" spans="1:14" x14ac:dyDescent="0.25">
      <c r="A252" s="1087"/>
      <c r="B252" s="1089"/>
      <c r="C252" s="1087"/>
      <c r="D252" s="108" t="s">
        <v>9</v>
      </c>
      <c r="E252" s="300" t="s">
        <v>10</v>
      </c>
      <c r="F252" s="300" t="s">
        <v>11</v>
      </c>
      <c r="G252" s="301" t="s">
        <v>12</v>
      </c>
      <c r="H252" s="300" t="s">
        <v>13</v>
      </c>
      <c r="I252" s="300" t="s">
        <v>11</v>
      </c>
      <c r="J252" s="1088"/>
      <c r="K252" s="109"/>
    </row>
    <row r="253" spans="1:14" x14ac:dyDescent="0.25">
      <c r="A253" s="1087"/>
      <c r="B253" s="1089"/>
      <c r="C253" s="1087"/>
      <c r="D253" s="112" t="s">
        <v>14</v>
      </c>
      <c r="E253" s="113" t="s">
        <v>14</v>
      </c>
      <c r="F253" s="113" t="s">
        <v>14</v>
      </c>
      <c r="G253" s="114" t="s">
        <v>15</v>
      </c>
      <c r="H253" s="113" t="s">
        <v>14</v>
      </c>
      <c r="I253" s="113" t="s">
        <v>14</v>
      </c>
      <c r="J253" s="112" t="s">
        <v>15</v>
      </c>
      <c r="K253" s="112"/>
    </row>
    <row r="254" spans="1:14" x14ac:dyDescent="0.25">
      <c r="A254" s="79" t="s">
        <v>185</v>
      </c>
      <c r="B254" s="199" t="s">
        <v>146</v>
      </c>
      <c r="C254" s="24"/>
      <c r="D254" s="10"/>
      <c r="E254" s="34"/>
      <c r="F254" s="34"/>
      <c r="G254" s="6"/>
      <c r="H254" s="34"/>
      <c r="I254" s="34"/>
      <c r="J254" s="10"/>
      <c r="K254" s="10"/>
    </row>
    <row r="255" spans="1:14" x14ac:dyDescent="0.25">
      <c r="A255" s="125" t="s">
        <v>187</v>
      </c>
      <c r="B255" s="280" t="s">
        <v>150</v>
      </c>
      <c r="C255" s="252">
        <f>SUM(C256:C260)</f>
        <v>1761745176</v>
      </c>
      <c r="D255" s="10"/>
      <c r="E255" s="34"/>
      <c r="F255" s="34"/>
      <c r="G255" s="6"/>
      <c r="H255" s="34"/>
      <c r="I255" s="34"/>
      <c r="J255" s="10"/>
      <c r="K255" s="10"/>
    </row>
    <row r="256" spans="1:14" ht="25.5" x14ac:dyDescent="0.25">
      <c r="A256" s="313" t="s">
        <v>44</v>
      </c>
      <c r="B256" s="707" t="s">
        <v>384</v>
      </c>
      <c r="C256" s="253">
        <v>30210000</v>
      </c>
      <c r="D256" s="134">
        <f>C256/C255*100</f>
        <v>1.7147769388868757</v>
      </c>
      <c r="E256" s="134">
        <f t="shared" ref="E256:E259" si="97">G256/C256*100</f>
        <v>0</v>
      </c>
      <c r="F256" s="134">
        <f t="shared" ref="F256:F259" si="98">(D256*E256)/100</f>
        <v>0</v>
      </c>
      <c r="G256" s="181">
        <v>0</v>
      </c>
      <c r="H256" s="134">
        <f t="shared" ref="H256:H259" si="99">G256/C256*100</f>
        <v>0</v>
      </c>
      <c r="I256" s="134">
        <f t="shared" ref="I256:I259" si="100">(D256*H256)/100</f>
        <v>0</v>
      </c>
      <c r="J256" s="6">
        <f t="shared" ref="J256:J260" si="101">G256-C256</f>
        <v>-30210000</v>
      </c>
      <c r="K256" s="10"/>
    </row>
    <row r="257" spans="1:11" x14ac:dyDescent="0.25">
      <c r="A257" s="313" t="s">
        <v>59</v>
      </c>
      <c r="B257" s="707" t="s">
        <v>197</v>
      </c>
      <c r="C257" s="253">
        <v>690000</v>
      </c>
      <c r="D257" s="134">
        <f>C257/C255*100</f>
        <v>3.9165709627009077E-2</v>
      </c>
      <c r="E257" s="134">
        <f t="shared" si="97"/>
        <v>0</v>
      </c>
      <c r="F257" s="134">
        <f t="shared" si="98"/>
        <v>0</v>
      </c>
      <c r="G257" s="181">
        <v>0</v>
      </c>
      <c r="H257" s="134">
        <f t="shared" si="99"/>
        <v>0</v>
      </c>
      <c r="I257" s="134">
        <f t="shared" si="100"/>
        <v>0</v>
      </c>
      <c r="J257" s="6">
        <f t="shared" si="101"/>
        <v>-690000</v>
      </c>
      <c r="K257" s="10"/>
    </row>
    <row r="258" spans="1:11" x14ac:dyDescent="0.25">
      <c r="A258" s="312" t="s">
        <v>157</v>
      </c>
      <c r="B258" s="133" t="s">
        <v>534</v>
      </c>
      <c r="C258" s="256">
        <v>1230000000</v>
      </c>
      <c r="D258" s="134">
        <f>C258/C255*100</f>
        <v>69.817134552494437</v>
      </c>
      <c r="E258" s="134">
        <f t="shared" si="97"/>
        <v>5.5203252032520327</v>
      </c>
      <c r="F258" s="134">
        <f t="shared" si="98"/>
        <v>3.8541328748897339</v>
      </c>
      <c r="G258" s="181">
        <f>67900000</f>
        <v>67900000</v>
      </c>
      <c r="H258" s="134">
        <f t="shared" si="99"/>
        <v>5.5203252032520327</v>
      </c>
      <c r="I258" s="134">
        <f t="shared" si="100"/>
        <v>3.8541328748897339</v>
      </c>
      <c r="J258" s="6">
        <f t="shared" si="101"/>
        <v>-1162100000</v>
      </c>
      <c r="K258" s="10"/>
    </row>
    <row r="259" spans="1:11" s="84" customFormat="1" ht="25.5" x14ac:dyDescent="0.2">
      <c r="A259" s="312" t="s">
        <v>152</v>
      </c>
      <c r="B259" s="133" t="s">
        <v>159</v>
      </c>
      <c r="C259" s="256">
        <v>492000000</v>
      </c>
      <c r="D259" s="134">
        <f>C259/C255*100</f>
        <v>27.926853820997778</v>
      </c>
      <c r="E259" s="134">
        <f t="shared" si="97"/>
        <v>41.666666666666671</v>
      </c>
      <c r="F259" s="134">
        <f t="shared" si="98"/>
        <v>11.636189092082409</v>
      </c>
      <c r="G259" s="181">
        <f>205000000</f>
        <v>205000000</v>
      </c>
      <c r="H259" s="134">
        <f t="shared" si="99"/>
        <v>41.666666666666671</v>
      </c>
      <c r="I259" s="134">
        <f t="shared" si="100"/>
        <v>11.636189092082409</v>
      </c>
      <c r="J259" s="6">
        <f t="shared" si="101"/>
        <v>-287000000</v>
      </c>
      <c r="K259" s="38"/>
    </row>
    <row r="260" spans="1:11" s="84" customFormat="1" x14ac:dyDescent="0.2">
      <c r="A260" s="749" t="s">
        <v>234</v>
      </c>
      <c r="B260" s="133" t="s">
        <v>522</v>
      </c>
      <c r="C260" s="256">
        <v>8845176</v>
      </c>
      <c r="D260" s="804"/>
      <c r="E260" s="134"/>
      <c r="F260" s="134"/>
      <c r="G260" s="181">
        <f>8197968</f>
        <v>8197968</v>
      </c>
      <c r="H260" s="134"/>
      <c r="I260" s="134"/>
      <c r="J260" s="6">
        <f t="shared" si="101"/>
        <v>-647208</v>
      </c>
      <c r="K260" s="805"/>
    </row>
    <row r="261" spans="1:11" x14ac:dyDescent="0.25">
      <c r="A261" s="70"/>
      <c r="B261" s="129" t="s">
        <v>95</v>
      </c>
      <c r="C261" s="807">
        <f>SUM(C256:C260)</f>
        <v>1761745176</v>
      </c>
      <c r="D261" s="271">
        <f>SUM(D256:D259)</f>
        <v>99.4979310220061</v>
      </c>
      <c r="E261" s="134"/>
      <c r="F261" s="134"/>
      <c r="G261" s="181">
        <f>SUM(G256:G260)</f>
        <v>281097968</v>
      </c>
      <c r="H261" s="134"/>
      <c r="I261" s="134"/>
      <c r="J261" s="56">
        <v>0</v>
      </c>
      <c r="K261" s="130"/>
    </row>
    <row r="262" spans="1:11" x14ac:dyDescent="0.25">
      <c r="A262" s="53"/>
      <c r="B262" s="5"/>
      <c r="C262" s="189"/>
      <c r="D262" s="29"/>
      <c r="E262" s="30"/>
      <c r="F262" s="23"/>
      <c r="G262" s="11"/>
      <c r="H262" s="32"/>
      <c r="I262" s="23"/>
      <c r="J262" s="15"/>
      <c r="K262" s="37"/>
    </row>
    <row r="263" spans="1:11" x14ac:dyDescent="0.25">
      <c r="A263" s="50"/>
      <c r="B263" s="5"/>
      <c r="C263" s="50"/>
      <c r="D263" s="9"/>
      <c r="E263" s="23"/>
      <c r="F263" s="23"/>
      <c r="G263" s="11"/>
      <c r="H263" s="23"/>
      <c r="I263" s="23"/>
      <c r="J263" s="9"/>
      <c r="K263" s="9"/>
    </row>
    <row r="264" spans="1:11" x14ac:dyDescent="0.25">
      <c r="A264" s="50"/>
      <c r="B264" s="5"/>
      <c r="C264" s="50"/>
      <c r="D264" s="9"/>
      <c r="E264" s="23"/>
      <c r="F264" s="23"/>
      <c r="G264" s="11"/>
      <c r="H264" s="23"/>
      <c r="I264" s="23"/>
      <c r="J264" s="9"/>
      <c r="K264" s="9"/>
    </row>
    <row r="265" spans="1:11" x14ac:dyDescent="0.25">
      <c r="A265" s="1103" t="s">
        <v>2</v>
      </c>
      <c r="B265" s="1116" t="s">
        <v>137</v>
      </c>
      <c r="C265" s="1103" t="s">
        <v>4</v>
      </c>
      <c r="D265" s="1105" t="s">
        <v>5</v>
      </c>
      <c r="E265" s="1106"/>
      <c r="F265" s="1106"/>
      <c r="G265" s="1107" t="s">
        <v>6</v>
      </c>
      <c r="H265" s="1106"/>
      <c r="I265" s="1106"/>
      <c r="J265" s="1108" t="s">
        <v>7</v>
      </c>
      <c r="K265" s="1108" t="s">
        <v>8</v>
      </c>
    </row>
    <row r="266" spans="1:11" x14ac:dyDescent="0.25">
      <c r="A266" s="1103"/>
      <c r="B266" s="1117"/>
      <c r="C266" s="1103"/>
      <c r="D266" s="102" t="s">
        <v>9</v>
      </c>
      <c r="E266" s="103" t="s">
        <v>10</v>
      </c>
      <c r="F266" s="103" t="s">
        <v>11</v>
      </c>
      <c r="G266" s="104" t="s">
        <v>12</v>
      </c>
      <c r="H266" s="103" t="s">
        <v>13</v>
      </c>
      <c r="I266" s="103" t="s">
        <v>11</v>
      </c>
      <c r="J266" s="1109"/>
      <c r="K266" s="1109"/>
    </row>
    <row r="267" spans="1:11" x14ac:dyDescent="0.25">
      <c r="A267" s="1103"/>
      <c r="B267" s="1118"/>
      <c r="C267" s="1103"/>
      <c r="D267" s="105" t="s">
        <v>14</v>
      </c>
      <c r="E267" s="106" t="s">
        <v>14</v>
      </c>
      <c r="F267" s="106" t="s">
        <v>14</v>
      </c>
      <c r="G267" s="107" t="s">
        <v>15</v>
      </c>
      <c r="H267" s="106" t="s">
        <v>14</v>
      </c>
      <c r="I267" s="106" t="s">
        <v>14</v>
      </c>
      <c r="J267" s="105" t="s">
        <v>15</v>
      </c>
      <c r="K267" s="1110"/>
    </row>
    <row r="268" spans="1:11" ht="25.5" x14ac:dyDescent="0.25">
      <c r="A268" s="79" t="s">
        <v>180</v>
      </c>
      <c r="B268" s="696" t="s">
        <v>379</v>
      </c>
      <c r="C268" s="64"/>
      <c r="D268" s="10"/>
      <c r="E268" s="34"/>
      <c r="F268" s="34"/>
      <c r="G268" s="6"/>
      <c r="H268" s="34"/>
      <c r="I268" s="34"/>
      <c r="J268" s="10"/>
      <c r="K268" s="10"/>
    </row>
    <row r="269" spans="1:11" ht="25.5" x14ac:dyDescent="0.25">
      <c r="A269" s="140" t="s">
        <v>181</v>
      </c>
      <c r="B269" s="697" t="s">
        <v>380</v>
      </c>
      <c r="C269" s="86">
        <f>SUM(C270:C282)</f>
        <v>185000000</v>
      </c>
      <c r="D269" s="179"/>
      <c r="E269" s="168"/>
      <c r="F269" s="168"/>
      <c r="G269" s="169"/>
      <c r="H269" s="168"/>
      <c r="I269" s="168"/>
      <c r="J269" s="167"/>
      <c r="K269" s="167"/>
    </row>
    <row r="270" spans="1:11" ht="25.5" x14ac:dyDescent="0.25">
      <c r="A270" s="170" t="s">
        <v>44</v>
      </c>
      <c r="B270" s="707" t="s">
        <v>384</v>
      </c>
      <c r="C270" s="58">
        <v>8580000</v>
      </c>
      <c r="D270" s="180">
        <f>C270/C269*100</f>
        <v>4.6378378378378375</v>
      </c>
      <c r="E270" s="134">
        <f t="shared" ref="E270:E281" si="102">G270/C270*100</f>
        <v>89.16083916083916</v>
      </c>
      <c r="F270" s="134">
        <f t="shared" ref="F270:F281" si="103">(D270*E270)/100</f>
        <v>4.1351351351351351</v>
      </c>
      <c r="G270" s="181">
        <f>7650000</f>
        <v>7650000</v>
      </c>
      <c r="H270" s="134">
        <f t="shared" ref="H270:H281" si="104">G270/C270*100</f>
        <v>89.16083916083916</v>
      </c>
      <c r="I270" s="134">
        <f t="shared" ref="I270:I281" si="105">(D270*H270)/100</f>
        <v>4.1351351351351351</v>
      </c>
      <c r="J270" s="6">
        <f t="shared" ref="J270:J282" si="106">G270-C270</f>
        <v>-930000</v>
      </c>
      <c r="K270" s="167"/>
    </row>
    <row r="271" spans="1:11" x14ac:dyDescent="0.25">
      <c r="A271" s="170" t="s">
        <v>221</v>
      </c>
      <c r="B271" s="707" t="s">
        <v>530</v>
      </c>
      <c r="C271" s="58">
        <v>1350000</v>
      </c>
      <c r="D271" s="180"/>
      <c r="E271" s="134"/>
      <c r="F271" s="134"/>
      <c r="G271" s="181">
        <v>0</v>
      </c>
      <c r="H271" s="134"/>
      <c r="I271" s="134"/>
      <c r="J271" s="6">
        <f t="shared" si="106"/>
        <v>-1350000</v>
      </c>
      <c r="K271" s="167"/>
    </row>
    <row r="272" spans="1:11" x14ac:dyDescent="0.25">
      <c r="A272" s="170" t="s">
        <v>59</v>
      </c>
      <c r="B272" s="707" t="s">
        <v>197</v>
      </c>
      <c r="C272" s="58">
        <v>14728000</v>
      </c>
      <c r="D272" s="729">
        <f>C272/C269*100</f>
        <v>7.9610810810810815</v>
      </c>
      <c r="E272" s="134">
        <f t="shared" si="102"/>
        <v>54.318305268875612</v>
      </c>
      <c r="F272" s="134">
        <f t="shared" si="103"/>
        <v>4.3243243243243246</v>
      </c>
      <c r="G272" s="181">
        <f>8000000</f>
        <v>8000000</v>
      </c>
      <c r="H272" s="134">
        <f t="shared" si="104"/>
        <v>54.318305268875612</v>
      </c>
      <c r="I272" s="134">
        <f t="shared" si="105"/>
        <v>4.3243243243243246</v>
      </c>
      <c r="J272" s="6">
        <f t="shared" si="106"/>
        <v>-6728000</v>
      </c>
      <c r="K272" s="167"/>
    </row>
    <row r="273" spans="1:14" x14ac:dyDescent="0.25">
      <c r="A273" s="170" t="s">
        <v>62</v>
      </c>
      <c r="B273" s="707" t="s">
        <v>334</v>
      </c>
      <c r="C273" s="58">
        <v>8500000</v>
      </c>
      <c r="D273" s="729">
        <f>C273/C269*100</f>
        <v>4.5945945945945947</v>
      </c>
      <c r="E273" s="134">
        <f t="shared" si="102"/>
        <v>58.82352941176471</v>
      </c>
      <c r="F273" s="134">
        <f t="shared" si="103"/>
        <v>2.7027027027027031</v>
      </c>
      <c r="G273" s="181">
        <f>5000000</f>
        <v>5000000</v>
      </c>
      <c r="H273" s="134">
        <f t="shared" si="104"/>
        <v>58.82352941176471</v>
      </c>
      <c r="I273" s="134">
        <f t="shared" si="105"/>
        <v>2.7027027027027031</v>
      </c>
      <c r="J273" s="6">
        <f t="shared" si="106"/>
        <v>-3500000</v>
      </c>
      <c r="K273" s="167"/>
    </row>
    <row r="274" spans="1:14" x14ac:dyDescent="0.25">
      <c r="A274" s="49" t="s">
        <v>148</v>
      </c>
      <c r="B274" s="133" t="s">
        <v>534</v>
      </c>
      <c r="C274" s="58">
        <v>10500000</v>
      </c>
      <c r="D274" s="729"/>
      <c r="E274" s="134"/>
      <c r="F274" s="134"/>
      <c r="G274" s="181">
        <f>10500000</f>
        <v>10500000</v>
      </c>
      <c r="H274" s="134"/>
      <c r="I274" s="134"/>
      <c r="J274" s="6">
        <f t="shared" si="106"/>
        <v>0</v>
      </c>
      <c r="K274" s="167"/>
    </row>
    <row r="275" spans="1:14" x14ac:dyDescent="0.25">
      <c r="A275" s="170" t="s">
        <v>77</v>
      </c>
      <c r="B275" s="49" t="s">
        <v>135</v>
      </c>
      <c r="C275" s="58">
        <v>72860000</v>
      </c>
      <c r="D275" s="729">
        <f>C275/C269*100</f>
        <v>39.383783783783784</v>
      </c>
      <c r="E275" s="134">
        <f t="shared" si="102"/>
        <v>49.220422728520454</v>
      </c>
      <c r="F275" s="134">
        <f t="shared" si="103"/>
        <v>19.384864864864866</v>
      </c>
      <c r="G275" s="181">
        <f>35862000</f>
        <v>35862000</v>
      </c>
      <c r="H275" s="134">
        <f t="shared" si="104"/>
        <v>49.220422728520454</v>
      </c>
      <c r="I275" s="134">
        <f t="shared" si="105"/>
        <v>19.384864864864866</v>
      </c>
      <c r="J275" s="6">
        <f t="shared" si="106"/>
        <v>-36998000</v>
      </c>
      <c r="K275" s="167"/>
    </row>
    <row r="276" spans="1:14" x14ac:dyDescent="0.25">
      <c r="A276" s="170" t="s">
        <v>104</v>
      </c>
      <c r="B276" s="170" t="s">
        <v>179</v>
      </c>
      <c r="C276" s="58">
        <v>34200000</v>
      </c>
      <c r="D276" s="729">
        <f>C276/C269*100</f>
        <v>18.486486486486488</v>
      </c>
      <c r="E276" s="134">
        <f t="shared" si="102"/>
        <v>53.216374269005854</v>
      </c>
      <c r="F276" s="134">
        <f t="shared" si="103"/>
        <v>9.8378378378378404</v>
      </c>
      <c r="G276" s="181">
        <f>18200000</f>
        <v>18200000</v>
      </c>
      <c r="H276" s="134">
        <f t="shared" si="104"/>
        <v>53.216374269005854</v>
      </c>
      <c r="I276" s="134">
        <f t="shared" si="105"/>
        <v>9.8378378378378404</v>
      </c>
      <c r="J276" s="6">
        <f t="shared" si="106"/>
        <v>-16000000</v>
      </c>
      <c r="K276" s="167"/>
    </row>
    <row r="277" spans="1:14" x14ac:dyDescent="0.25">
      <c r="A277" s="170" t="s">
        <v>130</v>
      </c>
      <c r="B277" s="170" t="s">
        <v>131</v>
      </c>
      <c r="C277" s="58">
        <v>3000000</v>
      </c>
      <c r="D277" s="729">
        <f>C277/C269*100</f>
        <v>1.6216216216216217</v>
      </c>
      <c r="E277" s="134">
        <f t="shared" si="102"/>
        <v>0</v>
      </c>
      <c r="F277" s="134">
        <f t="shared" si="103"/>
        <v>0</v>
      </c>
      <c r="G277" s="181">
        <v>0</v>
      </c>
      <c r="H277" s="134">
        <f t="shared" si="104"/>
        <v>0</v>
      </c>
      <c r="I277" s="134">
        <f t="shared" si="105"/>
        <v>0</v>
      </c>
      <c r="J277" s="6">
        <f t="shared" si="106"/>
        <v>-3000000</v>
      </c>
      <c r="K277" s="167"/>
    </row>
    <row r="278" spans="1:14" ht="25.5" x14ac:dyDescent="0.25">
      <c r="A278" s="170" t="s">
        <v>106</v>
      </c>
      <c r="B278" s="316" t="s">
        <v>375</v>
      </c>
      <c r="C278" s="58">
        <v>13950000</v>
      </c>
      <c r="D278" s="180">
        <f>C278/C269*100</f>
        <v>7.5405405405405395</v>
      </c>
      <c r="E278" s="134">
        <f t="shared" si="102"/>
        <v>61.29032258064516</v>
      </c>
      <c r="F278" s="134">
        <f t="shared" si="103"/>
        <v>4.621621621621621</v>
      </c>
      <c r="G278" s="181">
        <f>8550000</f>
        <v>8550000</v>
      </c>
      <c r="H278" s="134">
        <f t="shared" si="104"/>
        <v>61.29032258064516</v>
      </c>
      <c r="I278" s="134">
        <f t="shared" si="105"/>
        <v>4.621621621621621</v>
      </c>
      <c r="J278" s="6">
        <f t="shared" si="106"/>
        <v>-5400000</v>
      </c>
      <c r="K278" s="167"/>
    </row>
    <row r="279" spans="1:14" x14ac:dyDescent="0.25">
      <c r="A279" s="170" t="s">
        <v>162</v>
      </c>
      <c r="B279" s="170" t="s">
        <v>535</v>
      </c>
      <c r="C279" s="178">
        <v>2800000</v>
      </c>
      <c r="D279" s="729">
        <f>C279/C269*100</f>
        <v>1.5135135135135136</v>
      </c>
      <c r="E279" s="134">
        <f t="shared" si="102"/>
        <v>100</v>
      </c>
      <c r="F279" s="134">
        <f t="shared" si="103"/>
        <v>1.5135135135135136</v>
      </c>
      <c r="G279" s="181">
        <f>2800000</f>
        <v>2800000</v>
      </c>
      <c r="H279" s="134">
        <f t="shared" si="104"/>
        <v>100</v>
      </c>
      <c r="I279" s="134">
        <f t="shared" si="105"/>
        <v>1.5135135135135136</v>
      </c>
      <c r="J279" s="6">
        <f t="shared" si="106"/>
        <v>0</v>
      </c>
      <c r="K279" s="167"/>
    </row>
    <row r="280" spans="1:14" ht="25.5" x14ac:dyDescent="0.25">
      <c r="A280" s="170" t="s">
        <v>116</v>
      </c>
      <c r="B280" s="750" t="s">
        <v>420</v>
      </c>
      <c r="C280" s="178">
        <v>1057000</v>
      </c>
      <c r="D280" s="729">
        <f>C280/C270*100</f>
        <v>12.319347319347319</v>
      </c>
      <c r="E280" s="134"/>
      <c r="F280" s="134"/>
      <c r="G280" s="181">
        <v>0</v>
      </c>
      <c r="H280" s="134"/>
      <c r="I280" s="134"/>
      <c r="J280" s="6">
        <f t="shared" si="106"/>
        <v>-1057000</v>
      </c>
      <c r="K280" s="167"/>
    </row>
    <row r="281" spans="1:14" x14ac:dyDescent="0.25">
      <c r="A281" s="170" t="s">
        <v>65</v>
      </c>
      <c r="B281" s="170" t="s">
        <v>190</v>
      </c>
      <c r="C281" s="178">
        <v>7000000</v>
      </c>
      <c r="D281" s="729">
        <f>C281/C269*100</f>
        <v>3.7837837837837842</v>
      </c>
      <c r="E281" s="134">
        <f t="shared" si="102"/>
        <v>0</v>
      </c>
      <c r="F281" s="134">
        <f t="shared" si="103"/>
        <v>0</v>
      </c>
      <c r="G281" s="181">
        <v>0</v>
      </c>
      <c r="H281" s="134">
        <f t="shared" si="104"/>
        <v>0</v>
      </c>
      <c r="I281" s="134">
        <f t="shared" si="105"/>
        <v>0</v>
      </c>
      <c r="J281" s="6">
        <f t="shared" si="106"/>
        <v>-7000000</v>
      </c>
      <c r="K281" s="167"/>
    </row>
    <row r="282" spans="1:14" x14ac:dyDescent="0.25">
      <c r="A282" s="68" t="s">
        <v>301</v>
      </c>
      <c r="B282" s="170" t="s">
        <v>409</v>
      </c>
      <c r="C282" s="58">
        <v>6475000</v>
      </c>
      <c r="D282" s="269"/>
      <c r="E282" s="134"/>
      <c r="F282" s="134"/>
      <c r="G282" s="181">
        <f>6475000</f>
        <v>6475000</v>
      </c>
      <c r="H282" s="134"/>
      <c r="I282" s="134"/>
      <c r="J282" s="6">
        <f t="shared" si="106"/>
        <v>0</v>
      </c>
      <c r="K282" s="167"/>
    </row>
    <row r="283" spans="1:14" x14ac:dyDescent="0.25">
      <c r="A283" s="68"/>
      <c r="B283" s="67" t="s">
        <v>128</v>
      </c>
      <c r="C283" s="60">
        <f>SUM(C270:C282)</f>
        <v>185000000</v>
      </c>
      <c r="D283" s="270">
        <f>SUM(D270:D281)</f>
        <v>101.84259056259057</v>
      </c>
      <c r="E283" s="134"/>
      <c r="F283" s="134"/>
      <c r="G283" s="837">
        <f>SUM(G270:G282)</f>
        <v>103037000</v>
      </c>
      <c r="H283" s="134"/>
      <c r="I283" s="134"/>
      <c r="J283" s="56">
        <v>0</v>
      </c>
      <c r="K283" s="3"/>
    </row>
    <row r="284" spans="1:14" x14ac:dyDescent="0.25">
      <c r="A284" s="190"/>
      <c r="B284" s="2"/>
      <c r="C284" s="59"/>
      <c r="D284" s="41"/>
      <c r="E284" s="31"/>
      <c r="F284" s="31"/>
      <c r="G284" s="36"/>
      <c r="H284" s="31"/>
      <c r="I284" s="31"/>
      <c r="J284" s="33"/>
      <c r="K284" s="37"/>
    </row>
    <row r="285" spans="1:14" ht="31.5" x14ac:dyDescent="0.25">
      <c r="A285" s="55"/>
      <c r="B285" s="46" t="s">
        <v>145</v>
      </c>
      <c r="C285" s="155"/>
      <c r="D285" s="44"/>
      <c r="E285" s="45"/>
      <c r="F285" s="45"/>
      <c r="G285" s="48"/>
      <c r="H285" s="45"/>
      <c r="I285" s="45"/>
      <c r="J285" s="44"/>
      <c r="K285" s="44"/>
      <c r="L285" s="1"/>
      <c r="M285" s="1"/>
      <c r="N285" s="1"/>
    </row>
    <row r="286" spans="1:14" x14ac:dyDescent="0.25">
      <c r="A286" s="1111" t="s">
        <v>2</v>
      </c>
      <c r="B286" s="1104" t="s">
        <v>170</v>
      </c>
      <c r="C286" s="1111" t="s">
        <v>4</v>
      </c>
      <c r="D286" s="1112" t="s">
        <v>5</v>
      </c>
      <c r="E286" s="1113"/>
      <c r="F286" s="1113"/>
      <c r="G286" s="1114" t="s">
        <v>6</v>
      </c>
      <c r="H286" s="1113"/>
      <c r="I286" s="1113"/>
      <c r="J286" s="1111" t="s">
        <v>7</v>
      </c>
      <c r="K286" s="285" t="s">
        <v>8</v>
      </c>
    </row>
    <row r="287" spans="1:14" x14ac:dyDescent="0.25">
      <c r="A287" s="1111"/>
      <c r="B287" s="1104"/>
      <c r="C287" s="1111"/>
      <c r="D287" s="285" t="s">
        <v>9</v>
      </c>
      <c r="E287" s="304" t="s">
        <v>10</v>
      </c>
      <c r="F287" s="304" t="s">
        <v>11</v>
      </c>
      <c r="G287" s="305" t="s">
        <v>12</v>
      </c>
      <c r="H287" s="304" t="s">
        <v>13</v>
      </c>
      <c r="I287" s="304" t="s">
        <v>11</v>
      </c>
      <c r="J287" s="1115"/>
      <c r="K287" s="287"/>
    </row>
    <row r="288" spans="1:14" x14ac:dyDescent="0.25">
      <c r="A288" s="1111"/>
      <c r="B288" s="1104"/>
      <c r="C288" s="1111"/>
      <c r="D288" s="286" t="s">
        <v>14</v>
      </c>
      <c r="E288" s="302" t="s">
        <v>14</v>
      </c>
      <c r="F288" s="302" t="s">
        <v>14</v>
      </c>
      <c r="G288" s="303" t="s">
        <v>15</v>
      </c>
      <c r="H288" s="302" t="s">
        <v>14</v>
      </c>
      <c r="I288" s="302" t="s">
        <v>14</v>
      </c>
      <c r="J288" s="286" t="s">
        <v>15</v>
      </c>
      <c r="K288" s="286"/>
    </row>
    <row r="289" spans="1:11" x14ac:dyDescent="0.25">
      <c r="A289" s="144" t="s">
        <v>185</v>
      </c>
      <c r="B289" s="199" t="s">
        <v>146</v>
      </c>
      <c r="C289" s="145"/>
      <c r="D289" s="146"/>
      <c r="E289" s="147"/>
      <c r="F289" s="147"/>
      <c r="G289" s="148"/>
      <c r="H289" s="147"/>
      <c r="I289" s="147"/>
      <c r="J289" s="146"/>
      <c r="K289" s="146"/>
    </row>
    <row r="290" spans="1:11" x14ac:dyDescent="0.25">
      <c r="A290" s="318" t="s">
        <v>184</v>
      </c>
      <c r="B290" s="280" t="s">
        <v>147</v>
      </c>
      <c r="C290" s="257">
        <f>SUM(C291:C292)</f>
        <v>2480900000</v>
      </c>
      <c r="D290" s="146"/>
      <c r="E290" s="147"/>
      <c r="F290" s="147"/>
      <c r="G290" s="148"/>
      <c r="H290" s="147"/>
      <c r="I290" s="147"/>
      <c r="J290" s="146"/>
      <c r="K290" s="146"/>
    </row>
    <row r="291" spans="1:11" ht="25.5" x14ac:dyDescent="0.25">
      <c r="A291" s="319" t="s">
        <v>44</v>
      </c>
      <c r="B291" s="707" t="s">
        <v>384</v>
      </c>
      <c r="C291" s="149">
        <v>30900000</v>
      </c>
      <c r="D291" s="267">
        <f>C291/C290*100</f>
        <v>1.2455157402555526</v>
      </c>
      <c r="E291" s="134">
        <f t="shared" ref="E291:E292" si="107">G291/C291*100</f>
        <v>41.666666666666671</v>
      </c>
      <c r="F291" s="134">
        <f t="shared" ref="F291:F292" si="108">(D291*E291)/100</f>
        <v>0.51896489177314697</v>
      </c>
      <c r="G291" s="181">
        <f>12875000</f>
        <v>12875000</v>
      </c>
      <c r="H291" s="134">
        <f t="shared" ref="H291:H292" si="109">G291/C291*100</f>
        <v>41.666666666666671</v>
      </c>
      <c r="I291" s="134">
        <f t="shared" ref="I291:I292" si="110">(D291*H291)/100</f>
        <v>0.51896489177314697</v>
      </c>
      <c r="J291" s="6">
        <f t="shared" ref="J291:J292" si="111">G291-C291</f>
        <v>-18025000</v>
      </c>
      <c r="K291" s="146"/>
    </row>
    <row r="292" spans="1:11" x14ac:dyDescent="0.25">
      <c r="A292" s="49" t="s">
        <v>148</v>
      </c>
      <c r="B292" s="133" t="s">
        <v>534</v>
      </c>
      <c r="C292" s="149">
        <v>2450000000</v>
      </c>
      <c r="D292" s="267">
        <f>C292/C290*100</f>
        <v>98.754484259744444</v>
      </c>
      <c r="E292" s="134">
        <f t="shared" si="107"/>
        <v>0</v>
      </c>
      <c r="F292" s="134">
        <f t="shared" si="108"/>
        <v>0</v>
      </c>
      <c r="G292" s="181">
        <v>0</v>
      </c>
      <c r="H292" s="134">
        <f t="shared" si="109"/>
        <v>0</v>
      </c>
      <c r="I292" s="134">
        <f t="shared" si="110"/>
        <v>0</v>
      </c>
      <c r="J292" s="6">
        <f t="shared" si="111"/>
        <v>-2450000000</v>
      </c>
      <c r="K292" s="146"/>
    </row>
    <row r="293" spans="1:11" x14ac:dyDescent="0.25">
      <c r="A293" s="71"/>
      <c r="B293" s="76" t="s">
        <v>95</v>
      </c>
      <c r="C293" s="809">
        <f>SUM(C291:C292)</f>
        <v>2480900000</v>
      </c>
      <c r="D293" s="141">
        <f>SUM(D291:D292)</f>
        <v>100</v>
      </c>
      <c r="E293" s="134"/>
      <c r="F293" s="134"/>
      <c r="G293" s="181">
        <f>SUM(G291:G292)</f>
        <v>12875000</v>
      </c>
      <c r="H293" s="134"/>
      <c r="I293" s="134"/>
      <c r="J293" s="56">
        <v>0</v>
      </c>
      <c r="K293" s="143"/>
    </row>
    <row r="294" spans="1:11" x14ac:dyDescent="0.25">
      <c r="A294" s="190"/>
      <c r="B294" s="2"/>
      <c r="C294" s="59"/>
      <c r="D294" s="41"/>
      <c r="E294" s="31"/>
      <c r="F294" s="31"/>
      <c r="G294" s="36"/>
      <c r="H294" s="31"/>
      <c r="I294" s="31"/>
      <c r="J294" s="33"/>
      <c r="K294" s="37"/>
    </row>
    <row r="295" spans="1:11" x14ac:dyDescent="0.25">
      <c r="A295" s="1103" t="s">
        <v>2</v>
      </c>
      <c r="B295" s="1104" t="s">
        <v>170</v>
      </c>
      <c r="C295" s="1103" t="s">
        <v>4</v>
      </c>
      <c r="D295" s="1105" t="s">
        <v>5</v>
      </c>
      <c r="E295" s="1106"/>
      <c r="F295" s="1106"/>
      <c r="G295" s="1107" t="s">
        <v>6</v>
      </c>
      <c r="H295" s="1106"/>
      <c r="I295" s="1106"/>
      <c r="J295" s="1103" t="s">
        <v>7</v>
      </c>
      <c r="K295" s="288" t="s">
        <v>8</v>
      </c>
    </row>
    <row r="296" spans="1:11" x14ac:dyDescent="0.25">
      <c r="A296" s="1103"/>
      <c r="B296" s="1104"/>
      <c r="C296" s="1103"/>
      <c r="D296" s="288" t="s">
        <v>9</v>
      </c>
      <c r="E296" s="306" t="s">
        <v>10</v>
      </c>
      <c r="F296" s="306" t="s">
        <v>11</v>
      </c>
      <c r="G296" s="307" t="s">
        <v>12</v>
      </c>
      <c r="H296" s="306" t="s">
        <v>13</v>
      </c>
      <c r="I296" s="306" t="s">
        <v>11</v>
      </c>
      <c r="J296" s="1108"/>
      <c r="K296" s="102"/>
    </row>
    <row r="297" spans="1:11" x14ac:dyDescent="0.25">
      <c r="A297" s="1103"/>
      <c r="B297" s="1104"/>
      <c r="C297" s="1103"/>
      <c r="D297" s="105" t="s">
        <v>14</v>
      </c>
      <c r="E297" s="106" t="s">
        <v>14</v>
      </c>
      <c r="F297" s="106" t="s">
        <v>14</v>
      </c>
      <c r="G297" s="107" t="s">
        <v>15</v>
      </c>
      <c r="H297" s="106" t="s">
        <v>14</v>
      </c>
      <c r="I297" s="106" t="s">
        <v>14</v>
      </c>
      <c r="J297" s="105" t="s">
        <v>15</v>
      </c>
      <c r="K297" s="105"/>
    </row>
    <row r="298" spans="1:11" x14ac:dyDescent="0.25">
      <c r="A298" s="79" t="s">
        <v>185</v>
      </c>
      <c r="B298" s="199" t="s">
        <v>146</v>
      </c>
      <c r="C298" s="24"/>
      <c r="D298" s="10"/>
      <c r="E298" s="34"/>
      <c r="F298" s="34"/>
      <c r="G298" s="6"/>
      <c r="H298" s="34"/>
      <c r="I298" s="34"/>
      <c r="J298" s="10"/>
      <c r="K298" s="10"/>
    </row>
    <row r="299" spans="1:11" x14ac:dyDescent="0.25">
      <c r="A299" s="125" t="s">
        <v>187</v>
      </c>
      <c r="B299" s="280" t="s">
        <v>150</v>
      </c>
      <c r="C299" s="131">
        <f>SUM(C300:C303)</f>
        <v>1508450760</v>
      </c>
      <c r="D299" s="10"/>
      <c r="E299" s="34"/>
      <c r="F299" s="34"/>
      <c r="G299" s="6"/>
      <c r="H299" s="34"/>
      <c r="I299" s="34"/>
      <c r="J299" s="10"/>
      <c r="K299" s="10"/>
    </row>
    <row r="300" spans="1:11" ht="25.5" x14ac:dyDescent="0.25">
      <c r="A300" s="124" t="s">
        <v>44</v>
      </c>
      <c r="B300" s="707" t="s">
        <v>384</v>
      </c>
      <c r="C300" s="253">
        <v>30900000</v>
      </c>
      <c r="D300" s="134">
        <f>C300/C299*100</f>
        <v>2.0484593080121489</v>
      </c>
      <c r="E300" s="134">
        <f t="shared" ref="E300:E302" si="112">G300/C300*100</f>
        <v>41.666666666666671</v>
      </c>
      <c r="F300" s="134">
        <f t="shared" ref="F300:F302" si="113">(D300*E300)/100</f>
        <v>0.85352471167172883</v>
      </c>
      <c r="G300" s="181">
        <f>12875000</f>
        <v>12875000</v>
      </c>
      <c r="H300" s="134">
        <f t="shared" ref="H300:H302" si="114">G300/C300*100</f>
        <v>41.666666666666671</v>
      </c>
      <c r="I300" s="134">
        <f t="shared" ref="I300:I302" si="115">(D300*H300)/100</f>
        <v>0.85352471167172883</v>
      </c>
      <c r="J300" s="6">
        <f t="shared" ref="J300:J303" si="116">G300-C300</f>
        <v>-18025000</v>
      </c>
      <c r="K300" s="10"/>
    </row>
    <row r="301" spans="1:11" x14ac:dyDescent="0.25">
      <c r="A301" s="49" t="s">
        <v>148</v>
      </c>
      <c r="B301" s="133" t="s">
        <v>534</v>
      </c>
      <c r="C301" s="256">
        <v>1050000000</v>
      </c>
      <c r="D301" s="134">
        <f>C301/C299*100</f>
        <v>69.607840563519616</v>
      </c>
      <c r="E301" s="134">
        <f t="shared" si="112"/>
        <v>39.990076190476195</v>
      </c>
      <c r="F301" s="134">
        <f t="shared" si="113"/>
        <v>27.836228475896686</v>
      </c>
      <c r="G301" s="181">
        <f>419895800</f>
        <v>419895800</v>
      </c>
      <c r="H301" s="134">
        <f t="shared" si="114"/>
        <v>39.990076190476195</v>
      </c>
      <c r="I301" s="134">
        <f t="shared" si="115"/>
        <v>27.836228475896686</v>
      </c>
      <c r="J301" s="6">
        <f t="shared" si="116"/>
        <v>-630104200</v>
      </c>
      <c r="K301" s="10"/>
    </row>
    <row r="302" spans="1:11" s="84" customFormat="1" ht="25.5" x14ac:dyDescent="0.2">
      <c r="A302" s="49" t="s">
        <v>152</v>
      </c>
      <c r="B302" s="133" t="s">
        <v>153</v>
      </c>
      <c r="C302" s="256">
        <v>420000000</v>
      </c>
      <c r="D302" s="134">
        <f>C302/C299*100</f>
        <v>27.84313622540785</v>
      </c>
      <c r="E302" s="134">
        <f t="shared" si="112"/>
        <v>41.666666666666671</v>
      </c>
      <c r="F302" s="134">
        <f t="shared" si="113"/>
        <v>11.601306760586606</v>
      </c>
      <c r="G302" s="181">
        <f>175000000</f>
        <v>175000000</v>
      </c>
      <c r="H302" s="134">
        <f t="shared" si="114"/>
        <v>41.666666666666671</v>
      </c>
      <c r="I302" s="134">
        <f t="shared" si="115"/>
        <v>11.601306760586606</v>
      </c>
      <c r="J302" s="6">
        <f t="shared" si="116"/>
        <v>-245000000</v>
      </c>
      <c r="K302" s="38"/>
    </row>
    <row r="303" spans="1:11" s="84" customFormat="1" x14ac:dyDescent="0.2">
      <c r="A303" s="749" t="s">
        <v>234</v>
      </c>
      <c r="B303" s="133" t="s">
        <v>522</v>
      </c>
      <c r="C303" s="256">
        <v>7550760</v>
      </c>
      <c r="D303" s="804"/>
      <c r="E303" s="134"/>
      <c r="F303" s="134"/>
      <c r="G303" s="181"/>
      <c r="H303" s="134"/>
      <c r="I303" s="134"/>
      <c r="J303" s="6">
        <f t="shared" si="116"/>
        <v>-7550760</v>
      </c>
      <c r="K303" s="805"/>
    </row>
    <row r="304" spans="1:11" x14ac:dyDescent="0.25">
      <c r="A304" s="70"/>
      <c r="B304" s="129" t="s">
        <v>95</v>
      </c>
      <c r="C304" s="807">
        <f>SUM(C300:C303)</f>
        <v>1508450760</v>
      </c>
      <c r="D304" s="271">
        <f>SUM(D300:D302)</f>
        <v>99.499436096939618</v>
      </c>
      <c r="E304" s="134"/>
      <c r="F304" s="134"/>
      <c r="G304" s="181">
        <f>SUM(G300:G303)</f>
        <v>607770800</v>
      </c>
      <c r="H304" s="134"/>
      <c r="I304" s="134"/>
      <c r="J304" s="56">
        <v>0</v>
      </c>
      <c r="K304" s="130"/>
    </row>
    <row r="305" spans="1:15" x14ac:dyDescent="0.25">
      <c r="A305" s="190"/>
      <c r="B305" s="2"/>
      <c r="C305" s="59"/>
      <c r="D305" s="41"/>
      <c r="E305" s="31"/>
      <c r="F305" s="31"/>
      <c r="G305" s="36"/>
      <c r="H305" s="31"/>
      <c r="I305" s="31"/>
      <c r="J305" s="33"/>
      <c r="K305" s="37"/>
    </row>
    <row r="306" spans="1:15" x14ac:dyDescent="0.25">
      <c r="A306" s="50"/>
      <c r="B306" s="5"/>
      <c r="C306" s="50"/>
      <c r="D306" s="9"/>
      <c r="E306" s="23"/>
      <c r="F306" s="23"/>
      <c r="G306" s="11"/>
      <c r="H306" s="23"/>
      <c r="I306" s="23"/>
      <c r="J306" s="9"/>
      <c r="K306" s="9"/>
    </row>
    <row r="307" spans="1:15" x14ac:dyDescent="0.25">
      <c r="A307" s="1123" t="s">
        <v>2</v>
      </c>
      <c r="B307" s="1126" t="s">
        <v>138</v>
      </c>
      <c r="C307" s="1129" t="s">
        <v>4</v>
      </c>
      <c r="D307" s="1121" t="s">
        <v>5</v>
      </c>
      <c r="E307" s="1132"/>
      <c r="F307" s="1132"/>
      <c r="G307" s="1122" t="s">
        <v>6</v>
      </c>
      <c r="H307" s="1132"/>
      <c r="I307" s="1132"/>
      <c r="J307" s="1123" t="s">
        <v>7</v>
      </c>
      <c r="K307" s="1123" t="s">
        <v>8</v>
      </c>
    </row>
    <row r="308" spans="1:15" x14ac:dyDescent="0.25">
      <c r="A308" s="1124"/>
      <c r="B308" s="1127"/>
      <c r="C308" s="1130"/>
      <c r="D308" s="289" t="s">
        <v>9</v>
      </c>
      <c r="E308" s="308" t="s">
        <v>10</v>
      </c>
      <c r="F308" s="308" t="s">
        <v>11</v>
      </c>
      <c r="G308" s="117" t="s">
        <v>12</v>
      </c>
      <c r="H308" s="116" t="s">
        <v>13</v>
      </c>
      <c r="I308" s="116" t="s">
        <v>11</v>
      </c>
      <c r="J308" s="1124"/>
      <c r="K308" s="1124"/>
    </row>
    <row r="309" spans="1:15" x14ac:dyDescent="0.25">
      <c r="A309" s="1125"/>
      <c r="B309" s="1128"/>
      <c r="C309" s="1131"/>
      <c r="D309" s="115" t="s">
        <v>14</v>
      </c>
      <c r="E309" s="119" t="s">
        <v>14</v>
      </c>
      <c r="F309" s="119" t="s">
        <v>14</v>
      </c>
      <c r="G309" s="120" t="s">
        <v>15</v>
      </c>
      <c r="H309" s="119" t="s">
        <v>14</v>
      </c>
      <c r="I309" s="119" t="s">
        <v>14</v>
      </c>
      <c r="J309" s="118" t="s">
        <v>15</v>
      </c>
      <c r="K309" s="1125"/>
    </row>
    <row r="310" spans="1:15" ht="25.5" x14ac:dyDescent="0.25">
      <c r="A310" s="79" t="s">
        <v>180</v>
      </c>
      <c r="B310" s="696" t="s">
        <v>379</v>
      </c>
      <c r="C310" s="127"/>
      <c r="D310" s="121"/>
      <c r="E310" s="34"/>
      <c r="F310" s="34"/>
      <c r="G310" s="6"/>
      <c r="H310" s="34"/>
      <c r="I310" s="34"/>
      <c r="J310" s="10"/>
      <c r="K310" s="85"/>
    </row>
    <row r="311" spans="1:15" ht="25.5" x14ac:dyDescent="0.25">
      <c r="A311" s="125" t="s">
        <v>181</v>
      </c>
      <c r="B311" s="697" t="s">
        <v>380</v>
      </c>
      <c r="C311" s="88">
        <f>SUM(C312:C329)</f>
        <v>185000000</v>
      </c>
      <c r="D311" s="121"/>
      <c r="E311" s="34"/>
      <c r="F311" s="34"/>
      <c r="G311" s="6"/>
      <c r="H311" s="34"/>
      <c r="I311" s="34"/>
      <c r="J311" s="10"/>
      <c r="K311" s="156"/>
    </row>
    <row r="312" spans="1:15" ht="25.5" x14ac:dyDescent="0.25">
      <c r="A312" s="49" t="s">
        <v>44</v>
      </c>
      <c r="B312" s="707" t="s">
        <v>384</v>
      </c>
      <c r="C312" s="39">
        <v>8730000</v>
      </c>
      <c r="D312" s="727">
        <f>C312/C311*100</f>
        <v>4.7189189189189191</v>
      </c>
      <c r="E312" s="134">
        <f t="shared" ref="E312:E320" si="117">G312/C312*100</f>
        <v>100</v>
      </c>
      <c r="F312" s="134">
        <f t="shared" ref="F312:F320" si="118">(D312*E312)/100</f>
        <v>4.7189189189189191</v>
      </c>
      <c r="G312" s="181">
        <f>8730000</f>
        <v>8730000</v>
      </c>
      <c r="H312" s="134">
        <f t="shared" ref="H312:H320" si="119">G312/C312*100</f>
        <v>100</v>
      </c>
      <c r="I312" s="134">
        <f t="shared" ref="I312:I320" si="120">(D312*H312)/100</f>
        <v>4.7189189189189191</v>
      </c>
      <c r="J312" s="6">
        <f t="shared" ref="J312:J329" si="121">G312-C312</f>
        <v>0</v>
      </c>
      <c r="K312" s="10"/>
      <c r="O312" s="717"/>
    </row>
    <row r="313" spans="1:15" x14ac:dyDescent="0.25">
      <c r="A313" s="49" t="s">
        <v>59</v>
      </c>
      <c r="B313" s="707" t="s">
        <v>197</v>
      </c>
      <c r="C313" s="39">
        <v>13887500</v>
      </c>
      <c r="D313" s="727">
        <f>C313/C311*100</f>
        <v>7.5067567567567561</v>
      </c>
      <c r="E313" s="134">
        <f t="shared" si="117"/>
        <v>57.605760576057605</v>
      </c>
      <c r="F313" s="134">
        <f t="shared" si="118"/>
        <v>4.3243243243243237</v>
      </c>
      <c r="G313" s="181">
        <f>8000000</f>
        <v>8000000</v>
      </c>
      <c r="H313" s="134">
        <f t="shared" si="119"/>
        <v>57.605760576057605</v>
      </c>
      <c r="I313" s="134">
        <f t="shared" si="120"/>
        <v>4.3243243243243237</v>
      </c>
      <c r="J313" s="6">
        <f t="shared" si="121"/>
        <v>-5887500</v>
      </c>
      <c r="K313" s="10"/>
    </row>
    <row r="314" spans="1:15" x14ac:dyDescent="0.25">
      <c r="A314" s="49" t="s">
        <v>62</v>
      </c>
      <c r="B314" s="707" t="s">
        <v>414</v>
      </c>
      <c r="C314" s="39">
        <v>7970500</v>
      </c>
      <c r="D314" s="727"/>
      <c r="E314" s="134"/>
      <c r="F314" s="134"/>
      <c r="G314" s="181">
        <v>0</v>
      </c>
      <c r="H314" s="134"/>
      <c r="I314" s="134"/>
      <c r="J314" s="6">
        <f t="shared" si="121"/>
        <v>-7970500</v>
      </c>
      <c r="K314" s="10"/>
    </row>
    <row r="315" spans="1:15" x14ac:dyDescent="0.25">
      <c r="A315" s="49" t="s">
        <v>54</v>
      </c>
      <c r="B315" s="707" t="s">
        <v>536</v>
      </c>
      <c r="C315" s="39">
        <v>800000</v>
      </c>
      <c r="D315" s="727"/>
      <c r="E315" s="134"/>
      <c r="F315" s="134"/>
      <c r="G315" s="181">
        <f>800000</f>
        <v>800000</v>
      </c>
      <c r="H315" s="134"/>
      <c r="I315" s="134"/>
      <c r="J315" s="6">
        <f t="shared" si="121"/>
        <v>0</v>
      </c>
      <c r="K315" s="10"/>
    </row>
    <row r="316" spans="1:15" ht="25.5" x14ac:dyDescent="0.25">
      <c r="A316" s="49" t="s">
        <v>193</v>
      </c>
      <c r="B316" s="707" t="s">
        <v>537</v>
      </c>
      <c r="C316" s="39">
        <v>8750000</v>
      </c>
      <c r="D316" s="727"/>
      <c r="E316" s="134"/>
      <c r="F316" s="134"/>
      <c r="G316" s="181">
        <f>8750000</f>
        <v>8750000</v>
      </c>
      <c r="H316" s="134"/>
      <c r="I316" s="134"/>
      <c r="J316" s="6">
        <f t="shared" si="121"/>
        <v>0</v>
      </c>
      <c r="K316" s="10"/>
    </row>
    <row r="317" spans="1:15" x14ac:dyDescent="0.25">
      <c r="A317" s="49" t="s">
        <v>148</v>
      </c>
      <c r="B317" s="133" t="s">
        <v>534</v>
      </c>
      <c r="C317" s="39">
        <v>10000000</v>
      </c>
      <c r="D317" s="727"/>
      <c r="E317" s="134"/>
      <c r="F317" s="134"/>
      <c r="G317" s="181">
        <f>10000000</f>
        <v>10000000</v>
      </c>
      <c r="H317" s="134"/>
      <c r="I317" s="134"/>
      <c r="J317" s="6">
        <f t="shared" si="121"/>
        <v>0</v>
      </c>
      <c r="K317" s="10"/>
    </row>
    <row r="318" spans="1:15" x14ac:dyDescent="0.25">
      <c r="A318" s="49" t="s">
        <v>77</v>
      </c>
      <c r="B318" s="49" t="s">
        <v>139</v>
      </c>
      <c r="C318" s="39">
        <v>82680000</v>
      </c>
      <c r="D318" s="727">
        <f>C318/C311*100</f>
        <v>44.691891891891892</v>
      </c>
      <c r="E318" s="134">
        <f t="shared" si="117"/>
        <v>56.204644412191584</v>
      </c>
      <c r="F318" s="134">
        <f t="shared" si="118"/>
        <v>25.118918918918922</v>
      </c>
      <c r="G318" s="181">
        <f>46470000</f>
        <v>46470000</v>
      </c>
      <c r="H318" s="134">
        <f t="shared" si="119"/>
        <v>56.204644412191584</v>
      </c>
      <c r="I318" s="134">
        <f t="shared" si="120"/>
        <v>25.118918918918922</v>
      </c>
      <c r="J318" s="6">
        <f t="shared" si="121"/>
        <v>-36210000</v>
      </c>
      <c r="K318" s="10"/>
    </row>
    <row r="319" spans="1:15" x14ac:dyDescent="0.25">
      <c r="A319" s="49" t="s">
        <v>104</v>
      </c>
      <c r="B319" s="170" t="s">
        <v>418</v>
      </c>
      <c r="C319" s="39">
        <v>7300000</v>
      </c>
      <c r="D319" s="727">
        <f>C319/C311*100</f>
        <v>3.9459459459459461</v>
      </c>
      <c r="E319" s="134">
        <f t="shared" si="117"/>
        <v>0</v>
      </c>
      <c r="F319" s="134">
        <f t="shared" si="118"/>
        <v>0</v>
      </c>
      <c r="G319" s="181">
        <v>0</v>
      </c>
      <c r="H319" s="134">
        <f t="shared" si="119"/>
        <v>0</v>
      </c>
      <c r="I319" s="134">
        <f t="shared" si="120"/>
        <v>0</v>
      </c>
      <c r="J319" s="6">
        <f t="shared" si="121"/>
        <v>-7300000</v>
      </c>
      <c r="K319" s="10"/>
    </row>
    <row r="320" spans="1:15" ht="25.5" x14ac:dyDescent="0.25">
      <c r="A320" s="49" t="s">
        <v>192</v>
      </c>
      <c r="B320" s="316" t="s">
        <v>375</v>
      </c>
      <c r="C320" s="39">
        <v>13050000</v>
      </c>
      <c r="D320" s="727">
        <f>C320/C311*100</f>
        <v>7.0540540540540544</v>
      </c>
      <c r="E320" s="134">
        <f t="shared" si="117"/>
        <v>55.172413793103445</v>
      </c>
      <c r="F320" s="134">
        <f t="shared" si="118"/>
        <v>3.8918918918918917</v>
      </c>
      <c r="G320" s="181">
        <f>7200000</f>
        <v>7200000</v>
      </c>
      <c r="H320" s="134">
        <f t="shared" si="119"/>
        <v>55.172413793103445</v>
      </c>
      <c r="I320" s="134">
        <f t="shared" si="120"/>
        <v>3.8918918918918917</v>
      </c>
      <c r="J320" s="6">
        <f t="shared" si="121"/>
        <v>-5850000</v>
      </c>
      <c r="K320" s="10"/>
    </row>
    <row r="321" spans="1:14" x14ac:dyDescent="0.25">
      <c r="A321" s="749" t="s">
        <v>162</v>
      </c>
      <c r="B321" s="316" t="s">
        <v>538</v>
      </c>
      <c r="C321" s="751">
        <v>2000000</v>
      </c>
      <c r="D321" s="727"/>
      <c r="E321" s="134"/>
      <c r="F321" s="134"/>
      <c r="G321" s="181">
        <f>2000000</f>
        <v>2000000</v>
      </c>
      <c r="H321" s="134"/>
      <c r="I321" s="134"/>
      <c r="J321" s="6">
        <f t="shared" si="121"/>
        <v>0</v>
      </c>
      <c r="K321" s="130"/>
    </row>
    <row r="322" spans="1:14" x14ac:dyDescent="0.25">
      <c r="A322" s="749" t="s">
        <v>527</v>
      </c>
      <c r="B322" s="316" t="s">
        <v>523</v>
      </c>
      <c r="C322" s="751">
        <v>1150000</v>
      </c>
      <c r="D322" s="727"/>
      <c r="E322" s="134"/>
      <c r="F322" s="134"/>
      <c r="G322" s="181">
        <f>1150000</f>
        <v>1150000</v>
      </c>
      <c r="H322" s="134"/>
      <c r="I322" s="134"/>
      <c r="J322" s="6">
        <f t="shared" si="121"/>
        <v>0</v>
      </c>
      <c r="K322" s="130"/>
    </row>
    <row r="323" spans="1:14" x14ac:dyDescent="0.25">
      <c r="A323" s="749" t="s">
        <v>112</v>
      </c>
      <c r="B323" s="316" t="s">
        <v>525</v>
      </c>
      <c r="C323" s="751">
        <v>800000</v>
      </c>
      <c r="D323" s="727"/>
      <c r="E323" s="134"/>
      <c r="F323" s="134"/>
      <c r="G323" s="181">
        <f>800000</f>
        <v>800000</v>
      </c>
      <c r="H323" s="134"/>
      <c r="I323" s="134"/>
      <c r="J323" s="6">
        <f t="shared" si="121"/>
        <v>0</v>
      </c>
      <c r="K323" s="130"/>
    </row>
    <row r="324" spans="1:14" x14ac:dyDescent="0.25">
      <c r="A324" s="749" t="s">
        <v>521</v>
      </c>
      <c r="B324" s="316" t="s">
        <v>539</v>
      </c>
      <c r="C324" s="751">
        <v>1000000</v>
      </c>
      <c r="D324" s="727"/>
      <c r="E324" s="134"/>
      <c r="F324" s="134"/>
      <c r="G324" s="181">
        <f>1000000</f>
        <v>1000000</v>
      </c>
      <c r="H324" s="134"/>
      <c r="I324" s="134"/>
      <c r="J324" s="6">
        <f t="shared" si="121"/>
        <v>0</v>
      </c>
      <c r="K324" s="130"/>
    </row>
    <row r="325" spans="1:14" ht="25.5" x14ac:dyDescent="0.25">
      <c r="A325" s="749" t="s">
        <v>116</v>
      </c>
      <c r="B325" s="316" t="s">
        <v>420</v>
      </c>
      <c r="C325" s="751">
        <v>1382000</v>
      </c>
      <c r="D325" s="727">
        <f>C325/C312*100</f>
        <v>15.830469644902633</v>
      </c>
      <c r="E325" s="134"/>
      <c r="F325" s="134"/>
      <c r="G325" s="181">
        <f>1382000</f>
        <v>1382000</v>
      </c>
      <c r="H325" s="134"/>
      <c r="I325" s="134"/>
      <c r="J325" s="6">
        <f t="shared" si="121"/>
        <v>0</v>
      </c>
      <c r="K325" s="130"/>
    </row>
    <row r="326" spans="1:14" x14ac:dyDescent="0.25">
      <c r="A326" s="749" t="s">
        <v>65</v>
      </c>
      <c r="B326" s="754" t="s">
        <v>190</v>
      </c>
      <c r="C326" s="751">
        <v>7000000</v>
      </c>
      <c r="D326" s="727" t="e">
        <f>C326/#REF!*100</f>
        <v>#REF!</v>
      </c>
      <c r="E326" s="134"/>
      <c r="F326" s="134"/>
      <c r="G326" s="181">
        <v>0</v>
      </c>
      <c r="H326" s="134"/>
      <c r="I326" s="134"/>
      <c r="J326" s="6">
        <f t="shared" si="121"/>
        <v>-7000000</v>
      </c>
      <c r="K326" s="130"/>
    </row>
    <row r="327" spans="1:14" x14ac:dyDescent="0.25">
      <c r="A327" s="749" t="s">
        <v>541</v>
      </c>
      <c r="B327" s="754" t="s">
        <v>401</v>
      </c>
      <c r="C327" s="751">
        <v>3900000</v>
      </c>
      <c r="D327" s="727" t="e">
        <f>C327/#REF!*100</f>
        <v>#REF!</v>
      </c>
      <c r="E327" s="134"/>
      <c r="F327" s="134"/>
      <c r="G327" s="181">
        <f>3900000</f>
        <v>3900000</v>
      </c>
      <c r="H327" s="134"/>
      <c r="I327" s="134"/>
      <c r="J327" s="6">
        <f t="shared" si="121"/>
        <v>0</v>
      </c>
      <c r="K327" s="130"/>
    </row>
    <row r="328" spans="1:14" x14ac:dyDescent="0.25">
      <c r="A328" s="749" t="s">
        <v>275</v>
      </c>
      <c r="B328" s="754" t="s">
        <v>421</v>
      </c>
      <c r="C328" s="751">
        <v>5000000</v>
      </c>
      <c r="D328" s="727" t="e">
        <f>C328/#REF!*100</f>
        <v>#REF!</v>
      </c>
      <c r="E328" s="134"/>
      <c r="F328" s="134"/>
      <c r="G328" s="181">
        <f>5000000</f>
        <v>5000000</v>
      </c>
      <c r="H328" s="134"/>
      <c r="I328" s="134"/>
      <c r="J328" s="6">
        <f t="shared" si="121"/>
        <v>0</v>
      </c>
      <c r="K328" s="130"/>
    </row>
    <row r="329" spans="1:14" x14ac:dyDescent="0.25">
      <c r="A329" s="749" t="s">
        <v>542</v>
      </c>
      <c r="B329" s="316" t="s">
        <v>540</v>
      </c>
      <c r="C329" s="751">
        <v>9600000</v>
      </c>
      <c r="D329" s="752"/>
      <c r="E329" s="134"/>
      <c r="F329" s="134"/>
      <c r="G329" s="181"/>
      <c r="H329" s="134"/>
      <c r="I329" s="134"/>
      <c r="J329" s="6">
        <f t="shared" si="121"/>
        <v>-9600000</v>
      </c>
      <c r="K329" s="130"/>
    </row>
    <row r="330" spans="1:14" x14ac:dyDescent="0.25">
      <c r="A330" s="70"/>
      <c r="B330" s="164" t="s">
        <v>140</v>
      </c>
      <c r="C330" s="165">
        <f>SUM(C312:C329)</f>
        <v>185000000</v>
      </c>
      <c r="D330" s="166">
        <f>SUM(D312:D320)</f>
        <v>67.917567567567559</v>
      </c>
      <c r="E330" s="134"/>
      <c r="F330" s="134"/>
      <c r="G330" s="837">
        <f>SUM(G312:G329)</f>
        <v>105182000</v>
      </c>
      <c r="H330" s="134"/>
      <c r="I330" s="134"/>
      <c r="J330" s="734"/>
      <c r="K330" s="40"/>
    </row>
    <row r="331" spans="1:14" x14ac:dyDescent="0.25">
      <c r="A331" s="53"/>
      <c r="B331" s="5"/>
      <c r="C331" s="191"/>
      <c r="D331" s="41"/>
      <c r="E331" s="30"/>
      <c r="F331" s="31"/>
      <c r="G331" s="36"/>
      <c r="H331" s="23"/>
      <c r="I331" s="23"/>
      <c r="J331" s="33"/>
      <c r="K331" s="37"/>
    </row>
    <row r="332" spans="1:14" ht="31.5" x14ac:dyDescent="0.25">
      <c r="A332" s="55"/>
      <c r="B332" s="46" t="s">
        <v>145</v>
      </c>
      <c r="C332" s="155"/>
      <c r="D332" s="44"/>
      <c r="E332" s="45"/>
      <c r="F332" s="45"/>
      <c r="G332" s="48"/>
      <c r="H332" s="45"/>
      <c r="I332" s="45"/>
      <c r="J332" s="44"/>
      <c r="K332" s="44"/>
      <c r="L332" s="1"/>
      <c r="M332" s="1"/>
      <c r="N332" s="1"/>
    </row>
    <row r="333" spans="1:14" x14ac:dyDescent="0.25">
      <c r="A333" s="1119" t="s">
        <v>2</v>
      </c>
      <c r="B333" s="1120" t="s">
        <v>177</v>
      </c>
      <c r="C333" s="1119" t="s">
        <v>4</v>
      </c>
      <c r="D333" s="1121" t="s">
        <v>5</v>
      </c>
      <c r="E333" s="1121"/>
      <c r="F333" s="1121"/>
      <c r="G333" s="1122" t="s">
        <v>6</v>
      </c>
      <c r="H333" s="1122"/>
      <c r="I333" s="1122"/>
      <c r="J333" s="1119" t="s">
        <v>7</v>
      </c>
      <c r="K333" s="289" t="s">
        <v>8</v>
      </c>
    </row>
    <row r="334" spans="1:14" x14ac:dyDescent="0.25">
      <c r="A334" s="1119"/>
      <c r="B334" s="1120"/>
      <c r="C334" s="1119"/>
      <c r="D334" s="289" t="s">
        <v>9</v>
      </c>
      <c r="E334" s="308" t="s">
        <v>10</v>
      </c>
      <c r="F334" s="308" t="s">
        <v>11</v>
      </c>
      <c r="G334" s="309" t="s">
        <v>12</v>
      </c>
      <c r="H334" s="308" t="s">
        <v>13</v>
      </c>
      <c r="I334" s="308" t="s">
        <v>11</v>
      </c>
      <c r="J334" s="1123"/>
      <c r="K334" s="115"/>
    </row>
    <row r="335" spans="1:14" x14ac:dyDescent="0.25">
      <c r="A335" s="1119"/>
      <c r="B335" s="1120"/>
      <c r="C335" s="1119"/>
      <c r="D335" s="118" t="s">
        <v>14</v>
      </c>
      <c r="E335" s="119" t="s">
        <v>14</v>
      </c>
      <c r="F335" s="119" t="s">
        <v>14</v>
      </c>
      <c r="G335" s="120" t="s">
        <v>15</v>
      </c>
      <c r="H335" s="119" t="s">
        <v>14</v>
      </c>
      <c r="I335" s="119" t="s">
        <v>14</v>
      </c>
      <c r="J335" s="118" t="s">
        <v>15</v>
      </c>
      <c r="K335" s="118"/>
    </row>
    <row r="336" spans="1:14" x14ac:dyDescent="0.25">
      <c r="A336" s="79" t="s">
        <v>185</v>
      </c>
      <c r="B336" s="199" t="s">
        <v>146</v>
      </c>
      <c r="C336" s="260"/>
      <c r="D336" s="10"/>
      <c r="E336" s="34"/>
      <c r="F336" s="34"/>
      <c r="G336" s="6"/>
      <c r="H336" s="34"/>
      <c r="I336" s="34"/>
      <c r="J336" s="10"/>
      <c r="K336" s="10"/>
    </row>
    <row r="337" spans="1:11" x14ac:dyDescent="0.25">
      <c r="A337" s="125" t="s">
        <v>184</v>
      </c>
      <c r="B337" s="280" t="s">
        <v>147</v>
      </c>
      <c r="C337" s="131">
        <f>SUM(C338:C339)</f>
        <v>3395640000</v>
      </c>
      <c r="D337" s="10"/>
      <c r="E337" s="34"/>
      <c r="F337" s="34"/>
      <c r="G337" s="6"/>
      <c r="H337" s="34"/>
      <c r="I337" s="34"/>
      <c r="J337" s="10"/>
      <c r="K337" s="10"/>
    </row>
    <row r="338" spans="1:11" ht="25.5" x14ac:dyDescent="0.25">
      <c r="A338" s="313" t="s">
        <v>44</v>
      </c>
      <c r="B338" s="707" t="s">
        <v>384</v>
      </c>
      <c r="C338" s="253">
        <v>35640000</v>
      </c>
      <c r="D338" s="134">
        <f>C338/C337*100</f>
        <v>1.0495812276919816</v>
      </c>
      <c r="E338" s="134">
        <f t="shared" ref="E338:E339" si="122">G338/C338*100</f>
        <v>0</v>
      </c>
      <c r="F338" s="134">
        <f t="shared" ref="F338:F339" si="123">(D338*E338)/100</f>
        <v>0</v>
      </c>
      <c r="G338" s="181">
        <v>0</v>
      </c>
      <c r="H338" s="134">
        <f t="shared" ref="H338:H339" si="124">G338/C338*100</f>
        <v>0</v>
      </c>
      <c r="I338" s="134">
        <f t="shared" ref="I338:I339" si="125">(D338*H338)/100</f>
        <v>0</v>
      </c>
      <c r="J338" s="6">
        <f t="shared" ref="J338:J339" si="126">G338-C338</f>
        <v>-35640000</v>
      </c>
      <c r="K338" s="10"/>
    </row>
    <row r="339" spans="1:11" x14ac:dyDescent="0.25">
      <c r="A339" s="49" t="s">
        <v>148</v>
      </c>
      <c r="B339" s="133" t="s">
        <v>534</v>
      </c>
      <c r="C339" s="256">
        <v>3360000000</v>
      </c>
      <c r="D339" s="134">
        <f>C339/C337*100</f>
        <v>98.950418772308012</v>
      </c>
      <c r="E339" s="134">
        <f t="shared" si="122"/>
        <v>3.750479166666667</v>
      </c>
      <c r="F339" s="134">
        <f t="shared" si="123"/>
        <v>3.7111148413848349</v>
      </c>
      <c r="G339" s="181">
        <f>126016100</f>
        <v>126016100</v>
      </c>
      <c r="H339" s="134">
        <f t="shared" si="124"/>
        <v>3.750479166666667</v>
      </c>
      <c r="I339" s="134">
        <f t="shared" si="125"/>
        <v>3.7111148413848349</v>
      </c>
      <c r="J339" s="6">
        <f t="shared" si="126"/>
        <v>-3233983900</v>
      </c>
      <c r="K339" s="10"/>
    </row>
    <row r="340" spans="1:11" x14ac:dyDescent="0.25">
      <c r="A340" s="70"/>
      <c r="B340" s="129" t="s">
        <v>95</v>
      </c>
      <c r="C340" s="807">
        <f>SUM(C338:C339)</f>
        <v>3395640000</v>
      </c>
      <c r="D340" s="271">
        <f>SUM(D338:D339)</f>
        <v>100</v>
      </c>
      <c r="E340" s="134"/>
      <c r="F340" s="134"/>
      <c r="G340" s="181">
        <f>SUM(G338:G339)</f>
        <v>126016100</v>
      </c>
      <c r="H340" s="134"/>
      <c r="I340" s="134"/>
      <c r="J340" s="734"/>
      <c r="K340" s="130"/>
    </row>
    <row r="341" spans="1:11" x14ac:dyDescent="0.25">
      <c r="A341" s="230"/>
      <c r="B341" s="231"/>
      <c r="C341" s="232"/>
      <c r="D341" s="23"/>
      <c r="E341" s="23"/>
      <c r="F341" s="23"/>
      <c r="G341" s="11"/>
      <c r="H341" s="23"/>
      <c r="I341" s="23"/>
      <c r="J341" s="9"/>
      <c r="K341" s="9"/>
    </row>
    <row r="342" spans="1:11" x14ac:dyDescent="0.25">
      <c r="A342" s="1119" t="s">
        <v>2</v>
      </c>
      <c r="B342" s="1120" t="s">
        <v>177</v>
      </c>
      <c r="C342" s="1119" t="s">
        <v>4</v>
      </c>
      <c r="D342" s="1121" t="s">
        <v>5</v>
      </c>
      <c r="E342" s="1121"/>
      <c r="F342" s="1121"/>
      <c r="G342" s="1122" t="s">
        <v>6</v>
      </c>
      <c r="H342" s="1122"/>
      <c r="I342" s="1122"/>
      <c r="J342" s="1119" t="s">
        <v>7</v>
      </c>
      <c r="K342" s="289" t="s">
        <v>8</v>
      </c>
    </row>
    <row r="343" spans="1:11" x14ac:dyDescent="0.25">
      <c r="A343" s="1119"/>
      <c r="B343" s="1120"/>
      <c r="C343" s="1119"/>
      <c r="D343" s="289" t="s">
        <v>9</v>
      </c>
      <c r="E343" s="308" t="s">
        <v>10</v>
      </c>
      <c r="F343" s="308" t="s">
        <v>11</v>
      </c>
      <c r="G343" s="309" t="s">
        <v>12</v>
      </c>
      <c r="H343" s="308" t="s">
        <v>13</v>
      </c>
      <c r="I343" s="308" t="s">
        <v>11</v>
      </c>
      <c r="J343" s="1123"/>
      <c r="K343" s="115"/>
    </row>
    <row r="344" spans="1:11" x14ac:dyDescent="0.25">
      <c r="A344" s="1119"/>
      <c r="B344" s="1120"/>
      <c r="C344" s="1119"/>
      <c r="D344" s="118" t="s">
        <v>14</v>
      </c>
      <c r="E344" s="119" t="s">
        <v>14</v>
      </c>
      <c r="F344" s="119" t="s">
        <v>14</v>
      </c>
      <c r="G344" s="120" t="s">
        <v>15</v>
      </c>
      <c r="H344" s="119" t="s">
        <v>14</v>
      </c>
      <c r="I344" s="119" t="s">
        <v>14</v>
      </c>
      <c r="J344" s="118" t="s">
        <v>15</v>
      </c>
      <c r="K344" s="118"/>
    </row>
    <row r="345" spans="1:11" x14ac:dyDescent="0.25">
      <c r="A345" s="139" t="s">
        <v>185</v>
      </c>
      <c r="B345" s="199" t="s">
        <v>146</v>
      </c>
      <c r="C345" s="24"/>
      <c r="D345" s="10"/>
      <c r="E345" s="34"/>
      <c r="F345" s="34"/>
      <c r="G345" s="6"/>
      <c r="H345" s="34"/>
      <c r="I345" s="34"/>
      <c r="J345" s="10"/>
      <c r="K345" s="10"/>
    </row>
    <row r="346" spans="1:11" x14ac:dyDescent="0.25">
      <c r="A346" s="140" t="s">
        <v>187</v>
      </c>
      <c r="B346" s="280" t="s">
        <v>150</v>
      </c>
      <c r="C346" s="252">
        <f>SUM(C347:C351)</f>
        <v>2057255328</v>
      </c>
      <c r="D346" s="10"/>
      <c r="E346" s="34"/>
      <c r="F346" s="34"/>
      <c r="G346" s="6"/>
      <c r="H346" s="34"/>
      <c r="I346" s="34"/>
      <c r="J346" s="10"/>
      <c r="K346" s="10"/>
    </row>
    <row r="347" spans="1:11" ht="25.5" x14ac:dyDescent="0.25">
      <c r="A347" s="159" t="s">
        <v>44</v>
      </c>
      <c r="B347" s="707" t="s">
        <v>384</v>
      </c>
      <c r="C347" s="253">
        <v>30210000</v>
      </c>
      <c r="D347" s="134">
        <f>C347/C346*100</f>
        <v>1.4684613809880966</v>
      </c>
      <c r="E347" s="134">
        <f t="shared" ref="E347:E350" si="127">G347/C347*100</f>
        <v>0</v>
      </c>
      <c r="F347" s="134">
        <f t="shared" ref="F347:F350" si="128">(D347*E347)/100</f>
        <v>0</v>
      </c>
      <c r="G347" s="181">
        <v>0</v>
      </c>
      <c r="H347" s="134">
        <f t="shared" ref="H347:H350" si="129">G347/C347*100</f>
        <v>0</v>
      </c>
      <c r="I347" s="134">
        <f t="shared" ref="I347:I350" si="130">(D347*H347)/100</f>
        <v>0</v>
      </c>
      <c r="J347" s="6">
        <f t="shared" ref="J347:J351" si="131">G347-C347</f>
        <v>-30210000</v>
      </c>
      <c r="K347" s="10"/>
    </row>
    <row r="348" spans="1:11" x14ac:dyDescent="0.25">
      <c r="A348" s="313" t="s">
        <v>59</v>
      </c>
      <c r="B348" s="707" t="s">
        <v>197</v>
      </c>
      <c r="C348" s="253">
        <v>690000</v>
      </c>
      <c r="D348" s="134">
        <f>C348/C346*100</f>
        <v>3.3539832932200815E-2</v>
      </c>
      <c r="E348" s="134">
        <f t="shared" si="127"/>
        <v>0</v>
      </c>
      <c r="F348" s="134">
        <f t="shared" si="128"/>
        <v>0</v>
      </c>
      <c r="G348" s="181">
        <v>0</v>
      </c>
      <c r="H348" s="134">
        <f t="shared" si="129"/>
        <v>0</v>
      </c>
      <c r="I348" s="134">
        <f t="shared" si="130"/>
        <v>0</v>
      </c>
      <c r="J348" s="6">
        <f t="shared" si="131"/>
        <v>-690000</v>
      </c>
      <c r="K348" s="10"/>
    </row>
    <row r="349" spans="1:11" x14ac:dyDescent="0.25">
      <c r="A349" s="313" t="s">
        <v>62</v>
      </c>
      <c r="B349" s="133" t="s">
        <v>534</v>
      </c>
      <c r="C349" s="253">
        <v>1440000000</v>
      </c>
      <c r="D349" s="134">
        <f>C349/C346*100</f>
        <v>69.99617307589736</v>
      </c>
      <c r="E349" s="134">
        <f t="shared" si="127"/>
        <v>6.5</v>
      </c>
      <c r="F349" s="134">
        <f t="shared" si="128"/>
        <v>4.5497512499333279</v>
      </c>
      <c r="G349" s="181">
        <f>93600000</f>
        <v>93600000</v>
      </c>
      <c r="H349" s="134">
        <f t="shared" si="129"/>
        <v>6.5</v>
      </c>
      <c r="I349" s="134">
        <f t="shared" si="130"/>
        <v>4.5497512499333279</v>
      </c>
      <c r="J349" s="6">
        <f t="shared" si="131"/>
        <v>-1346400000</v>
      </c>
      <c r="K349" s="10"/>
    </row>
    <row r="350" spans="1:11" s="725" customFormat="1" ht="25.5" x14ac:dyDescent="0.2">
      <c r="A350" s="723" t="s">
        <v>152</v>
      </c>
      <c r="B350" s="133" t="s">
        <v>153</v>
      </c>
      <c r="C350" s="724">
        <v>576000000</v>
      </c>
      <c r="D350" s="728">
        <f>C350/C346*100</f>
        <v>27.998469230358946</v>
      </c>
      <c r="E350" s="728">
        <f t="shared" si="127"/>
        <v>25</v>
      </c>
      <c r="F350" s="728">
        <f t="shared" si="128"/>
        <v>6.9996173075897365</v>
      </c>
      <c r="G350" s="181">
        <f>144000000</f>
        <v>144000000</v>
      </c>
      <c r="H350" s="728">
        <f t="shared" si="129"/>
        <v>25</v>
      </c>
      <c r="I350" s="728">
        <f t="shared" si="130"/>
        <v>6.9996173075897365</v>
      </c>
      <c r="J350" s="6">
        <f t="shared" si="131"/>
        <v>-432000000</v>
      </c>
      <c r="K350" s="313"/>
    </row>
    <row r="351" spans="1:11" s="725" customFormat="1" x14ac:dyDescent="0.2">
      <c r="A351" s="749" t="s">
        <v>234</v>
      </c>
      <c r="B351" s="133" t="s">
        <v>522</v>
      </c>
      <c r="C351" s="724">
        <v>10355328</v>
      </c>
      <c r="D351" s="820"/>
      <c r="E351" s="728"/>
      <c r="F351" s="728"/>
      <c r="G351" s="181">
        <f>10085658</f>
        <v>10085658</v>
      </c>
      <c r="H351" s="728"/>
      <c r="I351" s="728"/>
      <c r="J351" s="6">
        <f t="shared" si="131"/>
        <v>-269670</v>
      </c>
      <c r="K351" s="821"/>
    </row>
    <row r="352" spans="1:11" x14ac:dyDescent="0.25">
      <c r="A352" s="70"/>
      <c r="B352" s="129" t="s">
        <v>95</v>
      </c>
      <c r="C352" s="807">
        <f>SUM(C347:C351)</f>
        <v>2057255328</v>
      </c>
      <c r="D352" s="271">
        <f>SUM(D347:D350)</f>
        <v>99.496643520176605</v>
      </c>
      <c r="E352" s="134"/>
      <c r="F352" s="134"/>
      <c r="G352" s="181">
        <f>SUM(G347:G351)</f>
        <v>247685658</v>
      </c>
      <c r="H352" s="134"/>
      <c r="I352" s="134"/>
      <c r="J352" s="734"/>
      <c r="K352" s="130"/>
    </row>
    <row r="353" spans="1:11" x14ac:dyDescent="0.25">
      <c r="A353" s="50"/>
      <c r="B353" s="5"/>
      <c r="C353" s="50"/>
      <c r="D353" s="9"/>
      <c r="E353" s="23"/>
      <c r="F353" s="23"/>
      <c r="G353" s="11"/>
      <c r="H353" s="23"/>
      <c r="I353" s="23"/>
      <c r="J353" s="9"/>
      <c r="K353" s="9"/>
    </row>
    <row r="354" spans="1:11" x14ac:dyDescent="0.25">
      <c r="A354" s="50"/>
      <c r="B354" s="5"/>
      <c r="C354" s="50"/>
      <c r="D354" s="9"/>
      <c r="E354" s="23"/>
      <c r="F354" s="23"/>
      <c r="G354" s="11"/>
      <c r="H354" s="23"/>
      <c r="I354" s="23"/>
      <c r="J354" s="9"/>
      <c r="K354" s="9"/>
    </row>
    <row r="355" spans="1:11" x14ac:dyDescent="0.25">
      <c r="A355" s="1139" t="s">
        <v>2</v>
      </c>
      <c r="B355" s="1142" t="s">
        <v>175</v>
      </c>
      <c r="C355" s="290"/>
      <c r="D355" s="1145" t="s">
        <v>5</v>
      </c>
      <c r="E355" s="1146"/>
      <c r="F355" s="1147"/>
      <c r="G355" s="1148" t="s">
        <v>6</v>
      </c>
      <c r="H355" s="1149"/>
      <c r="I355" s="1150"/>
      <c r="J355" s="1138" t="s">
        <v>7</v>
      </c>
      <c r="K355" s="198" t="s">
        <v>8</v>
      </c>
    </row>
    <row r="356" spans="1:11" x14ac:dyDescent="0.25">
      <c r="A356" s="1140"/>
      <c r="B356" s="1143"/>
      <c r="C356" s="862" t="s">
        <v>4</v>
      </c>
      <c r="D356" s="198" t="s">
        <v>9</v>
      </c>
      <c r="E356" s="310" t="s">
        <v>10</v>
      </c>
      <c r="F356" s="310" t="s">
        <v>11</v>
      </c>
      <c r="G356" s="194" t="s">
        <v>12</v>
      </c>
      <c r="H356" s="193" t="s">
        <v>13</v>
      </c>
      <c r="I356" s="193" t="s">
        <v>11</v>
      </c>
      <c r="J356" s="1151"/>
      <c r="K356" s="192"/>
    </row>
    <row r="357" spans="1:11" x14ac:dyDescent="0.25">
      <c r="A357" s="1141"/>
      <c r="B357" s="1144"/>
      <c r="C357" s="229"/>
      <c r="D357" s="197" t="s">
        <v>14</v>
      </c>
      <c r="E357" s="195" t="s">
        <v>14</v>
      </c>
      <c r="F357" s="195" t="s">
        <v>14</v>
      </c>
      <c r="G357" s="196" t="s">
        <v>15</v>
      </c>
      <c r="H357" s="195" t="s">
        <v>14</v>
      </c>
      <c r="I357" s="195" t="s">
        <v>14</v>
      </c>
      <c r="J357" s="197" t="s">
        <v>15</v>
      </c>
      <c r="K357" s="197"/>
    </row>
    <row r="358" spans="1:11" ht="25.5" x14ac:dyDescent="0.25">
      <c r="A358" s="321" t="s">
        <v>180</v>
      </c>
      <c r="B358" s="696" t="s">
        <v>379</v>
      </c>
      <c r="C358" s="291"/>
      <c r="D358" s="121"/>
      <c r="E358" s="122"/>
      <c r="F358" s="122"/>
      <c r="G358" s="123"/>
      <c r="H358" s="122"/>
      <c r="I358" s="122"/>
      <c r="J358" s="121"/>
      <c r="K358" s="121"/>
    </row>
    <row r="359" spans="1:11" ht="25.5" x14ac:dyDescent="0.25">
      <c r="A359" s="160" t="s">
        <v>181</v>
      </c>
      <c r="B359" s="697" t="s">
        <v>380</v>
      </c>
      <c r="C359" s="261">
        <f>SUM(C360:C375)</f>
        <v>185000000</v>
      </c>
      <c r="D359" s="161"/>
      <c r="E359" s="161"/>
      <c r="F359" s="161"/>
      <c r="G359" s="82"/>
      <c r="H359" s="161"/>
      <c r="I359" s="161"/>
      <c r="J359" s="162"/>
      <c r="K359" s="162"/>
    </row>
    <row r="360" spans="1:11" ht="25.5" x14ac:dyDescent="0.25">
      <c r="A360" s="314" t="s">
        <v>44</v>
      </c>
      <c r="B360" s="707" t="s">
        <v>384</v>
      </c>
      <c r="C360" s="262">
        <v>8580000</v>
      </c>
      <c r="D360" s="134">
        <f>C360/C359*100</f>
        <v>4.6378378378378375</v>
      </c>
      <c r="E360" s="134">
        <f t="shared" ref="E360:E368" si="132">G360/C360*100</f>
        <v>89.16083916083916</v>
      </c>
      <c r="F360" s="134">
        <f t="shared" ref="F360:F368" si="133">(D360*E360)/100</f>
        <v>4.1351351351351351</v>
      </c>
      <c r="G360" s="181">
        <f>7650000</f>
        <v>7650000</v>
      </c>
      <c r="H360" s="134">
        <f t="shared" ref="H360:H368" si="134">G360/C360*100</f>
        <v>89.16083916083916</v>
      </c>
      <c r="I360" s="134">
        <f t="shared" ref="I360:I368" si="135">(D360*H360)/100</f>
        <v>4.1351351351351351</v>
      </c>
      <c r="J360" s="6">
        <f t="shared" ref="J360:J375" si="136">G360-C360</f>
        <v>-930000</v>
      </c>
      <c r="K360" s="10"/>
    </row>
    <row r="361" spans="1:11" x14ac:dyDescent="0.25">
      <c r="A361" s="314" t="s">
        <v>59</v>
      </c>
      <c r="B361" s="707" t="s">
        <v>197</v>
      </c>
      <c r="C361" s="262">
        <v>12218350</v>
      </c>
      <c r="D361" s="134">
        <f>C361/C359*100</f>
        <v>6.6045135135135133</v>
      </c>
      <c r="E361" s="134">
        <f t="shared" si="132"/>
        <v>49.106466912471816</v>
      </c>
      <c r="F361" s="134">
        <f t="shared" si="133"/>
        <v>3.2432432432432434</v>
      </c>
      <c r="G361" s="181">
        <f>6000000</f>
        <v>6000000</v>
      </c>
      <c r="H361" s="134">
        <f t="shared" si="134"/>
        <v>49.106466912471816</v>
      </c>
      <c r="I361" s="134">
        <f t="shared" si="135"/>
        <v>3.2432432432432434</v>
      </c>
      <c r="J361" s="6">
        <f t="shared" si="136"/>
        <v>-6218350</v>
      </c>
      <c r="K361" s="10"/>
    </row>
    <row r="362" spans="1:11" x14ac:dyDescent="0.25">
      <c r="A362" s="314" t="s">
        <v>62</v>
      </c>
      <c r="B362" s="707" t="s">
        <v>334</v>
      </c>
      <c r="C362" s="262">
        <v>9787450</v>
      </c>
      <c r="D362" s="134">
        <f>C362/C359*100</f>
        <v>5.2905135135135142</v>
      </c>
      <c r="E362" s="134">
        <f t="shared" si="132"/>
        <v>0</v>
      </c>
      <c r="F362" s="134">
        <f t="shared" si="133"/>
        <v>0</v>
      </c>
      <c r="G362" s="181">
        <v>0</v>
      </c>
      <c r="H362" s="134">
        <f t="shared" si="134"/>
        <v>0</v>
      </c>
      <c r="I362" s="134">
        <f t="shared" si="135"/>
        <v>0</v>
      </c>
      <c r="J362" s="6">
        <f t="shared" si="136"/>
        <v>-9787450</v>
      </c>
      <c r="K362" s="10"/>
    </row>
    <row r="363" spans="1:11" x14ac:dyDescent="0.25">
      <c r="A363" s="314" t="s">
        <v>148</v>
      </c>
      <c r="B363" s="133" t="s">
        <v>534</v>
      </c>
      <c r="C363" s="262">
        <v>8000000</v>
      </c>
      <c r="D363" s="134"/>
      <c r="E363" s="134"/>
      <c r="F363" s="134"/>
      <c r="G363" s="181">
        <f>8000000</f>
        <v>8000000</v>
      </c>
      <c r="H363" s="134"/>
      <c r="I363" s="134"/>
      <c r="J363" s="6">
        <f t="shared" si="136"/>
        <v>0</v>
      </c>
      <c r="K363" s="10"/>
    </row>
    <row r="364" spans="1:11" x14ac:dyDescent="0.25">
      <c r="A364" s="314" t="s">
        <v>194</v>
      </c>
      <c r="B364" s="49" t="s">
        <v>139</v>
      </c>
      <c r="C364" s="263">
        <v>42400000</v>
      </c>
      <c r="D364" s="134">
        <f>C364/C359*100</f>
        <v>22.918918918918919</v>
      </c>
      <c r="E364" s="134">
        <f t="shared" si="132"/>
        <v>82.523584905660371</v>
      </c>
      <c r="F364" s="134">
        <f t="shared" si="133"/>
        <v>18.913513513513511</v>
      </c>
      <c r="G364" s="181">
        <f>34990000</f>
        <v>34990000</v>
      </c>
      <c r="H364" s="134">
        <f t="shared" si="134"/>
        <v>82.523584905660371</v>
      </c>
      <c r="I364" s="134">
        <f t="shared" si="135"/>
        <v>18.913513513513511</v>
      </c>
      <c r="J364" s="6">
        <f t="shared" si="136"/>
        <v>-7410000</v>
      </c>
      <c r="K364" s="10"/>
    </row>
    <row r="365" spans="1:11" x14ac:dyDescent="0.25">
      <c r="A365" s="314" t="s">
        <v>183</v>
      </c>
      <c r="B365" s="49" t="s">
        <v>417</v>
      </c>
      <c r="C365" s="263">
        <v>4500000</v>
      </c>
      <c r="D365" s="134"/>
      <c r="E365" s="134">
        <f t="shared" si="132"/>
        <v>100</v>
      </c>
      <c r="F365" s="134"/>
      <c r="G365" s="181">
        <f>4500000</f>
        <v>4500000</v>
      </c>
      <c r="H365" s="134">
        <f t="shared" si="134"/>
        <v>100</v>
      </c>
      <c r="I365" s="134"/>
      <c r="J365" s="6">
        <f t="shared" si="136"/>
        <v>0</v>
      </c>
      <c r="K365" s="10"/>
    </row>
    <row r="366" spans="1:11" x14ac:dyDescent="0.25">
      <c r="A366" s="322" t="s">
        <v>195</v>
      </c>
      <c r="B366" s="170" t="s">
        <v>179</v>
      </c>
      <c r="C366" s="178">
        <v>24500000</v>
      </c>
      <c r="D366" s="134">
        <f>C366/C359*100</f>
        <v>13.243243243243244</v>
      </c>
      <c r="E366" s="134">
        <f t="shared" si="132"/>
        <v>100</v>
      </c>
      <c r="F366" s="134">
        <f t="shared" si="133"/>
        <v>13.243243243243244</v>
      </c>
      <c r="G366" s="181">
        <f>24500000</f>
        <v>24500000</v>
      </c>
      <c r="H366" s="134">
        <f t="shared" si="134"/>
        <v>100</v>
      </c>
      <c r="I366" s="134">
        <f t="shared" si="135"/>
        <v>13.243243243243244</v>
      </c>
      <c r="J366" s="6">
        <f t="shared" si="136"/>
        <v>0</v>
      </c>
      <c r="K366" s="10"/>
    </row>
    <row r="367" spans="1:11" x14ac:dyDescent="0.25">
      <c r="A367" s="322" t="s">
        <v>62</v>
      </c>
      <c r="B367" s="170" t="s">
        <v>418</v>
      </c>
      <c r="C367" s="178">
        <v>7500000</v>
      </c>
      <c r="D367" s="134"/>
      <c r="E367" s="134"/>
      <c r="F367" s="134"/>
      <c r="G367" s="181">
        <v>0</v>
      </c>
      <c r="H367" s="134"/>
      <c r="I367" s="134"/>
      <c r="J367" s="6">
        <f t="shared" si="136"/>
        <v>-7500000</v>
      </c>
      <c r="K367" s="10"/>
    </row>
    <row r="368" spans="1:11" ht="25.5" x14ac:dyDescent="0.25">
      <c r="A368" s="314" t="s">
        <v>106</v>
      </c>
      <c r="B368" s="316" t="s">
        <v>375</v>
      </c>
      <c r="C368" s="263">
        <v>16650000</v>
      </c>
      <c r="D368" s="134">
        <f>C368/C359*100</f>
        <v>9</v>
      </c>
      <c r="E368" s="134">
        <f t="shared" si="132"/>
        <v>92.792792792792795</v>
      </c>
      <c r="F368" s="134">
        <f t="shared" si="133"/>
        <v>8.3513513513513526</v>
      </c>
      <c r="G368" s="181">
        <f>15450000</f>
        <v>15450000</v>
      </c>
      <c r="H368" s="134">
        <f t="shared" si="134"/>
        <v>92.792792792792795</v>
      </c>
      <c r="I368" s="134">
        <f t="shared" si="135"/>
        <v>8.3513513513513526</v>
      </c>
      <c r="J368" s="6">
        <f t="shared" si="136"/>
        <v>-1200000</v>
      </c>
      <c r="K368" s="10"/>
    </row>
    <row r="369" spans="1:14" x14ac:dyDescent="0.25">
      <c r="A369" s="745" t="s">
        <v>162</v>
      </c>
      <c r="B369" s="746" t="s">
        <v>538</v>
      </c>
      <c r="C369" s="263">
        <v>3000000</v>
      </c>
      <c r="D369" s="134"/>
      <c r="E369" s="134"/>
      <c r="F369" s="134"/>
      <c r="G369" s="181">
        <f>3000000</f>
        <v>3000000</v>
      </c>
      <c r="H369" s="134"/>
      <c r="I369" s="134"/>
      <c r="J369" s="6">
        <f t="shared" si="136"/>
        <v>0</v>
      </c>
      <c r="K369" s="10"/>
    </row>
    <row r="370" spans="1:14" x14ac:dyDescent="0.25">
      <c r="A370" s="745" t="s">
        <v>521</v>
      </c>
      <c r="B370" s="746" t="s">
        <v>539</v>
      </c>
      <c r="C370" s="263">
        <v>3000000</v>
      </c>
      <c r="D370" s="134"/>
      <c r="E370" s="134"/>
      <c r="F370" s="134"/>
      <c r="G370" s="181">
        <f>3000000</f>
        <v>3000000</v>
      </c>
      <c r="H370" s="134"/>
      <c r="I370" s="134"/>
      <c r="J370" s="6">
        <f t="shared" si="136"/>
        <v>0</v>
      </c>
      <c r="K370" s="10"/>
    </row>
    <row r="371" spans="1:14" ht="25.5" x14ac:dyDescent="0.25">
      <c r="A371" s="745" t="s">
        <v>116</v>
      </c>
      <c r="B371" s="316" t="s">
        <v>420</v>
      </c>
      <c r="C371" s="263">
        <v>5464200</v>
      </c>
      <c r="D371" s="134"/>
      <c r="E371" s="134"/>
      <c r="F371" s="134"/>
      <c r="G371" s="181">
        <f>3000000</f>
        <v>3000000</v>
      </c>
      <c r="H371" s="134"/>
      <c r="I371" s="134"/>
      <c r="J371" s="6">
        <f t="shared" si="136"/>
        <v>-2464200</v>
      </c>
      <c r="K371" s="10"/>
    </row>
    <row r="372" spans="1:14" x14ac:dyDescent="0.25">
      <c r="A372" s="745" t="s">
        <v>65</v>
      </c>
      <c r="B372" s="754" t="s">
        <v>190</v>
      </c>
      <c r="C372" s="263">
        <v>7000000</v>
      </c>
      <c r="D372" s="134"/>
      <c r="E372" s="134"/>
      <c r="F372" s="134"/>
      <c r="G372" s="181"/>
      <c r="H372" s="134"/>
      <c r="I372" s="134"/>
      <c r="J372" s="6">
        <f t="shared" si="136"/>
        <v>-7000000</v>
      </c>
      <c r="K372" s="10"/>
    </row>
    <row r="373" spans="1:14" x14ac:dyDescent="0.25">
      <c r="A373" s="745" t="s">
        <v>400</v>
      </c>
      <c r="B373" s="754" t="s">
        <v>401</v>
      </c>
      <c r="C373" s="263">
        <v>7000000</v>
      </c>
      <c r="D373" s="134"/>
      <c r="E373" s="134"/>
      <c r="F373" s="134"/>
      <c r="G373" s="181">
        <f>7000000</f>
        <v>7000000</v>
      </c>
      <c r="H373" s="134"/>
      <c r="I373" s="134"/>
      <c r="J373" s="6">
        <f t="shared" si="136"/>
        <v>0</v>
      </c>
      <c r="K373" s="10"/>
    </row>
    <row r="374" spans="1:14" x14ac:dyDescent="0.25">
      <c r="A374" s="745" t="s">
        <v>301</v>
      </c>
      <c r="B374" s="746" t="s">
        <v>409</v>
      </c>
      <c r="C374" s="263">
        <v>20400000</v>
      </c>
      <c r="D374" s="134">
        <f>C374/C360*100</f>
        <v>237.76223776223776</v>
      </c>
      <c r="E374" s="134"/>
      <c r="F374" s="134"/>
      <c r="G374" s="181">
        <f>20400000</f>
        <v>20400000</v>
      </c>
      <c r="H374" s="134"/>
      <c r="I374" s="134"/>
      <c r="J374" s="6">
        <f t="shared" si="136"/>
        <v>0</v>
      </c>
      <c r="K374" s="10"/>
    </row>
    <row r="375" spans="1:14" x14ac:dyDescent="0.25">
      <c r="A375" s="745" t="s">
        <v>275</v>
      </c>
      <c r="B375" s="316" t="s">
        <v>543</v>
      </c>
      <c r="C375" s="263">
        <v>5000000</v>
      </c>
      <c r="D375" s="134"/>
      <c r="E375" s="134"/>
      <c r="F375" s="134"/>
      <c r="G375" s="181">
        <f>5000000</f>
        <v>5000000</v>
      </c>
      <c r="H375" s="134"/>
      <c r="I375" s="134"/>
      <c r="J375" s="6">
        <f t="shared" si="136"/>
        <v>0</v>
      </c>
      <c r="K375" s="10"/>
    </row>
    <row r="376" spans="1:14" x14ac:dyDescent="0.25">
      <c r="A376" s="1152" t="s">
        <v>95</v>
      </c>
      <c r="B376" s="1154"/>
      <c r="C376" s="822">
        <f>SUM(C360:C375)</f>
        <v>185000000</v>
      </c>
      <c r="D376" s="12">
        <f>SUM(D360:D368)</f>
        <v>61.695027027027024</v>
      </c>
      <c r="E376" s="134"/>
      <c r="F376" s="134"/>
      <c r="G376" s="837">
        <f>SUM(G360:G375)</f>
        <v>142490000</v>
      </c>
      <c r="H376" s="134"/>
      <c r="I376" s="134"/>
      <c r="J376" s="56">
        <v>0</v>
      </c>
      <c r="K376" s="3">
        <v>0</v>
      </c>
    </row>
    <row r="377" spans="1:14" x14ac:dyDescent="0.25">
      <c r="A377" s="5"/>
      <c r="B377" s="5"/>
      <c r="C377" s="5"/>
      <c r="D377" s="29"/>
      <c r="E377" s="30"/>
      <c r="F377" s="31"/>
      <c r="G377" s="36"/>
      <c r="H377" s="32"/>
      <c r="I377" s="31"/>
      <c r="J377" s="36"/>
      <c r="K377" s="37"/>
    </row>
    <row r="378" spans="1:14" ht="31.5" x14ac:dyDescent="0.25">
      <c r="A378" s="55"/>
      <c r="B378" s="46" t="s">
        <v>145</v>
      </c>
      <c r="C378" s="155"/>
      <c r="D378" s="44"/>
      <c r="E378" s="45"/>
      <c r="F378" s="45"/>
      <c r="G378" s="48"/>
      <c r="H378" s="45"/>
      <c r="I378" s="45"/>
      <c r="J378" s="44"/>
      <c r="K378" s="44"/>
      <c r="L378" s="1"/>
      <c r="M378" s="1"/>
      <c r="N378" s="1"/>
    </row>
    <row r="379" spans="1:14" x14ac:dyDescent="0.25">
      <c r="A379" s="1133" t="s">
        <v>2</v>
      </c>
      <c r="B379" s="1134" t="s">
        <v>175</v>
      </c>
      <c r="C379" s="1133" t="s">
        <v>4</v>
      </c>
      <c r="D379" s="1135" t="s">
        <v>5</v>
      </c>
      <c r="E379" s="1136"/>
      <c r="F379" s="1136"/>
      <c r="G379" s="1137" t="s">
        <v>6</v>
      </c>
      <c r="H379" s="1136"/>
      <c r="I379" s="1136"/>
      <c r="J379" s="1133" t="s">
        <v>7</v>
      </c>
      <c r="K379" s="198" t="s">
        <v>8</v>
      </c>
    </row>
    <row r="380" spans="1:14" x14ac:dyDescent="0.25">
      <c r="A380" s="1133"/>
      <c r="B380" s="1134"/>
      <c r="C380" s="1133"/>
      <c r="D380" s="198" t="s">
        <v>9</v>
      </c>
      <c r="E380" s="310" t="s">
        <v>10</v>
      </c>
      <c r="F380" s="310" t="s">
        <v>11</v>
      </c>
      <c r="G380" s="311" t="s">
        <v>12</v>
      </c>
      <c r="H380" s="310" t="s">
        <v>13</v>
      </c>
      <c r="I380" s="310" t="s">
        <v>11</v>
      </c>
      <c r="J380" s="1138"/>
      <c r="K380" s="192"/>
    </row>
    <row r="381" spans="1:14" x14ac:dyDescent="0.25">
      <c r="A381" s="1133"/>
      <c r="B381" s="1134"/>
      <c r="C381" s="1133"/>
      <c r="D381" s="197" t="s">
        <v>14</v>
      </c>
      <c r="E381" s="195" t="s">
        <v>14</v>
      </c>
      <c r="F381" s="195" t="s">
        <v>14</v>
      </c>
      <c r="G381" s="196" t="s">
        <v>15</v>
      </c>
      <c r="H381" s="195" t="s">
        <v>14</v>
      </c>
      <c r="I381" s="195" t="s">
        <v>14</v>
      </c>
      <c r="J381" s="197" t="s">
        <v>15</v>
      </c>
      <c r="K381" s="197"/>
    </row>
    <row r="382" spans="1:14" x14ac:dyDescent="0.25">
      <c r="A382" s="79" t="s">
        <v>185</v>
      </c>
      <c r="B382" s="199" t="s">
        <v>146</v>
      </c>
      <c r="C382" s="24"/>
      <c r="D382" s="10"/>
      <c r="E382" s="34"/>
      <c r="F382" s="34"/>
      <c r="G382" s="6"/>
      <c r="H382" s="34"/>
      <c r="I382" s="34"/>
      <c r="J382" s="10"/>
      <c r="K382" s="10"/>
    </row>
    <row r="383" spans="1:14" x14ac:dyDescent="0.25">
      <c r="A383" s="125" t="s">
        <v>184</v>
      </c>
      <c r="B383" s="280" t="s">
        <v>147</v>
      </c>
      <c r="C383" s="252">
        <f>SUM(C384:C385)</f>
        <v>1430900000</v>
      </c>
      <c r="D383" s="10"/>
      <c r="E383" s="34"/>
      <c r="F383" s="34"/>
      <c r="G383" s="6"/>
      <c r="H383" s="34"/>
      <c r="I383" s="34"/>
      <c r="J383" s="10"/>
      <c r="K383" s="10"/>
    </row>
    <row r="384" spans="1:14" ht="25.5" x14ac:dyDescent="0.25">
      <c r="A384" s="154" t="s">
        <v>44</v>
      </c>
      <c r="B384" s="707" t="s">
        <v>384</v>
      </c>
      <c r="C384" s="253">
        <v>30900000</v>
      </c>
      <c r="D384" s="134">
        <f>C384/C383*100</f>
        <v>2.1594800475225382</v>
      </c>
      <c r="E384" s="134">
        <f t="shared" ref="E384:E385" si="137">G384/C384*100</f>
        <v>50</v>
      </c>
      <c r="F384" s="134">
        <f t="shared" ref="F384:F385" si="138">(D384*E384)/100</f>
        <v>1.0797400237612691</v>
      </c>
      <c r="G384" s="181">
        <f>15450000</f>
        <v>15450000</v>
      </c>
      <c r="H384" s="134">
        <f t="shared" ref="H384:H385" si="139">G384/C384*100</f>
        <v>50</v>
      </c>
      <c r="I384" s="134">
        <f t="shared" ref="I384:I385" si="140">(D384*H384)/100</f>
        <v>1.0797400237612691</v>
      </c>
      <c r="J384" s="6">
        <f t="shared" ref="J384:J385" si="141">G384-C384</f>
        <v>-15450000</v>
      </c>
      <c r="K384" s="10"/>
    </row>
    <row r="385" spans="1:11" x14ac:dyDescent="0.25">
      <c r="A385" s="124" t="s">
        <v>148</v>
      </c>
      <c r="B385" s="133" t="s">
        <v>534</v>
      </c>
      <c r="C385" s="256">
        <v>1400000000</v>
      </c>
      <c r="D385" s="134">
        <f>C385/C383*100</f>
        <v>97.840519952477464</v>
      </c>
      <c r="E385" s="134">
        <f t="shared" si="137"/>
        <v>9.0011499999999991</v>
      </c>
      <c r="F385" s="134">
        <f t="shared" si="138"/>
        <v>8.8067719617024256</v>
      </c>
      <c r="G385" s="181">
        <f>126016100</f>
        <v>126016100</v>
      </c>
      <c r="H385" s="134">
        <f t="shared" si="139"/>
        <v>9.0011499999999991</v>
      </c>
      <c r="I385" s="134">
        <f t="shared" si="140"/>
        <v>8.8067719617024256</v>
      </c>
      <c r="J385" s="6">
        <f t="shared" si="141"/>
        <v>-1273983900</v>
      </c>
      <c r="K385" s="10"/>
    </row>
    <row r="386" spans="1:11" x14ac:dyDescent="0.25">
      <c r="A386" s="70"/>
      <c r="B386" s="129" t="s">
        <v>95</v>
      </c>
      <c r="C386" s="807">
        <f>SUM(C384:C385)</f>
        <v>1430900000</v>
      </c>
      <c r="D386" s="271">
        <f>SUM(D384:D385)</f>
        <v>100</v>
      </c>
      <c r="E386" s="134"/>
      <c r="F386" s="134"/>
      <c r="G386" s="181">
        <f>SUM(G384:G385)</f>
        <v>141466100</v>
      </c>
      <c r="H386" s="134"/>
      <c r="I386" s="134"/>
      <c r="J386" s="56">
        <v>0</v>
      </c>
      <c r="K386" s="130"/>
    </row>
    <row r="387" spans="1:11" x14ac:dyDescent="0.25">
      <c r="A387" s="5"/>
      <c r="B387" s="5"/>
      <c r="C387" s="5"/>
      <c r="D387" s="29"/>
      <c r="E387" s="30"/>
      <c r="F387" s="31"/>
      <c r="G387" s="36"/>
      <c r="H387" s="32"/>
      <c r="I387" s="31"/>
      <c r="J387" s="36"/>
      <c r="K387" s="37"/>
    </row>
    <row r="388" spans="1:11" x14ac:dyDescent="0.25">
      <c r="A388" s="1133" t="s">
        <v>2</v>
      </c>
      <c r="B388" s="1134" t="s">
        <v>175</v>
      </c>
      <c r="C388" s="1133" t="s">
        <v>4</v>
      </c>
      <c r="D388" s="1135" t="s">
        <v>5</v>
      </c>
      <c r="E388" s="1136"/>
      <c r="F388" s="1136"/>
      <c r="G388" s="1137" t="s">
        <v>6</v>
      </c>
      <c r="H388" s="1136"/>
      <c r="I388" s="1136"/>
      <c r="J388" s="1133" t="s">
        <v>7</v>
      </c>
      <c r="K388" s="198" t="s">
        <v>8</v>
      </c>
    </row>
    <row r="389" spans="1:11" x14ac:dyDescent="0.25">
      <c r="A389" s="1133"/>
      <c r="B389" s="1134"/>
      <c r="C389" s="1133"/>
      <c r="D389" s="198" t="s">
        <v>9</v>
      </c>
      <c r="E389" s="310" t="s">
        <v>10</v>
      </c>
      <c r="F389" s="310" t="s">
        <v>11</v>
      </c>
      <c r="G389" s="311" t="s">
        <v>12</v>
      </c>
      <c r="H389" s="310" t="s">
        <v>13</v>
      </c>
      <c r="I389" s="310" t="s">
        <v>11</v>
      </c>
      <c r="J389" s="1138"/>
      <c r="K389" s="192"/>
    </row>
    <row r="390" spans="1:11" x14ac:dyDescent="0.25">
      <c r="A390" s="1133"/>
      <c r="B390" s="1134"/>
      <c r="C390" s="1133"/>
      <c r="D390" s="197" t="s">
        <v>14</v>
      </c>
      <c r="E390" s="195" t="s">
        <v>14</v>
      </c>
      <c r="F390" s="195" t="s">
        <v>14</v>
      </c>
      <c r="G390" s="196" t="s">
        <v>15</v>
      </c>
      <c r="H390" s="195" t="s">
        <v>14</v>
      </c>
      <c r="I390" s="195" t="s">
        <v>14</v>
      </c>
      <c r="J390" s="197" t="s">
        <v>15</v>
      </c>
      <c r="K390" s="197"/>
    </row>
    <row r="391" spans="1:11" x14ac:dyDescent="0.25">
      <c r="A391" s="79" t="s">
        <v>185</v>
      </c>
      <c r="B391" s="199" t="s">
        <v>146</v>
      </c>
      <c r="C391" s="24"/>
      <c r="D391" s="10"/>
      <c r="E391" s="34"/>
      <c r="F391" s="34"/>
      <c r="G391" s="6"/>
      <c r="H391" s="34"/>
      <c r="I391" s="34"/>
      <c r="J391" s="10"/>
      <c r="K391" s="10"/>
    </row>
    <row r="392" spans="1:11" x14ac:dyDescent="0.25">
      <c r="A392" s="125" t="s">
        <v>187</v>
      </c>
      <c r="B392" s="280" t="s">
        <v>156</v>
      </c>
      <c r="C392" s="252">
        <f>SUM(C393:C396)</f>
        <v>870474720</v>
      </c>
      <c r="D392" s="10"/>
      <c r="E392" s="14"/>
      <c r="F392" s="34"/>
      <c r="G392" s="6"/>
      <c r="H392" s="34"/>
      <c r="I392" s="34"/>
      <c r="J392" s="35"/>
      <c r="K392" s="10"/>
    </row>
    <row r="393" spans="1:11" ht="25.5" x14ac:dyDescent="0.25">
      <c r="A393" s="49" t="s">
        <v>59</v>
      </c>
      <c r="B393" s="707" t="s">
        <v>384</v>
      </c>
      <c r="C393" s="256">
        <v>26160000</v>
      </c>
      <c r="D393" s="34">
        <f>C393/C392*100</f>
        <v>3.0052567178516112</v>
      </c>
      <c r="E393" s="134">
        <f t="shared" ref="E393:E395" si="142">G393/C393*100</f>
        <v>0</v>
      </c>
      <c r="F393" s="134">
        <f t="shared" ref="F393:F395" si="143">(D393*E393)/100</f>
        <v>0</v>
      </c>
      <c r="G393" s="181">
        <v>0</v>
      </c>
      <c r="H393" s="134">
        <f t="shared" ref="H393:H395" si="144">G393/C393*100</f>
        <v>0</v>
      </c>
      <c r="I393" s="134">
        <f t="shared" ref="I393:I395" si="145">(D393*H393)/100</f>
        <v>0</v>
      </c>
      <c r="J393" s="6">
        <f t="shared" ref="J393:J396" si="146">G393-C393</f>
        <v>-26160000</v>
      </c>
      <c r="K393" s="10"/>
    </row>
    <row r="394" spans="1:11" x14ac:dyDescent="0.25">
      <c r="A394" s="49" t="s">
        <v>148</v>
      </c>
      <c r="B394" s="133" t="s">
        <v>534</v>
      </c>
      <c r="C394" s="264">
        <v>600000000</v>
      </c>
      <c r="D394" s="134">
        <f>C394/C392*100</f>
        <v>68.927906372743365</v>
      </c>
      <c r="E394" s="134">
        <f t="shared" si="142"/>
        <v>26.620833333333334</v>
      </c>
      <c r="F394" s="134">
        <f t="shared" si="143"/>
        <v>18.349183075644056</v>
      </c>
      <c r="G394" s="181">
        <f>159725000</f>
        <v>159725000</v>
      </c>
      <c r="H394" s="134">
        <f t="shared" si="144"/>
        <v>26.620833333333334</v>
      </c>
      <c r="I394" s="134">
        <f t="shared" si="145"/>
        <v>18.349183075644056</v>
      </c>
      <c r="J394" s="6">
        <f t="shared" si="146"/>
        <v>-440275000</v>
      </c>
      <c r="K394" s="3"/>
    </row>
    <row r="395" spans="1:11" s="84" customFormat="1" ht="25.5" x14ac:dyDescent="0.2">
      <c r="A395" s="723" t="s">
        <v>152</v>
      </c>
      <c r="B395" s="133" t="s">
        <v>153</v>
      </c>
      <c r="C395" s="264">
        <v>240000000</v>
      </c>
      <c r="D395" s="134">
        <f>C395/C392*100</f>
        <v>27.571162549097352</v>
      </c>
      <c r="E395" s="134">
        <f t="shared" si="142"/>
        <v>25</v>
      </c>
      <c r="F395" s="134">
        <f t="shared" si="143"/>
        <v>6.8927906372743379</v>
      </c>
      <c r="G395" s="181">
        <f>60000000</f>
        <v>60000000</v>
      </c>
      <c r="H395" s="134">
        <f t="shared" si="144"/>
        <v>25</v>
      </c>
      <c r="I395" s="134">
        <f t="shared" si="145"/>
        <v>6.8927906372743379</v>
      </c>
      <c r="J395" s="6">
        <f t="shared" si="146"/>
        <v>-180000000</v>
      </c>
      <c r="K395" s="85"/>
    </row>
    <row r="396" spans="1:11" s="84" customFormat="1" x14ac:dyDescent="0.2">
      <c r="A396" s="749" t="s">
        <v>234</v>
      </c>
      <c r="B396" s="133" t="s">
        <v>522</v>
      </c>
      <c r="C396" s="264">
        <v>4314720</v>
      </c>
      <c r="D396" s="804"/>
      <c r="E396" s="134"/>
      <c r="F396" s="134"/>
      <c r="G396" s="181">
        <f>4314720</f>
        <v>4314720</v>
      </c>
      <c r="H396" s="134"/>
      <c r="I396" s="134"/>
      <c r="J396" s="6">
        <f t="shared" si="146"/>
        <v>0</v>
      </c>
      <c r="K396" s="823"/>
    </row>
    <row r="397" spans="1:11" x14ac:dyDescent="0.25">
      <c r="A397" s="73"/>
      <c r="B397" s="136" t="s">
        <v>154</v>
      </c>
      <c r="C397" s="824">
        <f>SUM(C393:C396)</f>
        <v>870474720</v>
      </c>
      <c r="D397" s="272">
        <f>SUM(D393:D395)</f>
        <v>99.504325639692325</v>
      </c>
      <c r="E397" s="134"/>
      <c r="F397" s="134"/>
      <c r="G397" s="181">
        <f>SUM(G393:G396)</f>
        <v>224039720</v>
      </c>
      <c r="H397" s="134"/>
      <c r="I397" s="134"/>
      <c r="J397" s="56">
        <v>0</v>
      </c>
      <c r="K397" s="40"/>
    </row>
    <row r="398" spans="1:11" x14ac:dyDescent="0.25">
      <c r="A398" s="50"/>
      <c r="B398" s="5"/>
      <c r="C398" s="50" t="s">
        <v>141</v>
      </c>
      <c r="D398" s="9"/>
      <c r="E398" s="23"/>
      <c r="F398" s="23"/>
      <c r="G398" s="11"/>
      <c r="H398" s="23"/>
      <c r="I398" s="23"/>
      <c r="J398" s="9"/>
      <c r="K398" s="9"/>
    </row>
    <row r="399" spans="1:11" x14ac:dyDescent="0.25">
      <c r="A399" s="50"/>
      <c r="B399" s="5"/>
      <c r="C399" s="50"/>
      <c r="D399" s="9"/>
      <c r="E399" s="23"/>
      <c r="F399" s="23"/>
      <c r="G399" s="11"/>
      <c r="H399" s="23"/>
      <c r="I399" s="23"/>
      <c r="J399" s="9"/>
      <c r="K399" s="9"/>
    </row>
    <row r="400" spans="1:11" x14ac:dyDescent="0.25">
      <c r="A400" s="1123" t="s">
        <v>2</v>
      </c>
      <c r="B400" s="1126" t="s">
        <v>171</v>
      </c>
      <c r="C400" s="1123" t="s">
        <v>4</v>
      </c>
      <c r="D400" s="1155" t="s">
        <v>5</v>
      </c>
      <c r="E400" s="1156"/>
      <c r="F400" s="1157"/>
      <c r="G400" s="1158" t="s">
        <v>6</v>
      </c>
      <c r="H400" s="1159"/>
      <c r="I400" s="1160"/>
      <c r="J400" s="1123" t="s">
        <v>7</v>
      </c>
      <c r="K400" s="289" t="s">
        <v>8</v>
      </c>
    </row>
    <row r="401" spans="1:14" x14ac:dyDescent="0.25">
      <c r="A401" s="1124"/>
      <c r="B401" s="1127"/>
      <c r="C401" s="1124"/>
      <c r="D401" s="289" t="s">
        <v>9</v>
      </c>
      <c r="E401" s="308" t="s">
        <v>10</v>
      </c>
      <c r="F401" s="308" t="s">
        <v>11</v>
      </c>
      <c r="G401" s="309" t="s">
        <v>12</v>
      </c>
      <c r="H401" s="308" t="s">
        <v>13</v>
      </c>
      <c r="I401" s="308" t="s">
        <v>11</v>
      </c>
      <c r="J401" s="1124"/>
      <c r="K401" s="115"/>
    </row>
    <row r="402" spans="1:14" x14ac:dyDescent="0.25">
      <c r="A402" s="1125"/>
      <c r="B402" s="1128"/>
      <c r="C402" s="1125"/>
      <c r="D402" s="118" t="s">
        <v>14</v>
      </c>
      <c r="E402" s="119" t="s">
        <v>14</v>
      </c>
      <c r="F402" s="119" t="s">
        <v>14</v>
      </c>
      <c r="G402" s="120" t="s">
        <v>15</v>
      </c>
      <c r="H402" s="119" t="s">
        <v>14</v>
      </c>
      <c r="I402" s="119" t="s">
        <v>14</v>
      </c>
      <c r="J402" s="118" t="s">
        <v>15</v>
      </c>
      <c r="K402" s="118"/>
    </row>
    <row r="403" spans="1:14" ht="25.5" x14ac:dyDescent="0.25">
      <c r="A403" s="79" t="s">
        <v>180</v>
      </c>
      <c r="B403" s="696" t="s">
        <v>379</v>
      </c>
      <c r="C403" s="128"/>
      <c r="D403" s="10"/>
      <c r="E403" s="34"/>
      <c r="F403" s="34"/>
      <c r="G403" s="6"/>
      <c r="H403" s="34"/>
      <c r="I403" s="34"/>
      <c r="J403" s="10"/>
      <c r="K403" s="10"/>
    </row>
    <row r="404" spans="1:14" ht="25.5" x14ac:dyDescent="0.25">
      <c r="A404" s="158" t="s">
        <v>181</v>
      </c>
      <c r="B404" s="697" t="s">
        <v>380</v>
      </c>
      <c r="C404" s="265">
        <f>SUM(C405:C416)</f>
        <v>185000000</v>
      </c>
      <c r="D404" s="10"/>
      <c r="E404" s="34"/>
      <c r="F404" s="34"/>
      <c r="G404" s="6"/>
      <c r="H404" s="34"/>
      <c r="I404" s="34"/>
      <c r="J404" s="10"/>
      <c r="K404" s="10"/>
    </row>
    <row r="405" spans="1:14" ht="25.5" x14ac:dyDescent="0.25">
      <c r="A405" s="74" t="s">
        <v>44</v>
      </c>
      <c r="B405" s="707" t="s">
        <v>384</v>
      </c>
      <c r="C405" s="266">
        <v>8580000</v>
      </c>
      <c r="D405" s="134">
        <f>C405/C404*100</f>
        <v>4.6378378378378375</v>
      </c>
      <c r="E405" s="134">
        <f t="shared" ref="E405:E413" si="147">G405/C405*100</f>
        <v>96.386946386946377</v>
      </c>
      <c r="F405" s="134">
        <f t="shared" ref="F405:F413" si="148">(D405*E405)/100</f>
        <v>4.4702702702702695</v>
      </c>
      <c r="G405" s="181">
        <f>8270000</f>
        <v>8270000</v>
      </c>
      <c r="H405" s="134">
        <f t="shared" ref="H405:H413" si="149">G405/C405*100</f>
        <v>96.386946386946377</v>
      </c>
      <c r="I405" s="134">
        <f t="shared" ref="I405:I413" si="150">(D405*H405)/100</f>
        <v>4.4702702702702695</v>
      </c>
      <c r="J405" s="6">
        <f t="shared" ref="J405:J416" si="151">G405-C405</f>
        <v>-310000</v>
      </c>
      <c r="K405" s="10"/>
      <c r="L405" s="1"/>
      <c r="M405" s="1"/>
      <c r="N405" s="25"/>
    </row>
    <row r="406" spans="1:14" x14ac:dyDescent="0.25">
      <c r="A406" s="74" t="s">
        <v>59</v>
      </c>
      <c r="B406" s="707" t="s">
        <v>197</v>
      </c>
      <c r="C406" s="266">
        <v>12180000</v>
      </c>
      <c r="D406" s="134">
        <f>C406/C404*100</f>
        <v>6.583783783783784</v>
      </c>
      <c r="E406" s="134">
        <f t="shared" si="147"/>
        <v>53.362479474548444</v>
      </c>
      <c r="F406" s="134">
        <f t="shared" si="148"/>
        <v>3.5132702702702705</v>
      </c>
      <c r="G406" s="181">
        <f>6499550</f>
        <v>6499550</v>
      </c>
      <c r="H406" s="134">
        <f t="shared" si="149"/>
        <v>53.362479474548444</v>
      </c>
      <c r="I406" s="134">
        <f t="shared" si="150"/>
        <v>3.5132702702702705</v>
      </c>
      <c r="J406" s="6">
        <f t="shared" si="151"/>
        <v>-5680450</v>
      </c>
      <c r="K406" s="10"/>
      <c r="L406" s="1"/>
      <c r="M406" s="1"/>
      <c r="N406" s="1"/>
    </row>
    <row r="407" spans="1:14" x14ac:dyDescent="0.25">
      <c r="A407" s="74" t="s">
        <v>62</v>
      </c>
      <c r="B407" s="707" t="s">
        <v>334</v>
      </c>
      <c r="C407" s="266">
        <v>9590000</v>
      </c>
      <c r="D407" s="134">
        <f>C407/C404*100</f>
        <v>5.1837837837837837</v>
      </c>
      <c r="E407" s="134">
        <f t="shared" si="147"/>
        <v>40.667361835245046</v>
      </c>
      <c r="F407" s="134">
        <f t="shared" si="148"/>
        <v>2.1081081081081079</v>
      </c>
      <c r="G407" s="181">
        <f>3900000</f>
        <v>3900000</v>
      </c>
      <c r="H407" s="134">
        <f t="shared" si="149"/>
        <v>40.667361835245046</v>
      </c>
      <c r="I407" s="134">
        <f t="shared" si="150"/>
        <v>2.1081081081081079</v>
      </c>
      <c r="J407" s="6">
        <f t="shared" si="151"/>
        <v>-5690000</v>
      </c>
      <c r="K407" s="10"/>
      <c r="L407" s="1"/>
      <c r="M407" s="1"/>
      <c r="N407" s="1"/>
    </row>
    <row r="408" spans="1:14" ht="25.5" x14ac:dyDescent="0.25">
      <c r="A408" s="49" t="s">
        <v>193</v>
      </c>
      <c r="B408" s="707" t="s">
        <v>537</v>
      </c>
      <c r="C408" s="266">
        <v>5250000</v>
      </c>
      <c r="D408" s="134"/>
      <c r="E408" s="134"/>
      <c r="F408" s="134"/>
      <c r="G408" s="181">
        <f>5250000</f>
        <v>5250000</v>
      </c>
      <c r="H408" s="134"/>
      <c r="I408" s="134"/>
      <c r="J408" s="6">
        <f t="shared" si="151"/>
        <v>0</v>
      </c>
      <c r="K408" s="10"/>
      <c r="L408" s="1"/>
      <c r="M408" s="1"/>
      <c r="N408" s="1"/>
    </row>
    <row r="409" spans="1:14" x14ac:dyDescent="0.25">
      <c r="A409" s="49" t="s">
        <v>148</v>
      </c>
      <c r="B409" s="133" t="s">
        <v>534</v>
      </c>
      <c r="C409" s="266">
        <v>8000000</v>
      </c>
      <c r="D409" s="134"/>
      <c r="E409" s="134"/>
      <c r="F409" s="134"/>
      <c r="G409" s="181">
        <f>8000000</f>
        <v>8000000</v>
      </c>
      <c r="H409" s="134"/>
      <c r="I409" s="134"/>
      <c r="J409" s="6">
        <f t="shared" si="151"/>
        <v>0</v>
      </c>
      <c r="K409" s="10"/>
      <c r="L409" s="1"/>
      <c r="M409" s="1"/>
      <c r="N409" s="1"/>
    </row>
    <row r="410" spans="1:14" x14ac:dyDescent="0.25">
      <c r="A410" s="74" t="s">
        <v>77</v>
      </c>
      <c r="B410" s="49" t="s">
        <v>143</v>
      </c>
      <c r="C410" s="266">
        <v>69700000</v>
      </c>
      <c r="D410" s="134">
        <f>C410/C404*100</f>
        <v>37.675675675675677</v>
      </c>
      <c r="E410" s="134">
        <f t="shared" si="147"/>
        <v>29.404591104734578</v>
      </c>
      <c r="F410" s="134">
        <f t="shared" si="148"/>
        <v>11.07837837837838</v>
      </c>
      <c r="G410" s="181">
        <f>20495000</f>
        <v>20495000</v>
      </c>
      <c r="H410" s="134">
        <f t="shared" si="149"/>
        <v>29.404591104734578</v>
      </c>
      <c r="I410" s="134">
        <f t="shared" si="150"/>
        <v>11.07837837837838</v>
      </c>
      <c r="J410" s="6">
        <f t="shared" si="151"/>
        <v>-49205000</v>
      </c>
      <c r="K410" s="10"/>
      <c r="L410" s="1"/>
      <c r="M410" s="1"/>
      <c r="N410" s="1"/>
    </row>
    <row r="411" spans="1:14" x14ac:dyDescent="0.25">
      <c r="A411" s="314" t="s">
        <v>183</v>
      </c>
      <c r="B411" s="49" t="s">
        <v>417</v>
      </c>
      <c r="C411" s="266">
        <v>14400000</v>
      </c>
      <c r="D411" s="134"/>
      <c r="E411" s="134"/>
      <c r="F411" s="134"/>
      <c r="G411" s="181"/>
      <c r="H411" s="134"/>
      <c r="I411" s="134"/>
      <c r="J411" s="6">
        <f t="shared" si="151"/>
        <v>-14400000</v>
      </c>
      <c r="K411" s="10"/>
      <c r="L411" s="1"/>
      <c r="M411" s="1"/>
      <c r="N411" s="1"/>
    </row>
    <row r="412" spans="1:14" x14ac:dyDescent="0.25">
      <c r="A412" s="74" t="s">
        <v>186</v>
      </c>
      <c r="B412" s="170" t="s">
        <v>182</v>
      </c>
      <c r="C412" s="266">
        <v>31000000</v>
      </c>
      <c r="D412" s="134">
        <f>C412/C404*100</f>
        <v>16.756756756756758</v>
      </c>
      <c r="E412" s="134">
        <f t="shared" si="147"/>
        <v>100</v>
      </c>
      <c r="F412" s="134">
        <f t="shared" si="148"/>
        <v>16.756756756756758</v>
      </c>
      <c r="G412" s="181">
        <f>31000000</f>
        <v>31000000</v>
      </c>
      <c r="H412" s="134">
        <f t="shared" si="149"/>
        <v>100</v>
      </c>
      <c r="I412" s="134">
        <f t="shared" si="150"/>
        <v>16.756756756756758</v>
      </c>
      <c r="J412" s="6">
        <f t="shared" si="151"/>
        <v>0</v>
      </c>
      <c r="K412" s="10"/>
      <c r="L412" s="1"/>
      <c r="M412" s="1"/>
      <c r="N412" s="1"/>
    </row>
    <row r="413" spans="1:14" ht="25.5" x14ac:dyDescent="0.25">
      <c r="A413" s="74" t="s">
        <v>106</v>
      </c>
      <c r="B413" s="316" t="s">
        <v>375</v>
      </c>
      <c r="C413" s="266">
        <v>15300000</v>
      </c>
      <c r="D413" s="134">
        <f>C413/C404*100</f>
        <v>8.2702702702702702</v>
      </c>
      <c r="E413" s="134">
        <f t="shared" si="147"/>
        <v>76.470588235294116</v>
      </c>
      <c r="F413" s="134">
        <f t="shared" si="148"/>
        <v>6.3243243243243237</v>
      </c>
      <c r="G413" s="181">
        <f>11700000</f>
        <v>11700000</v>
      </c>
      <c r="H413" s="134">
        <f t="shared" si="149"/>
        <v>76.470588235294116</v>
      </c>
      <c r="I413" s="134">
        <f t="shared" si="150"/>
        <v>6.3243243243243237</v>
      </c>
      <c r="J413" s="6">
        <f t="shared" si="151"/>
        <v>-3600000</v>
      </c>
      <c r="K413" s="10"/>
      <c r="L413" s="1"/>
      <c r="M413" s="1"/>
      <c r="N413" s="1"/>
    </row>
    <row r="414" spans="1:14" x14ac:dyDescent="0.25">
      <c r="A414" s="755" t="s">
        <v>116</v>
      </c>
      <c r="B414" s="316" t="s">
        <v>538</v>
      </c>
      <c r="C414" s="266">
        <v>2000000</v>
      </c>
      <c r="D414" s="134">
        <f>C414/C405*100</f>
        <v>23.310023310023308</v>
      </c>
      <c r="E414" s="134"/>
      <c r="F414" s="134"/>
      <c r="G414" s="181">
        <f>2000000</f>
        <v>2000000</v>
      </c>
      <c r="H414" s="134"/>
      <c r="I414" s="134"/>
      <c r="J414" s="6">
        <f t="shared" si="151"/>
        <v>0</v>
      </c>
      <c r="K414" s="10"/>
      <c r="L414" s="1"/>
      <c r="M414" s="1"/>
      <c r="N414" s="1"/>
    </row>
    <row r="415" spans="1:14" x14ac:dyDescent="0.25">
      <c r="A415" s="755" t="s">
        <v>521</v>
      </c>
      <c r="B415" s="316" t="s">
        <v>539</v>
      </c>
      <c r="C415" s="266">
        <v>2000000</v>
      </c>
      <c r="D415" s="134"/>
      <c r="E415" s="134"/>
      <c r="F415" s="134"/>
      <c r="G415" s="181">
        <f>2000000</f>
        <v>2000000</v>
      </c>
      <c r="H415" s="134"/>
      <c r="I415" s="134"/>
      <c r="J415" s="6">
        <f t="shared" si="151"/>
        <v>0</v>
      </c>
      <c r="K415" s="10"/>
      <c r="L415" s="1"/>
      <c r="M415" s="1"/>
      <c r="N415" s="1"/>
    </row>
    <row r="416" spans="1:14" x14ac:dyDescent="0.25">
      <c r="A416" s="755" t="s">
        <v>65</v>
      </c>
      <c r="B416" s="316" t="s">
        <v>190</v>
      </c>
      <c r="C416" s="266">
        <v>7000000</v>
      </c>
      <c r="D416" s="134"/>
      <c r="E416" s="134"/>
      <c r="F416" s="134"/>
      <c r="G416" s="181"/>
      <c r="H416" s="134"/>
      <c r="I416" s="134"/>
      <c r="J416" s="6">
        <f t="shared" si="151"/>
        <v>-7000000</v>
      </c>
      <c r="K416" s="10"/>
      <c r="L416" s="1"/>
      <c r="M416" s="1"/>
      <c r="N416" s="1"/>
    </row>
    <row r="417" spans="1:14" x14ac:dyDescent="0.25">
      <c r="A417" s="1152" t="s">
        <v>128</v>
      </c>
      <c r="B417" s="1154"/>
      <c r="C417" s="57">
        <f>SUM(C405:C416)</f>
        <v>185000000</v>
      </c>
      <c r="D417" s="273">
        <f>SUM(D405:D413)</f>
        <v>79.108108108108112</v>
      </c>
      <c r="E417" s="134"/>
      <c r="F417" s="134"/>
      <c r="G417" s="13">
        <f>SUM(G405:G416)</f>
        <v>99114550</v>
      </c>
      <c r="H417" s="134"/>
      <c r="I417" s="134"/>
      <c r="J417" s="56">
        <v>0</v>
      </c>
      <c r="K417" s="12"/>
      <c r="L417" s="9"/>
      <c r="M417" s="9"/>
      <c r="N417" s="9"/>
    </row>
    <row r="418" spans="1:14" x14ac:dyDescent="0.25">
      <c r="A418" s="5"/>
      <c r="B418" s="5"/>
      <c r="C418" s="65"/>
      <c r="D418" s="66"/>
      <c r="E418" s="30"/>
      <c r="F418" s="31"/>
      <c r="G418" s="36"/>
      <c r="H418" s="30"/>
      <c r="I418" s="31"/>
      <c r="J418" s="33"/>
      <c r="K418" s="29"/>
      <c r="L418" s="9"/>
      <c r="M418" s="9"/>
      <c r="N418" s="9"/>
    </row>
    <row r="419" spans="1:14" ht="31.5" x14ac:dyDescent="0.25">
      <c r="A419" s="55"/>
      <c r="B419" s="46" t="s">
        <v>145</v>
      </c>
      <c r="C419" s="155"/>
      <c r="D419" s="44"/>
      <c r="E419" s="45"/>
      <c r="F419" s="45"/>
      <c r="G419" s="48"/>
      <c r="H419" s="45"/>
      <c r="I419" s="45"/>
      <c r="J419" s="44"/>
      <c r="K419" s="44"/>
      <c r="L419" s="1"/>
      <c r="M419" s="1"/>
      <c r="N419" s="1"/>
    </row>
    <row r="420" spans="1:14" x14ac:dyDescent="0.25">
      <c r="A420" s="1119" t="s">
        <v>2</v>
      </c>
      <c r="B420" s="1120" t="s">
        <v>171</v>
      </c>
      <c r="C420" s="1119" t="s">
        <v>4</v>
      </c>
      <c r="D420" s="1121" t="s">
        <v>5</v>
      </c>
      <c r="E420" s="1132"/>
      <c r="F420" s="1132"/>
      <c r="G420" s="1122" t="s">
        <v>6</v>
      </c>
      <c r="H420" s="1132"/>
      <c r="I420" s="1132"/>
      <c r="J420" s="1119" t="s">
        <v>7</v>
      </c>
      <c r="K420" s="289" t="s">
        <v>8</v>
      </c>
      <c r="L420" s="1"/>
      <c r="M420" s="1"/>
    </row>
    <row r="421" spans="1:14" x14ac:dyDescent="0.25">
      <c r="A421" s="1119"/>
      <c r="B421" s="1120"/>
      <c r="C421" s="1119"/>
      <c r="D421" s="289" t="s">
        <v>9</v>
      </c>
      <c r="E421" s="308" t="s">
        <v>10</v>
      </c>
      <c r="F421" s="308" t="s">
        <v>11</v>
      </c>
      <c r="G421" s="309" t="s">
        <v>12</v>
      </c>
      <c r="H421" s="308" t="s">
        <v>13</v>
      </c>
      <c r="I421" s="308" t="s">
        <v>11</v>
      </c>
      <c r="J421" s="1123"/>
      <c r="K421" s="115"/>
      <c r="L421" s="1"/>
      <c r="M421" s="1"/>
    </row>
    <row r="422" spans="1:14" x14ac:dyDescent="0.25">
      <c r="A422" s="1119"/>
      <c r="B422" s="1120"/>
      <c r="C422" s="1119"/>
      <c r="D422" s="118" t="s">
        <v>14</v>
      </c>
      <c r="E422" s="119" t="s">
        <v>14</v>
      </c>
      <c r="F422" s="119" t="s">
        <v>14</v>
      </c>
      <c r="G422" s="120" t="s">
        <v>15</v>
      </c>
      <c r="H422" s="119" t="s">
        <v>14</v>
      </c>
      <c r="I422" s="119" t="s">
        <v>14</v>
      </c>
      <c r="J422" s="118" t="s">
        <v>15</v>
      </c>
      <c r="K422" s="118"/>
      <c r="L422" s="1"/>
      <c r="M422" s="1"/>
    </row>
    <row r="423" spans="1:14" x14ac:dyDescent="0.25">
      <c r="A423" s="79" t="s">
        <v>185</v>
      </c>
      <c r="B423" s="199" t="s">
        <v>146</v>
      </c>
      <c r="C423" s="24"/>
      <c r="D423" s="10"/>
      <c r="E423" s="34"/>
      <c r="F423" s="34"/>
      <c r="G423" s="6"/>
      <c r="H423" s="34"/>
      <c r="I423" s="34"/>
      <c r="J423" s="10"/>
      <c r="K423" s="10"/>
      <c r="L423" s="1"/>
      <c r="M423" s="25"/>
    </row>
    <row r="424" spans="1:14" x14ac:dyDescent="0.25">
      <c r="A424" s="125" t="s">
        <v>184</v>
      </c>
      <c r="B424" s="280" t="s">
        <v>147</v>
      </c>
      <c r="C424" s="252">
        <f>SUM(C425:C426)</f>
        <v>5850440000</v>
      </c>
      <c r="D424" s="10"/>
      <c r="E424" s="34"/>
      <c r="F424" s="34"/>
      <c r="G424" s="6"/>
      <c r="H424" s="34"/>
      <c r="I424" s="34"/>
      <c r="J424" s="10"/>
      <c r="K424" s="10"/>
      <c r="L424" s="1"/>
      <c r="M424" s="1"/>
    </row>
    <row r="425" spans="1:14" x14ac:dyDescent="0.25">
      <c r="A425" s="154" t="s">
        <v>413</v>
      </c>
      <c r="B425" s="707" t="s">
        <v>414</v>
      </c>
      <c r="C425" s="253">
        <v>40440000</v>
      </c>
      <c r="D425" s="134" t="e">
        <f>C425/#REF!*100</f>
        <v>#REF!</v>
      </c>
      <c r="E425" s="134"/>
      <c r="F425" s="134"/>
      <c r="G425" s="181">
        <v>0</v>
      </c>
      <c r="H425" s="134"/>
      <c r="I425" s="134"/>
      <c r="J425" s="6">
        <f t="shared" ref="J425:J426" si="152">G425-C425</f>
        <v>-40440000</v>
      </c>
      <c r="K425" s="10"/>
      <c r="L425" s="1"/>
      <c r="M425" s="1"/>
    </row>
    <row r="426" spans="1:14" x14ac:dyDescent="0.25">
      <c r="A426" s="124" t="s">
        <v>148</v>
      </c>
      <c r="B426" s="133" t="s">
        <v>534</v>
      </c>
      <c r="C426" s="256">
        <v>5810000000</v>
      </c>
      <c r="D426" s="134">
        <f>C426/C424*100</f>
        <v>99.308769938671276</v>
      </c>
      <c r="E426" s="134">
        <f t="shared" ref="E426" si="153">G426/C426*100</f>
        <v>0</v>
      </c>
      <c r="F426" s="134">
        <f t="shared" ref="F426" si="154">(D426*E426)/100</f>
        <v>0</v>
      </c>
      <c r="G426" s="181">
        <v>0</v>
      </c>
      <c r="H426" s="134">
        <f t="shared" ref="H426" si="155">G426/C426*100</f>
        <v>0</v>
      </c>
      <c r="I426" s="134">
        <f t="shared" ref="I426" si="156">(D426*H426)/100</f>
        <v>0</v>
      </c>
      <c r="J426" s="6">
        <f t="shared" si="152"/>
        <v>-5810000000</v>
      </c>
      <c r="K426" s="10"/>
      <c r="L426" s="1"/>
      <c r="M426" s="1"/>
    </row>
    <row r="427" spans="1:14" x14ac:dyDescent="0.25">
      <c r="A427" s="72"/>
      <c r="B427" s="136" t="s">
        <v>154</v>
      </c>
      <c r="C427" s="808">
        <f>SUM(C425:C426)</f>
        <v>5850440000</v>
      </c>
      <c r="D427" s="271" t="e">
        <f>SUM(D425:D426)</f>
        <v>#REF!</v>
      </c>
      <c r="E427" s="134"/>
      <c r="F427" s="134"/>
      <c r="G427" s="181">
        <f>SUM(G425:G426)</f>
        <v>0</v>
      </c>
      <c r="H427" s="134"/>
      <c r="I427" s="134"/>
      <c r="J427" s="56">
        <v>0</v>
      </c>
      <c r="K427" s="130"/>
      <c r="L427" s="1"/>
      <c r="M427" s="1"/>
    </row>
    <row r="428" spans="1:14" x14ac:dyDescent="0.25">
      <c r="A428" s="5"/>
      <c r="B428" s="5"/>
      <c r="C428" s="65"/>
      <c r="D428" s="66"/>
      <c r="E428" s="30"/>
      <c r="F428" s="31"/>
      <c r="G428" s="36"/>
      <c r="H428" s="30"/>
      <c r="I428" s="31"/>
      <c r="J428" s="33"/>
      <c r="K428" s="29"/>
      <c r="L428" s="9"/>
      <c r="M428" s="9"/>
      <c r="N428" s="9"/>
    </row>
    <row r="429" spans="1:14" x14ac:dyDescent="0.25">
      <c r="A429" s="1119" t="s">
        <v>2</v>
      </c>
      <c r="B429" s="1120" t="s">
        <v>171</v>
      </c>
      <c r="C429" s="1119" t="s">
        <v>4</v>
      </c>
      <c r="D429" s="1121" t="s">
        <v>5</v>
      </c>
      <c r="E429" s="1132"/>
      <c r="F429" s="1132"/>
      <c r="G429" s="1122" t="s">
        <v>6</v>
      </c>
      <c r="H429" s="1132"/>
      <c r="I429" s="1132"/>
      <c r="J429" s="1119" t="s">
        <v>7</v>
      </c>
      <c r="K429" s="289" t="s">
        <v>8</v>
      </c>
      <c r="L429" s="1"/>
      <c r="M429" s="1"/>
    </row>
    <row r="430" spans="1:14" x14ac:dyDescent="0.25">
      <c r="A430" s="1119"/>
      <c r="B430" s="1120"/>
      <c r="C430" s="1119"/>
      <c r="D430" s="289" t="s">
        <v>9</v>
      </c>
      <c r="E430" s="308" t="s">
        <v>10</v>
      </c>
      <c r="F430" s="308" t="s">
        <v>11</v>
      </c>
      <c r="G430" s="309" t="s">
        <v>12</v>
      </c>
      <c r="H430" s="308" t="s">
        <v>13</v>
      </c>
      <c r="I430" s="308" t="s">
        <v>11</v>
      </c>
      <c r="J430" s="1123"/>
      <c r="K430" s="115"/>
      <c r="L430" s="1"/>
      <c r="M430" s="1"/>
    </row>
    <row r="431" spans="1:14" x14ac:dyDescent="0.25">
      <c r="A431" s="1119"/>
      <c r="B431" s="1120"/>
      <c r="C431" s="1119"/>
      <c r="D431" s="118" t="s">
        <v>14</v>
      </c>
      <c r="E431" s="119" t="s">
        <v>14</v>
      </c>
      <c r="F431" s="119" t="s">
        <v>14</v>
      </c>
      <c r="G431" s="120" t="s">
        <v>15</v>
      </c>
      <c r="H431" s="119" t="s">
        <v>14</v>
      </c>
      <c r="I431" s="119" t="s">
        <v>14</v>
      </c>
      <c r="J431" s="118" t="s">
        <v>15</v>
      </c>
      <c r="K431" s="118"/>
      <c r="L431" s="1"/>
      <c r="M431" s="1"/>
    </row>
    <row r="432" spans="1:14" x14ac:dyDescent="0.25">
      <c r="A432" s="79" t="s">
        <v>185</v>
      </c>
      <c r="B432" s="199" t="s">
        <v>146</v>
      </c>
      <c r="C432" s="24"/>
      <c r="D432" s="10"/>
      <c r="E432" s="34"/>
      <c r="F432" s="34"/>
      <c r="G432" s="6"/>
      <c r="H432" s="34"/>
      <c r="I432" s="34"/>
      <c r="J432" s="10"/>
      <c r="K432" s="10"/>
      <c r="L432" s="1"/>
      <c r="M432" s="1"/>
    </row>
    <row r="433" spans="1:13" x14ac:dyDescent="0.25">
      <c r="A433" s="125" t="s">
        <v>187</v>
      </c>
      <c r="B433" s="280" t="s">
        <v>164</v>
      </c>
      <c r="C433" s="252">
        <f>SUM(C434:C438)</f>
        <v>3539546088</v>
      </c>
      <c r="D433" s="10"/>
      <c r="E433" s="34"/>
      <c r="F433" s="34"/>
      <c r="G433" s="6"/>
      <c r="H433" s="34"/>
      <c r="I433" s="34"/>
      <c r="J433" s="10"/>
      <c r="K433" s="10"/>
      <c r="L433" s="1"/>
      <c r="M433" s="1"/>
    </row>
    <row r="434" spans="1:13" ht="25.5" x14ac:dyDescent="0.25">
      <c r="A434" s="154" t="s">
        <v>44</v>
      </c>
      <c r="B434" s="707" t="s">
        <v>384</v>
      </c>
      <c r="C434" s="253">
        <v>35255000</v>
      </c>
      <c r="D434" s="134">
        <f>C434/C433*100</f>
        <v>0.99603166969696488</v>
      </c>
      <c r="E434" s="134">
        <f t="shared" ref="E434:E437" si="157">G434/C434*100</f>
        <v>0</v>
      </c>
      <c r="F434" s="134">
        <f t="shared" ref="F434:F437" si="158">(D434*E434)/100</f>
        <v>0</v>
      </c>
      <c r="G434" s="181">
        <v>0</v>
      </c>
      <c r="H434" s="134">
        <f t="shared" ref="H434:H437" si="159">G434/C434*100</f>
        <v>0</v>
      </c>
      <c r="I434" s="134">
        <f t="shared" ref="I434:I437" si="160">(D434*H434)/100</f>
        <v>0</v>
      </c>
      <c r="J434" s="6">
        <f t="shared" ref="J434:J438" si="161">G434-C434</f>
        <v>-35255000</v>
      </c>
      <c r="K434" s="10"/>
      <c r="L434" s="1"/>
      <c r="M434" s="1"/>
    </row>
    <row r="435" spans="1:13" x14ac:dyDescent="0.25">
      <c r="A435" s="154" t="s">
        <v>413</v>
      </c>
      <c r="B435" s="707" t="s">
        <v>414</v>
      </c>
      <c r="C435" s="253">
        <v>385000</v>
      </c>
      <c r="D435" s="134"/>
      <c r="E435" s="134"/>
      <c r="F435" s="134"/>
      <c r="G435" s="181">
        <v>0</v>
      </c>
      <c r="H435" s="134"/>
      <c r="I435" s="134"/>
      <c r="J435" s="6">
        <f t="shared" si="161"/>
        <v>-385000</v>
      </c>
      <c r="K435" s="10"/>
      <c r="L435" s="1"/>
      <c r="M435" s="1"/>
    </row>
    <row r="436" spans="1:13" x14ac:dyDescent="0.25">
      <c r="A436" s="124" t="s">
        <v>148</v>
      </c>
      <c r="B436" s="133" t="s">
        <v>534</v>
      </c>
      <c r="C436" s="256">
        <v>2490000000</v>
      </c>
      <c r="D436" s="134">
        <f>C436/C433*100</f>
        <v>70.348003334149553</v>
      </c>
      <c r="E436" s="134">
        <f t="shared" si="157"/>
        <v>0</v>
      </c>
      <c r="F436" s="134">
        <f t="shared" si="158"/>
        <v>0</v>
      </c>
      <c r="G436" s="181">
        <v>0</v>
      </c>
      <c r="H436" s="134">
        <f t="shared" si="159"/>
        <v>0</v>
      </c>
      <c r="I436" s="134">
        <f t="shared" si="160"/>
        <v>0</v>
      </c>
      <c r="J436" s="6">
        <f t="shared" si="161"/>
        <v>-2490000000</v>
      </c>
      <c r="K436" s="10"/>
    </row>
    <row r="437" spans="1:13" s="84" customFormat="1" ht="25.5" x14ac:dyDescent="0.2">
      <c r="A437" s="124" t="s">
        <v>152</v>
      </c>
      <c r="B437" s="133" t="s">
        <v>166</v>
      </c>
      <c r="C437" s="256">
        <v>996000000</v>
      </c>
      <c r="D437" s="134">
        <f>C437/C433*100</f>
        <v>28.13920133365982</v>
      </c>
      <c r="E437" s="134">
        <f t="shared" si="157"/>
        <v>41.666666666666671</v>
      </c>
      <c r="F437" s="134">
        <f t="shared" si="158"/>
        <v>11.72466722235826</v>
      </c>
      <c r="G437" s="181">
        <f>415000000</f>
        <v>415000000</v>
      </c>
      <c r="H437" s="134">
        <f t="shared" si="159"/>
        <v>41.666666666666671</v>
      </c>
      <c r="I437" s="134">
        <f t="shared" si="160"/>
        <v>11.72466722235826</v>
      </c>
      <c r="J437" s="6">
        <f t="shared" si="161"/>
        <v>-581000000</v>
      </c>
      <c r="K437" s="38"/>
    </row>
    <row r="438" spans="1:13" s="84" customFormat="1" x14ac:dyDescent="0.2">
      <c r="A438" s="825" t="s">
        <v>234</v>
      </c>
      <c r="B438" s="133" t="s">
        <v>522</v>
      </c>
      <c r="C438" s="256">
        <v>17906088</v>
      </c>
      <c r="D438" s="804"/>
      <c r="E438" s="134"/>
      <c r="F438" s="134"/>
      <c r="G438" s="181">
        <f>17906088</f>
        <v>17906088</v>
      </c>
      <c r="H438" s="134"/>
      <c r="I438" s="134"/>
      <c r="J438" s="6">
        <f t="shared" si="161"/>
        <v>0</v>
      </c>
      <c r="K438" s="805"/>
    </row>
    <row r="439" spans="1:13" x14ac:dyDescent="0.25">
      <c r="A439" s="70"/>
      <c r="B439" s="129" t="s">
        <v>95</v>
      </c>
      <c r="C439" s="807">
        <f>SUM(C434:C438)</f>
        <v>3539546088</v>
      </c>
      <c r="D439" s="271">
        <f>SUM(D434:D437)</f>
        <v>99.483236337506327</v>
      </c>
      <c r="E439" s="134"/>
      <c r="F439" s="134"/>
      <c r="G439" s="181">
        <f>SUM(G434:G438)</f>
        <v>432906088</v>
      </c>
      <c r="H439" s="134"/>
      <c r="I439" s="134"/>
      <c r="J439" s="780"/>
      <c r="K439" s="130"/>
    </row>
    <row r="440" spans="1:13" x14ac:dyDescent="0.25">
      <c r="J440" s="779"/>
    </row>
    <row r="442" spans="1:13" x14ac:dyDescent="0.25">
      <c r="A442" s="50"/>
      <c r="B442" s="5"/>
      <c r="C442" s="50"/>
      <c r="D442" s="29"/>
      <c r="E442" s="30"/>
      <c r="F442" s="31"/>
      <c r="G442" s="36"/>
      <c r="H442" s="32"/>
      <c r="I442" s="31"/>
      <c r="J442" s="36"/>
      <c r="K442" s="37"/>
    </row>
    <row r="443" spans="1:13" x14ac:dyDescent="0.25">
      <c r="A443" s="1"/>
      <c r="B443" s="16" t="s">
        <v>363</v>
      </c>
      <c r="C443" s="61"/>
      <c r="D443" s="1"/>
      <c r="E443" s="1"/>
      <c r="F443" s="1"/>
      <c r="G443" s="1"/>
      <c r="H443" s="1"/>
      <c r="I443" s="18" t="s">
        <v>556</v>
      </c>
      <c r="J443" s="17"/>
      <c r="K443" s="1"/>
    </row>
    <row r="444" spans="1:13" x14ac:dyDescent="0.25">
      <c r="A444" s="1"/>
      <c r="B444" s="19"/>
      <c r="C444" s="62"/>
      <c r="D444" s="1"/>
      <c r="E444" s="1"/>
      <c r="F444" s="1"/>
      <c r="G444" s="1"/>
      <c r="H444" s="1"/>
      <c r="I444" s="63"/>
      <c r="J444" s="16"/>
      <c r="K444" s="1"/>
    </row>
    <row r="445" spans="1:13" x14ac:dyDescent="0.25">
      <c r="A445" s="1"/>
      <c r="B445" s="19"/>
      <c r="C445" s="62"/>
      <c r="D445" s="1"/>
      <c r="E445" s="1"/>
      <c r="F445" s="1"/>
      <c r="G445" s="1"/>
      <c r="H445" s="1"/>
      <c r="I445" s="63"/>
      <c r="J445" s="16"/>
      <c r="K445" s="1"/>
    </row>
    <row r="446" spans="1:13" x14ac:dyDescent="0.25">
      <c r="A446" s="1"/>
      <c r="B446" s="19"/>
      <c r="C446" s="62"/>
      <c r="D446" s="1"/>
      <c r="E446" s="1"/>
      <c r="F446" s="1"/>
      <c r="G446" s="1"/>
      <c r="H446" s="1"/>
      <c r="I446" s="18"/>
      <c r="J446" s="19"/>
      <c r="K446" s="1"/>
    </row>
    <row r="447" spans="1:13" x14ac:dyDescent="0.25">
      <c r="A447" s="1"/>
      <c r="B447" s="75" t="s">
        <v>440</v>
      </c>
      <c r="C447" s="21"/>
      <c r="D447" s="1"/>
      <c r="E447" s="1"/>
      <c r="F447" s="1"/>
      <c r="G447" s="1"/>
      <c r="H447" s="1"/>
      <c r="I447" s="20"/>
      <c r="J447" s="21"/>
      <c r="K447" s="1"/>
    </row>
    <row r="448" spans="1:13" x14ac:dyDescent="0.25">
      <c r="A448" s="1"/>
      <c r="B448" s="739" t="s">
        <v>441</v>
      </c>
      <c r="C448" s="19"/>
      <c r="D448" s="1"/>
      <c r="E448" s="1"/>
      <c r="F448" s="1"/>
      <c r="G448" s="1"/>
      <c r="H448" s="1"/>
      <c r="I448" s="22"/>
      <c r="J448" s="19"/>
      <c r="K448" s="1"/>
    </row>
    <row r="449" spans="1:14" x14ac:dyDescent="0.25">
      <c r="A449" s="5"/>
      <c r="B449" s="5"/>
      <c r="C449" s="65"/>
      <c r="D449" s="66"/>
      <c r="E449" s="30"/>
      <c r="F449" s="31"/>
      <c r="G449" s="36"/>
      <c r="H449" s="30"/>
      <c r="I449" s="31"/>
      <c r="J449" s="33"/>
      <c r="K449" s="29"/>
      <c r="L449" s="9"/>
      <c r="M449" s="9"/>
      <c r="N449" s="9"/>
    </row>
  </sheetData>
  <mergeCells count="149">
    <mergeCell ref="J420:J421"/>
    <mergeCell ref="A429:A431"/>
    <mergeCell ref="B429:B431"/>
    <mergeCell ref="C429:C431"/>
    <mergeCell ref="D429:F429"/>
    <mergeCell ref="G429:I429"/>
    <mergeCell ref="J429:J430"/>
    <mergeCell ref="A417:B417"/>
    <mergeCell ref="A420:A422"/>
    <mergeCell ref="B420:B422"/>
    <mergeCell ref="C420:C422"/>
    <mergeCell ref="D420:F420"/>
    <mergeCell ref="G420:I420"/>
    <mergeCell ref="A400:A402"/>
    <mergeCell ref="B400:B402"/>
    <mergeCell ref="C400:C402"/>
    <mergeCell ref="D400:F400"/>
    <mergeCell ref="G400:I400"/>
    <mergeCell ref="J400:J401"/>
    <mergeCell ref="A388:A390"/>
    <mergeCell ref="B388:B390"/>
    <mergeCell ref="C388:C390"/>
    <mergeCell ref="D388:F388"/>
    <mergeCell ref="G388:I388"/>
    <mergeCell ref="J388:J389"/>
    <mergeCell ref="A379:A381"/>
    <mergeCell ref="B379:B381"/>
    <mergeCell ref="C379:C381"/>
    <mergeCell ref="D379:F379"/>
    <mergeCell ref="G379:I379"/>
    <mergeCell ref="J379:J380"/>
    <mergeCell ref="A355:A357"/>
    <mergeCell ref="B355:B357"/>
    <mergeCell ref="D355:F355"/>
    <mergeCell ref="G355:I355"/>
    <mergeCell ref="J355:J356"/>
    <mergeCell ref="A376:B376"/>
    <mergeCell ref="A342:A344"/>
    <mergeCell ref="B342:B344"/>
    <mergeCell ref="C342:C344"/>
    <mergeCell ref="D342:F342"/>
    <mergeCell ref="G342:I342"/>
    <mergeCell ref="J342:J343"/>
    <mergeCell ref="K307:K309"/>
    <mergeCell ref="A333:A335"/>
    <mergeCell ref="B333:B335"/>
    <mergeCell ref="C333:C335"/>
    <mergeCell ref="D333:F333"/>
    <mergeCell ref="G333:I333"/>
    <mergeCell ref="J333:J334"/>
    <mergeCell ref="A307:A309"/>
    <mergeCell ref="B307:B309"/>
    <mergeCell ref="C307:C309"/>
    <mergeCell ref="D307:F307"/>
    <mergeCell ref="G307:I307"/>
    <mergeCell ref="J307:J308"/>
    <mergeCell ref="A295:A297"/>
    <mergeCell ref="B295:B297"/>
    <mergeCell ref="C295:C297"/>
    <mergeCell ref="D295:F295"/>
    <mergeCell ref="G295:I295"/>
    <mergeCell ref="J295:J296"/>
    <mergeCell ref="K265:K267"/>
    <mergeCell ref="A286:A288"/>
    <mergeCell ref="B286:B288"/>
    <mergeCell ref="C286:C288"/>
    <mergeCell ref="D286:F286"/>
    <mergeCell ref="G286:I286"/>
    <mergeCell ref="J286:J287"/>
    <mergeCell ref="A265:A267"/>
    <mergeCell ref="B265:B267"/>
    <mergeCell ref="C265:C267"/>
    <mergeCell ref="D265:F265"/>
    <mergeCell ref="G265:I265"/>
    <mergeCell ref="J265:J266"/>
    <mergeCell ref="J242:J243"/>
    <mergeCell ref="A251:A253"/>
    <mergeCell ref="B251:B253"/>
    <mergeCell ref="C251:C253"/>
    <mergeCell ref="D251:F251"/>
    <mergeCell ref="G251:I251"/>
    <mergeCell ref="J251:J252"/>
    <mergeCell ref="A222:A224"/>
    <mergeCell ref="B222:B224"/>
    <mergeCell ref="D222:F222"/>
    <mergeCell ref="G222:I222"/>
    <mergeCell ref="J222:J223"/>
    <mergeCell ref="A242:A244"/>
    <mergeCell ref="B242:B244"/>
    <mergeCell ref="C242:C244"/>
    <mergeCell ref="D242:F242"/>
    <mergeCell ref="G242:I242"/>
    <mergeCell ref="A209:A211"/>
    <mergeCell ref="B209:B211"/>
    <mergeCell ref="C209:C211"/>
    <mergeCell ref="D209:F209"/>
    <mergeCell ref="G209:I209"/>
    <mergeCell ref="J209:J210"/>
    <mergeCell ref="A199:A201"/>
    <mergeCell ref="B199:B201"/>
    <mergeCell ref="C199:C201"/>
    <mergeCell ref="D199:F199"/>
    <mergeCell ref="G199:I199"/>
    <mergeCell ref="J199:J200"/>
    <mergeCell ref="A175:A177"/>
    <mergeCell ref="B175:B177"/>
    <mergeCell ref="C175:C177"/>
    <mergeCell ref="D175:F175"/>
    <mergeCell ref="G175:I175"/>
    <mergeCell ref="J175:J176"/>
    <mergeCell ref="A163:A165"/>
    <mergeCell ref="B163:B165"/>
    <mergeCell ref="C163:C165"/>
    <mergeCell ref="D163:F163"/>
    <mergeCell ref="G163:I163"/>
    <mergeCell ref="J163:J164"/>
    <mergeCell ref="K132:K134"/>
    <mergeCell ref="A150:B150"/>
    <mergeCell ref="A153:A155"/>
    <mergeCell ref="B153:B155"/>
    <mergeCell ref="C153:C155"/>
    <mergeCell ref="D153:F153"/>
    <mergeCell ref="G153:I153"/>
    <mergeCell ref="J153:J154"/>
    <mergeCell ref="A129:C129"/>
    <mergeCell ref="A132:A134"/>
    <mergeCell ref="B132:B134"/>
    <mergeCell ref="D132:F132"/>
    <mergeCell ref="G132:I132"/>
    <mergeCell ref="J132:J133"/>
    <mergeCell ref="A96:C96"/>
    <mergeCell ref="A98:K98"/>
    <mergeCell ref="A99:K99"/>
    <mergeCell ref="A100:K100"/>
    <mergeCell ref="A101:A103"/>
    <mergeCell ref="B101:B103"/>
    <mergeCell ref="C101:C103"/>
    <mergeCell ref="D101:F101"/>
    <mergeCell ref="G101:I101"/>
    <mergeCell ref="J101:J102"/>
    <mergeCell ref="A1:K1"/>
    <mergeCell ref="A2:K2"/>
    <mergeCell ref="A3:K3"/>
    <mergeCell ref="A5:A7"/>
    <mergeCell ref="B5:B7"/>
    <mergeCell ref="C5:C7"/>
    <mergeCell ref="D5:F5"/>
    <mergeCell ref="G5:I5"/>
    <mergeCell ref="J5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449"/>
  <sheetViews>
    <sheetView topLeftCell="A407" workbookViewId="0">
      <selection activeCell="N428" sqref="N428"/>
    </sheetView>
  </sheetViews>
  <sheetFormatPr defaultRowHeight="15" x14ac:dyDescent="0.25"/>
  <cols>
    <col min="1" max="1" width="16.42578125" bestFit="1" customWidth="1"/>
    <col min="2" max="2" width="51.7109375" customWidth="1"/>
    <col min="3" max="3" width="14" customWidth="1"/>
    <col min="4" max="4" width="6.5703125" customWidth="1"/>
    <col min="5" max="5" width="7.140625" bestFit="1" customWidth="1"/>
    <col min="6" max="6" width="9.85546875" customWidth="1"/>
    <col min="7" max="7" width="14.28515625" customWidth="1"/>
    <col min="8" max="8" width="7.28515625" customWidth="1"/>
    <col min="9" max="9" width="9.140625" customWidth="1"/>
    <col min="10" max="10" width="13.7109375" customWidth="1"/>
    <col min="11" max="11" width="4.42578125" customWidth="1"/>
    <col min="12" max="12" width="10.85546875" bestFit="1" customWidth="1"/>
    <col min="13" max="14" width="12.28515625" bestFit="1" customWidth="1"/>
  </cols>
  <sheetData>
    <row r="1" spans="1:18" x14ac:dyDescent="0.25">
      <c r="A1" s="1036" t="s">
        <v>0</v>
      </c>
      <c r="B1" s="1036"/>
      <c r="C1" s="1036"/>
      <c r="D1" s="1036"/>
      <c r="E1" s="1037"/>
      <c r="F1" s="1037"/>
      <c r="G1" s="1038"/>
      <c r="H1" s="1037"/>
      <c r="I1" s="1037"/>
      <c r="J1" s="1036"/>
      <c r="K1" s="1036"/>
      <c r="L1" s="1"/>
      <c r="M1" s="1"/>
      <c r="N1" s="1"/>
      <c r="O1" s="1"/>
      <c r="P1" s="1"/>
      <c r="Q1" s="1"/>
      <c r="R1" s="1"/>
    </row>
    <row r="2" spans="1:18" x14ac:dyDescent="0.25">
      <c r="A2" s="1036" t="s">
        <v>511</v>
      </c>
      <c r="B2" s="1036"/>
      <c r="C2" s="1036"/>
      <c r="D2" s="1036"/>
      <c r="E2" s="1037"/>
      <c r="F2" s="1037"/>
      <c r="G2" s="1038"/>
      <c r="H2" s="1037"/>
      <c r="I2" s="1037"/>
      <c r="J2" s="1036"/>
      <c r="K2" s="1036"/>
      <c r="L2" s="1"/>
      <c r="M2" s="1"/>
      <c r="N2" s="1"/>
      <c r="O2" s="1"/>
      <c r="P2" s="1"/>
      <c r="Q2" s="1"/>
      <c r="R2" s="1"/>
    </row>
    <row r="3" spans="1:18" x14ac:dyDescent="0.25">
      <c r="A3" s="1036" t="s">
        <v>557</v>
      </c>
      <c r="B3" s="1036"/>
      <c r="C3" s="1036"/>
      <c r="D3" s="1036"/>
      <c r="E3" s="1037"/>
      <c r="F3" s="1037"/>
      <c r="G3" s="1038"/>
      <c r="H3" s="1037"/>
      <c r="I3" s="1037"/>
      <c r="J3" s="1036"/>
      <c r="K3" s="1036"/>
      <c r="L3" s="1"/>
      <c r="M3" s="1"/>
      <c r="N3" s="1"/>
      <c r="O3" s="1"/>
      <c r="P3" s="1"/>
      <c r="Q3" s="1"/>
      <c r="R3" s="1"/>
    </row>
    <row r="4" spans="1:18" x14ac:dyDescent="0.25">
      <c r="A4" s="871" t="s">
        <v>1</v>
      </c>
      <c r="B4" s="871"/>
      <c r="C4" s="871"/>
      <c r="D4" s="871"/>
      <c r="E4" s="872"/>
      <c r="F4" s="872"/>
      <c r="G4" s="47"/>
      <c r="H4" s="872"/>
      <c r="I4" s="872"/>
      <c r="J4" s="871"/>
      <c r="K4" s="871"/>
      <c r="L4" s="1"/>
      <c r="M4" s="1"/>
      <c r="N4" s="1"/>
      <c r="O4" s="1"/>
      <c r="P4" s="1"/>
      <c r="Q4" s="1"/>
      <c r="R4" s="1"/>
    </row>
    <row r="5" spans="1:18" x14ac:dyDescent="0.25">
      <c r="A5" s="1039" t="s">
        <v>2</v>
      </c>
      <c r="B5" s="1039" t="s">
        <v>3</v>
      </c>
      <c r="C5" s="1039" t="s">
        <v>4</v>
      </c>
      <c r="D5" s="1042" t="s">
        <v>5</v>
      </c>
      <c r="E5" s="1043"/>
      <c r="F5" s="1043"/>
      <c r="G5" s="1044" t="s">
        <v>6</v>
      </c>
      <c r="H5" s="1043"/>
      <c r="I5" s="1043"/>
      <c r="J5" s="1039" t="s">
        <v>7</v>
      </c>
      <c r="K5" s="206" t="s">
        <v>8</v>
      </c>
      <c r="L5" s="9"/>
      <c r="M5" s="9"/>
      <c r="N5" s="9"/>
      <c r="O5" s="9"/>
      <c r="P5" s="9"/>
      <c r="Q5" s="9"/>
      <c r="R5" s="9"/>
    </row>
    <row r="6" spans="1:18" x14ac:dyDescent="0.25">
      <c r="A6" s="1040"/>
      <c r="B6" s="1040"/>
      <c r="C6" s="1040"/>
      <c r="D6" s="207" t="s">
        <v>9</v>
      </c>
      <c r="E6" s="208" t="s">
        <v>10</v>
      </c>
      <c r="F6" s="208" t="s">
        <v>11</v>
      </c>
      <c r="G6" s="209" t="s">
        <v>12</v>
      </c>
      <c r="H6" s="208" t="s">
        <v>13</v>
      </c>
      <c r="I6" s="208" t="s">
        <v>11</v>
      </c>
      <c r="J6" s="1040"/>
      <c r="K6" s="207"/>
      <c r="L6" s="9"/>
      <c r="M6" s="9"/>
      <c r="N6" s="9"/>
      <c r="O6" s="9"/>
      <c r="P6" s="9"/>
      <c r="Q6" s="9"/>
      <c r="R6" s="9"/>
    </row>
    <row r="7" spans="1:18" x14ac:dyDescent="0.25">
      <c r="A7" s="1041"/>
      <c r="B7" s="1041"/>
      <c r="C7" s="1041"/>
      <c r="D7" s="210" t="s">
        <v>14</v>
      </c>
      <c r="E7" s="211" t="s">
        <v>14</v>
      </c>
      <c r="F7" s="211" t="s">
        <v>14</v>
      </c>
      <c r="G7" s="212" t="s">
        <v>15</v>
      </c>
      <c r="H7" s="211" t="s">
        <v>14</v>
      </c>
      <c r="I7" s="211" t="s">
        <v>14</v>
      </c>
      <c r="J7" s="210" t="s">
        <v>15</v>
      </c>
      <c r="K7" s="210"/>
      <c r="L7" s="9"/>
      <c r="M7" s="9"/>
      <c r="N7" s="9"/>
      <c r="O7" s="9"/>
      <c r="P7" s="9"/>
      <c r="Q7" s="9"/>
      <c r="R7" s="9"/>
    </row>
    <row r="8" spans="1:18" ht="15.75" thickBot="1" x14ac:dyDescent="0.3">
      <c r="A8" s="217"/>
      <c r="B8" s="709" t="s">
        <v>16</v>
      </c>
      <c r="C8" s="710" t="e">
        <v>#REF!</v>
      </c>
      <c r="D8" s="163"/>
      <c r="E8" s="34"/>
      <c r="F8" s="34"/>
      <c r="G8" s="6"/>
      <c r="H8" s="34"/>
      <c r="I8" s="34"/>
      <c r="J8" s="163"/>
      <c r="K8" s="163"/>
      <c r="L8" s="4"/>
      <c r="M8" s="4"/>
      <c r="N8" s="4"/>
      <c r="O8" s="694"/>
      <c r="P8" s="4"/>
      <c r="Q8" s="4"/>
      <c r="R8" s="9"/>
    </row>
    <row r="9" spans="1:18" ht="26.25" thickBot="1" x14ac:dyDescent="0.3">
      <c r="A9" s="720" t="s">
        <v>199</v>
      </c>
      <c r="B9" s="711" t="s">
        <v>17</v>
      </c>
      <c r="C9" s="712">
        <f>C11+C16+C21+C29+C40+C45+C53+C55+C58+C63+C65+C69+C73+C77+C80+C86+C90+C92</f>
        <v>14557351544</v>
      </c>
      <c r="D9" s="223"/>
      <c r="E9" s="34"/>
      <c r="F9" s="34"/>
      <c r="G9" s="6"/>
      <c r="H9" s="34"/>
      <c r="I9" s="34"/>
      <c r="J9" s="163"/>
      <c r="K9" s="163"/>
      <c r="L9" s="4"/>
      <c r="M9" s="4"/>
      <c r="N9" s="4"/>
      <c r="O9" s="4"/>
      <c r="P9" s="4"/>
      <c r="Q9" s="4"/>
      <c r="R9" s="9"/>
    </row>
    <row r="10" spans="1:18" ht="26.25" thickBot="1" x14ac:dyDescent="0.3">
      <c r="A10" s="220" t="s">
        <v>492</v>
      </c>
      <c r="B10" s="692" t="s">
        <v>381</v>
      </c>
      <c r="C10" s="718"/>
      <c r="D10" s="223"/>
      <c r="E10" s="34"/>
      <c r="F10" s="34"/>
      <c r="G10" s="6"/>
      <c r="H10" s="34"/>
      <c r="I10" s="34"/>
      <c r="J10" s="163"/>
      <c r="K10" s="163"/>
      <c r="L10" s="4"/>
      <c r="M10" s="4"/>
      <c r="N10" s="4"/>
      <c r="O10" s="4"/>
      <c r="P10" s="4"/>
      <c r="Q10" s="4"/>
      <c r="R10" s="9"/>
    </row>
    <row r="11" spans="1:18" ht="26.25" x14ac:dyDescent="0.25">
      <c r="A11" s="699" t="s">
        <v>493</v>
      </c>
      <c r="B11" s="719" t="s">
        <v>374</v>
      </c>
      <c r="C11" s="234">
        <f>SUM(C12:C15)</f>
        <v>30000000</v>
      </c>
      <c r="D11" s="700"/>
      <c r="E11" s="235"/>
      <c r="F11" s="235"/>
      <c r="G11" s="236"/>
      <c r="H11" s="235"/>
      <c r="I11" s="235"/>
      <c r="J11" s="237"/>
      <c r="K11" s="237"/>
      <c r="L11" s="4"/>
      <c r="M11" s="713"/>
      <c r="N11" s="4"/>
      <c r="O11" s="4"/>
      <c r="P11" s="695"/>
      <c r="Q11" s="4"/>
      <c r="R11" s="9"/>
    </row>
    <row r="12" spans="1:18" s="783" customFormat="1" x14ac:dyDescent="0.25">
      <c r="A12" s="798" t="s">
        <v>415</v>
      </c>
      <c r="B12" s="707" t="s">
        <v>197</v>
      </c>
      <c r="C12" s="788">
        <v>1150000</v>
      </c>
      <c r="D12" s="786"/>
      <c r="E12" s="161"/>
      <c r="F12" s="161"/>
      <c r="G12" s="82">
        <f>1150000</f>
        <v>1150000</v>
      </c>
      <c r="H12" s="161"/>
      <c r="I12" s="161"/>
      <c r="J12" s="6">
        <v>0</v>
      </c>
      <c r="K12" s="744"/>
      <c r="L12" s="737"/>
      <c r="M12" s="713"/>
      <c r="N12" s="737"/>
      <c r="O12" s="737"/>
      <c r="P12" s="787"/>
      <c r="Q12" s="737"/>
      <c r="R12" s="782"/>
    </row>
    <row r="13" spans="1:18" x14ac:dyDescent="0.25">
      <c r="A13" s="49" t="s">
        <v>413</v>
      </c>
      <c r="B13" s="707" t="s">
        <v>334</v>
      </c>
      <c r="C13" s="701">
        <v>4430000</v>
      </c>
      <c r="D13" s="200">
        <f>C13/C11*100</f>
        <v>14.766666666666667</v>
      </c>
      <c r="E13" s="134">
        <f>G13/C13*100</f>
        <v>18.510158013544018</v>
      </c>
      <c r="F13" s="134">
        <f>(D13*E13)/100</f>
        <v>2.7333333333333338</v>
      </c>
      <c r="G13" s="6">
        <f>820000</f>
        <v>820000</v>
      </c>
      <c r="H13" s="134">
        <f>G13/C13*100</f>
        <v>18.510158013544018</v>
      </c>
      <c r="I13" s="134">
        <f>(D13*H13)/100</f>
        <v>2.7333333333333338</v>
      </c>
      <c r="J13" s="6">
        <f t="shared" ref="J13:J15" si="0">G13-C13</f>
        <v>-3610000</v>
      </c>
      <c r="K13" s="163"/>
      <c r="L13" s="4"/>
      <c r="M13" s="4"/>
      <c r="N13" s="4"/>
      <c r="O13" s="4"/>
      <c r="P13" s="4"/>
      <c r="Q13" s="4"/>
      <c r="R13" s="9"/>
    </row>
    <row r="14" spans="1:18" x14ac:dyDescent="0.25">
      <c r="A14" s="49" t="s">
        <v>391</v>
      </c>
      <c r="B14" s="218" t="s">
        <v>198</v>
      </c>
      <c r="C14" s="701">
        <v>4320000</v>
      </c>
      <c r="D14" s="200"/>
      <c r="E14" s="134"/>
      <c r="F14" s="134"/>
      <c r="G14" s="6">
        <v>0</v>
      </c>
      <c r="H14" s="134"/>
      <c r="I14" s="134"/>
      <c r="J14" s="6">
        <f t="shared" si="0"/>
        <v>-4320000</v>
      </c>
      <c r="K14" s="163"/>
      <c r="L14" s="4"/>
      <c r="M14" s="4"/>
      <c r="N14" s="4"/>
      <c r="O14" s="4"/>
      <c r="P14" s="4"/>
      <c r="Q14" s="4"/>
      <c r="R14" s="9"/>
    </row>
    <row r="15" spans="1:18" ht="26.25" thickBot="1" x14ac:dyDescent="0.3">
      <c r="A15" s="49" t="s">
        <v>447</v>
      </c>
      <c r="B15" s="316" t="s">
        <v>107</v>
      </c>
      <c r="C15" s="701">
        <v>20100000</v>
      </c>
      <c r="D15" s="200"/>
      <c r="E15" s="134"/>
      <c r="F15" s="134"/>
      <c r="G15" s="6">
        <f>3100000+5300000</f>
        <v>8400000</v>
      </c>
      <c r="H15" s="134"/>
      <c r="I15" s="134"/>
      <c r="J15" s="6">
        <f t="shared" si="0"/>
        <v>-11700000</v>
      </c>
      <c r="K15" s="163"/>
      <c r="L15" s="4"/>
      <c r="M15" s="4"/>
      <c r="N15" s="4"/>
      <c r="O15" s="4"/>
      <c r="P15" s="4"/>
      <c r="Q15" s="4"/>
      <c r="R15" s="9"/>
    </row>
    <row r="16" spans="1:18" s="796" customFormat="1" x14ac:dyDescent="0.25">
      <c r="A16" s="799" t="s">
        <v>494</v>
      </c>
      <c r="B16" s="719" t="s">
        <v>446</v>
      </c>
      <c r="C16" s="797">
        <v>20000000</v>
      </c>
      <c r="D16" s="789"/>
      <c r="E16" s="790"/>
      <c r="F16" s="790"/>
      <c r="G16" s="791">
        <v>0</v>
      </c>
      <c r="H16" s="790"/>
      <c r="I16" s="790"/>
      <c r="J16" s="791">
        <v>0</v>
      </c>
      <c r="K16" s="793"/>
      <c r="L16" s="794"/>
      <c r="M16" s="794"/>
      <c r="N16" s="794"/>
      <c r="O16" s="794"/>
      <c r="P16" s="794"/>
      <c r="Q16" s="794"/>
      <c r="R16" s="795"/>
    </row>
    <row r="17" spans="1:18" x14ac:dyDescent="0.25">
      <c r="A17" s="49" t="s">
        <v>448</v>
      </c>
      <c r="B17" s="707" t="s">
        <v>445</v>
      </c>
      <c r="C17" s="701">
        <v>170000</v>
      </c>
      <c r="D17" s="200"/>
      <c r="E17" s="134"/>
      <c r="F17" s="134"/>
      <c r="G17" s="6">
        <v>0</v>
      </c>
      <c r="H17" s="134"/>
      <c r="I17" s="134"/>
      <c r="J17" s="6">
        <f t="shared" ref="J17:J20" si="1">G17-C17</f>
        <v>-170000</v>
      </c>
      <c r="K17" s="163"/>
      <c r="L17" s="4"/>
      <c r="M17" s="4"/>
      <c r="N17" s="4"/>
      <c r="O17" s="4"/>
      <c r="P17" s="4"/>
      <c r="Q17" s="4"/>
      <c r="R17" s="9"/>
    </row>
    <row r="18" spans="1:18" x14ac:dyDescent="0.25">
      <c r="A18" s="49" t="s">
        <v>415</v>
      </c>
      <c r="B18" s="707" t="s">
        <v>197</v>
      </c>
      <c r="C18" s="701">
        <v>4720000</v>
      </c>
      <c r="D18" s="200"/>
      <c r="E18" s="134"/>
      <c r="F18" s="134"/>
      <c r="G18" s="6">
        <f>4720000</f>
        <v>4720000</v>
      </c>
      <c r="H18" s="134"/>
      <c r="I18" s="134"/>
      <c r="J18" s="6">
        <f t="shared" si="1"/>
        <v>0</v>
      </c>
      <c r="K18" s="163"/>
      <c r="L18" s="4"/>
      <c r="M18" s="4"/>
      <c r="N18" s="4"/>
      <c r="O18" s="4"/>
      <c r="P18" s="4"/>
      <c r="Q18" s="4"/>
      <c r="R18" s="9"/>
    </row>
    <row r="19" spans="1:18" x14ac:dyDescent="0.25">
      <c r="A19" s="49" t="s">
        <v>413</v>
      </c>
      <c r="B19" s="721" t="s">
        <v>334</v>
      </c>
      <c r="C19" s="701">
        <v>5730000</v>
      </c>
      <c r="D19" s="200"/>
      <c r="E19" s="134"/>
      <c r="F19" s="134"/>
      <c r="G19" s="6">
        <f>1585000</f>
        <v>1585000</v>
      </c>
      <c r="H19" s="134"/>
      <c r="I19" s="134"/>
      <c r="J19" s="6">
        <f t="shared" si="1"/>
        <v>-4145000</v>
      </c>
      <c r="K19" s="163"/>
      <c r="L19" s="4"/>
      <c r="M19" s="4"/>
      <c r="N19" s="4"/>
      <c r="O19" s="4"/>
      <c r="P19" s="4"/>
      <c r="Q19" s="4"/>
      <c r="R19" s="9"/>
    </row>
    <row r="20" spans="1:18" x14ac:dyDescent="0.25">
      <c r="A20" s="49" t="s">
        <v>391</v>
      </c>
      <c r="B20" s="218" t="s">
        <v>198</v>
      </c>
      <c r="C20" s="701">
        <v>9380000</v>
      </c>
      <c r="D20" s="200"/>
      <c r="E20" s="134"/>
      <c r="F20" s="134"/>
      <c r="G20" s="6">
        <f>4460000</f>
        <v>4460000</v>
      </c>
      <c r="H20" s="134"/>
      <c r="I20" s="134"/>
      <c r="J20" s="6">
        <f t="shared" si="1"/>
        <v>-4920000</v>
      </c>
      <c r="K20" s="163"/>
      <c r="L20" s="4"/>
      <c r="M20" s="4"/>
      <c r="N20" s="4"/>
      <c r="O20" s="4"/>
      <c r="P20" s="4"/>
      <c r="Q20" s="4"/>
      <c r="R20" s="9"/>
    </row>
    <row r="21" spans="1:18" x14ac:dyDescent="0.25">
      <c r="A21" s="799" t="s">
        <v>495</v>
      </c>
      <c r="B21" s="238" t="s">
        <v>196</v>
      </c>
      <c r="C21" s="239">
        <f>SUM(C22:C27)</f>
        <v>50000000</v>
      </c>
      <c r="D21" s="241"/>
      <c r="E21" s="242"/>
      <c r="F21" s="242"/>
      <c r="G21" s="791">
        <v>0</v>
      </c>
      <c r="H21" s="242"/>
      <c r="I21" s="242"/>
      <c r="J21" s="791">
        <v>0</v>
      </c>
      <c r="K21" s="237"/>
      <c r="L21" s="4"/>
      <c r="M21" s="4"/>
      <c r="N21" s="4"/>
      <c r="O21" s="4"/>
      <c r="P21" s="4"/>
      <c r="Q21" s="4"/>
      <c r="R21" s="9"/>
    </row>
    <row r="22" spans="1:18" s="783" customFormat="1" ht="17.25" customHeight="1" x14ac:dyDescent="0.25">
      <c r="A22" s="49" t="s">
        <v>450</v>
      </c>
      <c r="B22" s="707" t="s">
        <v>384</v>
      </c>
      <c r="C22" s="743">
        <v>2310000</v>
      </c>
      <c r="D22" s="741"/>
      <c r="E22" s="742"/>
      <c r="F22" s="742"/>
      <c r="G22" s="6">
        <f>2310000</f>
        <v>2310000</v>
      </c>
      <c r="H22" s="742"/>
      <c r="I22" s="742"/>
      <c r="J22" s="6">
        <f t="shared" ref="J22:J27" si="2">G22-C22</f>
        <v>0</v>
      </c>
      <c r="K22" s="744"/>
      <c r="L22" s="737"/>
      <c r="M22" s="737"/>
      <c r="N22" s="737"/>
      <c r="O22" s="737"/>
      <c r="P22" s="737"/>
      <c r="Q22" s="737"/>
      <c r="R22" s="782"/>
    </row>
    <row r="23" spans="1:18" s="783" customFormat="1" x14ac:dyDescent="0.25">
      <c r="A23" s="124" t="s">
        <v>448</v>
      </c>
      <c r="B23" s="707" t="s">
        <v>445</v>
      </c>
      <c r="C23" s="743">
        <v>170000</v>
      </c>
      <c r="D23" s="741"/>
      <c r="E23" s="742"/>
      <c r="F23" s="742"/>
      <c r="G23" s="6">
        <v>0</v>
      </c>
      <c r="H23" s="742"/>
      <c r="I23" s="742"/>
      <c r="J23" s="6">
        <f t="shared" si="2"/>
        <v>-170000</v>
      </c>
      <c r="K23" s="744"/>
      <c r="L23" s="737"/>
      <c r="M23" s="737"/>
      <c r="N23" s="737"/>
      <c r="O23" s="737"/>
      <c r="P23" s="737"/>
      <c r="Q23" s="737"/>
      <c r="R23" s="782"/>
    </row>
    <row r="24" spans="1:18" x14ac:dyDescent="0.25">
      <c r="A24" s="49" t="s">
        <v>415</v>
      </c>
      <c r="B24" s="707" t="s">
        <v>197</v>
      </c>
      <c r="C24" s="56">
        <v>5459000</v>
      </c>
      <c r="D24" s="200">
        <f>C24/C21*100</f>
        <v>10.917999999999999</v>
      </c>
      <c r="E24" s="134">
        <f>G24/C24*100</f>
        <v>0</v>
      </c>
      <c r="F24" s="134">
        <f t="shared" ref="F24:F26" si="3">(D24*E24)/100</f>
        <v>0</v>
      </c>
      <c r="G24" s="6">
        <v>0</v>
      </c>
      <c r="H24" s="134">
        <f t="shared" ref="H24:H26" si="4">G24/C24*100</f>
        <v>0</v>
      </c>
      <c r="I24" s="134">
        <f t="shared" ref="I24:I26" si="5">(D24*H24)/100</f>
        <v>0</v>
      </c>
      <c r="J24" s="6">
        <f t="shared" si="2"/>
        <v>-5459000</v>
      </c>
      <c r="K24" s="163"/>
      <c r="L24" s="4"/>
      <c r="M24" s="4"/>
      <c r="N24" s="4"/>
      <c r="O24" s="4"/>
      <c r="P24" s="4"/>
      <c r="Q24" s="4"/>
      <c r="R24" s="9"/>
    </row>
    <row r="25" spans="1:18" ht="16.5" customHeight="1" x14ac:dyDescent="0.25">
      <c r="A25" s="49" t="s">
        <v>413</v>
      </c>
      <c r="B25" s="721" t="s">
        <v>334</v>
      </c>
      <c r="C25" s="56">
        <v>9661000</v>
      </c>
      <c r="D25" s="200">
        <f>C25/C21*100</f>
        <v>19.321999999999999</v>
      </c>
      <c r="E25" s="134">
        <f>G25/C25*100</f>
        <v>72.456267467135902</v>
      </c>
      <c r="F25" s="134">
        <f t="shared" si="3"/>
        <v>13.999999999999998</v>
      </c>
      <c r="G25" s="6">
        <f>7000000</f>
        <v>7000000</v>
      </c>
      <c r="H25" s="134">
        <f t="shared" si="4"/>
        <v>72.456267467135902</v>
      </c>
      <c r="I25" s="134">
        <f t="shared" si="5"/>
        <v>13.999999999999998</v>
      </c>
      <c r="J25" s="6">
        <f t="shared" si="2"/>
        <v>-2661000</v>
      </c>
      <c r="K25" s="163"/>
      <c r="L25" s="4"/>
      <c r="M25" s="4"/>
      <c r="N25" s="4"/>
      <c r="O25" s="4"/>
      <c r="P25" s="4"/>
      <c r="Q25" s="4"/>
      <c r="R25" s="9"/>
    </row>
    <row r="26" spans="1:18" x14ac:dyDescent="0.25">
      <c r="A26" s="49" t="s">
        <v>391</v>
      </c>
      <c r="B26" s="78" t="s">
        <v>198</v>
      </c>
      <c r="C26" s="56">
        <v>14400000</v>
      </c>
      <c r="D26" s="200">
        <f>C26/C21*100</f>
        <v>28.799999999999997</v>
      </c>
      <c r="E26" s="134">
        <f>G26/C26*100</f>
        <v>32.777777777777779</v>
      </c>
      <c r="F26" s="134">
        <f t="shared" si="3"/>
        <v>9.44</v>
      </c>
      <c r="G26" s="6">
        <f>4720000</f>
        <v>4720000</v>
      </c>
      <c r="H26" s="134">
        <f t="shared" si="4"/>
        <v>32.777777777777779</v>
      </c>
      <c r="I26" s="134">
        <f t="shared" si="5"/>
        <v>9.44</v>
      </c>
      <c r="J26" s="6">
        <f t="shared" si="2"/>
        <v>-9680000</v>
      </c>
      <c r="K26" s="163"/>
      <c r="L26" s="4"/>
      <c r="M26" s="4"/>
      <c r="N26" s="4"/>
      <c r="O26" s="4"/>
      <c r="P26" s="4"/>
      <c r="Q26" s="4"/>
      <c r="R26" s="9"/>
    </row>
    <row r="27" spans="1:18" ht="15.75" thickBot="1" x14ac:dyDescent="0.3">
      <c r="A27" s="784" t="s">
        <v>449</v>
      </c>
      <c r="B27" s="78" t="s">
        <v>23</v>
      </c>
      <c r="C27" s="785">
        <v>18000000</v>
      </c>
      <c r="D27" s="200"/>
      <c r="E27" s="134"/>
      <c r="F27" s="134"/>
      <c r="G27" s="6">
        <f>17851651</f>
        <v>17851651</v>
      </c>
      <c r="H27" s="134"/>
      <c r="I27" s="134"/>
      <c r="J27" s="6">
        <f t="shared" si="2"/>
        <v>-148349</v>
      </c>
      <c r="K27" s="163"/>
      <c r="L27" s="4"/>
      <c r="M27" s="4"/>
      <c r="N27" s="4"/>
      <c r="O27" s="4"/>
      <c r="P27" s="4"/>
      <c r="Q27" s="4"/>
      <c r="R27" s="9"/>
    </row>
    <row r="28" spans="1:18" ht="15.75" thickBot="1" x14ac:dyDescent="0.3">
      <c r="A28" s="220" t="s">
        <v>496</v>
      </c>
      <c r="B28" s="221" t="s">
        <v>24</v>
      </c>
      <c r="C28" s="222"/>
      <c r="D28" s="216"/>
      <c r="E28" s="134"/>
      <c r="F28" s="134"/>
      <c r="G28" s="6">
        <v>0</v>
      </c>
      <c r="H28" s="134"/>
      <c r="I28" s="134"/>
      <c r="J28" s="6">
        <v>0</v>
      </c>
      <c r="K28" s="163"/>
      <c r="L28" s="4"/>
      <c r="M28" s="4"/>
      <c r="N28" s="4"/>
      <c r="O28" s="4"/>
      <c r="P28" s="4"/>
      <c r="Q28" s="4"/>
      <c r="R28" s="9"/>
    </row>
    <row r="29" spans="1:18" x14ac:dyDescent="0.25">
      <c r="A29" s="233" t="s">
        <v>497</v>
      </c>
      <c r="B29" s="233" t="s">
        <v>25</v>
      </c>
      <c r="C29" s="234">
        <f>SUM(C30:C39)</f>
        <v>11713143962</v>
      </c>
      <c r="D29" s="241"/>
      <c r="E29" s="242"/>
      <c r="F29" s="242"/>
      <c r="G29" s="791">
        <v>0</v>
      </c>
      <c r="H29" s="242"/>
      <c r="I29" s="242"/>
      <c r="J29" s="791">
        <v>0</v>
      </c>
      <c r="K29" s="237"/>
      <c r="L29" s="4"/>
      <c r="M29" s="731"/>
      <c r="N29" s="4"/>
      <c r="O29" s="4"/>
      <c r="P29" s="4"/>
      <c r="Q29" s="9"/>
      <c r="R29" s="1"/>
    </row>
    <row r="30" spans="1:18" x14ac:dyDescent="0.25">
      <c r="A30" s="49" t="s">
        <v>451</v>
      </c>
      <c r="B30" s="74" t="s">
        <v>27</v>
      </c>
      <c r="C30" s="56">
        <v>4245540345</v>
      </c>
      <c r="D30" s="200">
        <f>C30/C29*100</f>
        <v>36.245950350934478</v>
      </c>
      <c r="E30" s="134">
        <f>G30/C30*100</f>
        <v>69.765812695392015</v>
      </c>
      <c r="F30" s="134">
        <f t="shared" ref="F30:F38" si="6">(D30*E30)/100</f>
        <v>25.287281831497737</v>
      </c>
      <c r="G30" s="6">
        <f>2961935725</f>
        <v>2961935725</v>
      </c>
      <c r="H30" s="134">
        <f>G30/C30*100</f>
        <v>69.765812695392015</v>
      </c>
      <c r="I30" s="134">
        <f t="shared" ref="I30:I38" si="7">(D30*H30)/100</f>
        <v>25.287281831497737</v>
      </c>
      <c r="J30" s="6">
        <f t="shared" ref="J30:J39" si="8">G30-C30</f>
        <v>-1283604620</v>
      </c>
      <c r="K30" s="163"/>
      <c r="L30" s="4"/>
      <c r="M30" s="4"/>
      <c r="N30" s="4"/>
      <c r="O30" s="4"/>
      <c r="P30" s="4"/>
      <c r="Q30" s="9"/>
      <c r="R30" s="1"/>
    </row>
    <row r="31" spans="1:18" x14ac:dyDescent="0.25">
      <c r="A31" s="49" t="s">
        <v>452</v>
      </c>
      <c r="B31" s="74" t="s">
        <v>29</v>
      </c>
      <c r="C31" s="201">
        <v>704829300</v>
      </c>
      <c r="D31" s="200">
        <f>C31/C29*100</f>
        <v>6.0174219858188405</v>
      </c>
      <c r="E31" s="134">
        <f t="shared" ref="E31:E39" si="9">G31/C31*100</f>
        <v>40.107440198641001</v>
      </c>
      <c r="F31" s="134">
        <f t="shared" si="6"/>
        <v>2.4134339244621672</v>
      </c>
      <c r="G31" s="6">
        <f>282688990</f>
        <v>282688990</v>
      </c>
      <c r="H31" s="134">
        <f t="shared" ref="H31:H39" si="10">G31/C31*100</f>
        <v>40.107440198641001</v>
      </c>
      <c r="I31" s="134">
        <f t="shared" si="7"/>
        <v>2.4134339244621672</v>
      </c>
      <c r="J31" s="6">
        <f t="shared" si="8"/>
        <v>-422140310</v>
      </c>
      <c r="K31" s="163"/>
      <c r="L31" s="4"/>
      <c r="M31" s="4"/>
      <c r="N31" s="4"/>
      <c r="O31" s="4"/>
      <c r="P31" s="4"/>
      <c r="Q31" s="9"/>
      <c r="R31" s="1"/>
    </row>
    <row r="32" spans="1:18" x14ac:dyDescent="0.25">
      <c r="A32" s="49" t="s">
        <v>453</v>
      </c>
      <c r="B32" s="74" t="s">
        <v>31</v>
      </c>
      <c r="C32" s="201">
        <v>391967200</v>
      </c>
      <c r="D32" s="200">
        <f>C32/C29*100</f>
        <v>3.3463876246345752</v>
      </c>
      <c r="E32" s="134">
        <f t="shared" si="9"/>
        <v>52.012005086139858</v>
      </c>
      <c r="F32" s="134">
        <f t="shared" si="6"/>
        <v>1.7405233015268899</v>
      </c>
      <c r="G32" s="6">
        <f>203870000</f>
        <v>203870000</v>
      </c>
      <c r="H32" s="134">
        <f t="shared" si="10"/>
        <v>52.012005086139858</v>
      </c>
      <c r="I32" s="134">
        <f t="shared" si="7"/>
        <v>1.7405233015268899</v>
      </c>
      <c r="J32" s="6">
        <f t="shared" si="8"/>
        <v>-188097200</v>
      </c>
      <c r="K32" s="163"/>
      <c r="L32" s="4"/>
      <c r="M32" s="4"/>
      <c r="N32" s="4"/>
      <c r="O32" s="4"/>
      <c r="P32" s="4"/>
      <c r="Q32" s="9"/>
      <c r="R32" s="1"/>
    </row>
    <row r="33" spans="1:18" x14ac:dyDescent="0.25">
      <c r="A33" s="49" t="s">
        <v>454</v>
      </c>
      <c r="B33" s="74" t="s">
        <v>33</v>
      </c>
      <c r="C33" s="202">
        <v>44200000</v>
      </c>
      <c r="D33" s="200">
        <f>C33/C29*100</f>
        <v>0.37735385258982951</v>
      </c>
      <c r="E33" s="134">
        <f t="shared" si="9"/>
        <v>25.656108597285066</v>
      </c>
      <c r="F33" s="134">
        <f t="shared" si="6"/>
        <v>9.6814314216485661E-2</v>
      </c>
      <c r="G33" s="6">
        <f>11340000</f>
        <v>11340000</v>
      </c>
      <c r="H33" s="134">
        <f t="shared" si="10"/>
        <v>25.656108597285066</v>
      </c>
      <c r="I33" s="134">
        <f t="shared" si="7"/>
        <v>9.6814314216485661E-2</v>
      </c>
      <c r="J33" s="6">
        <f t="shared" si="8"/>
        <v>-32860000</v>
      </c>
      <c r="K33" s="163"/>
      <c r="L33" s="4"/>
      <c r="M33" s="4"/>
      <c r="N33" s="4"/>
      <c r="O33" s="4"/>
      <c r="P33" s="4"/>
      <c r="Q33" s="9"/>
      <c r="R33" s="1"/>
    </row>
    <row r="34" spans="1:18" x14ac:dyDescent="0.25">
      <c r="A34" s="49" t="s">
        <v>455</v>
      </c>
      <c r="B34" s="74" t="s">
        <v>35</v>
      </c>
      <c r="C34" s="202">
        <v>113857800</v>
      </c>
      <c r="D34" s="200">
        <f>C34/C29*100</f>
        <v>0.97205157188692981</v>
      </c>
      <c r="E34" s="134">
        <f t="shared" si="9"/>
        <v>66.227346743042631</v>
      </c>
      <c r="F34" s="134">
        <f t="shared" si="6"/>
        <v>0.6437639650347533</v>
      </c>
      <c r="G34" s="6">
        <f>75405000</f>
        <v>75405000</v>
      </c>
      <c r="H34" s="134">
        <f>G34/C34*100</f>
        <v>66.227346743042631</v>
      </c>
      <c r="I34" s="134">
        <f t="shared" si="7"/>
        <v>0.6437639650347533</v>
      </c>
      <c r="J34" s="6">
        <f t="shared" si="8"/>
        <v>-38452800</v>
      </c>
      <c r="K34" s="163"/>
      <c r="L34" s="4"/>
      <c r="M34" s="4"/>
      <c r="N34" s="4"/>
      <c r="O34" s="4"/>
      <c r="P34" s="4"/>
      <c r="Q34" s="9"/>
      <c r="R34" s="1"/>
    </row>
    <row r="35" spans="1:18" x14ac:dyDescent="0.25">
      <c r="A35" s="49" t="s">
        <v>456</v>
      </c>
      <c r="B35" s="74" t="s">
        <v>37</v>
      </c>
      <c r="C35" s="201">
        <v>273747600</v>
      </c>
      <c r="D35" s="200">
        <f>C35/C29*100</f>
        <v>2.3370975451859644</v>
      </c>
      <c r="E35" s="134">
        <f t="shared" si="9"/>
        <v>65.105820105820115</v>
      </c>
      <c r="F35" s="134">
        <f t="shared" si="6"/>
        <v>1.521586523466312</v>
      </c>
      <c r="G35" s="6">
        <f>178225620</f>
        <v>178225620</v>
      </c>
      <c r="H35" s="134">
        <f t="shared" si="10"/>
        <v>65.105820105820115</v>
      </c>
      <c r="I35" s="134">
        <f t="shared" si="7"/>
        <v>1.521586523466312</v>
      </c>
      <c r="J35" s="6">
        <f t="shared" si="8"/>
        <v>-95521980</v>
      </c>
      <c r="K35" s="163"/>
      <c r="L35" s="4"/>
      <c r="M35" s="4"/>
      <c r="N35" s="4"/>
      <c r="O35" s="4"/>
      <c r="P35" s="4"/>
      <c r="Q35" s="9"/>
      <c r="R35" s="1"/>
    </row>
    <row r="36" spans="1:18" x14ac:dyDescent="0.25">
      <c r="A36" s="49" t="s">
        <v>457</v>
      </c>
      <c r="B36" s="74" t="s">
        <v>39</v>
      </c>
      <c r="C36" s="201">
        <v>15000000</v>
      </c>
      <c r="D36" s="200">
        <f>C36/C29*100</f>
        <v>0.12806126219111863</v>
      </c>
      <c r="E36" s="134">
        <f t="shared" si="9"/>
        <v>44.37934666666667</v>
      </c>
      <c r="F36" s="134">
        <f t="shared" si="6"/>
        <v>5.6832751493505473E-2</v>
      </c>
      <c r="G36" s="6">
        <f>6656902</f>
        <v>6656902</v>
      </c>
      <c r="H36" s="134">
        <f t="shared" si="10"/>
        <v>44.37934666666667</v>
      </c>
      <c r="I36" s="134">
        <f t="shared" si="7"/>
        <v>5.6832751493505473E-2</v>
      </c>
      <c r="J36" s="6">
        <f t="shared" si="8"/>
        <v>-8343098</v>
      </c>
      <c r="K36" s="163"/>
      <c r="L36" s="4"/>
      <c r="M36" s="4"/>
      <c r="N36" s="4"/>
      <c r="O36" s="4"/>
      <c r="P36" s="4"/>
      <c r="Q36" s="9"/>
      <c r="R36" s="1"/>
    </row>
    <row r="37" spans="1:18" x14ac:dyDescent="0.25">
      <c r="A37" s="49" t="s">
        <v>458</v>
      </c>
      <c r="B37" s="74" t="s">
        <v>41</v>
      </c>
      <c r="C37" s="201">
        <v>573600</v>
      </c>
      <c r="D37" s="200">
        <f>C37/C29*100</f>
        <v>4.8970626661883759E-3</v>
      </c>
      <c r="E37" s="134">
        <f>G37/C37*100</f>
        <v>6.9170153417015339</v>
      </c>
      <c r="F37" s="134">
        <f t="shared" si="6"/>
        <v>3.3873057591298812E-4</v>
      </c>
      <c r="G37" s="6">
        <f>39676</f>
        <v>39676</v>
      </c>
      <c r="H37" s="134">
        <f>G37/C37*100</f>
        <v>6.9170153417015339</v>
      </c>
      <c r="I37" s="134">
        <f t="shared" si="7"/>
        <v>3.3873057591298812E-4</v>
      </c>
      <c r="J37" s="6">
        <f t="shared" si="8"/>
        <v>-533924</v>
      </c>
      <c r="K37" s="163"/>
      <c r="L37" s="4"/>
      <c r="M37" s="4"/>
      <c r="N37" s="4"/>
      <c r="O37" s="4"/>
      <c r="P37" s="4"/>
      <c r="Q37" s="9"/>
      <c r="R37" s="1"/>
    </row>
    <row r="38" spans="1:18" x14ac:dyDescent="0.25">
      <c r="A38" s="49" t="s">
        <v>459</v>
      </c>
      <c r="B38" s="74" t="s">
        <v>42</v>
      </c>
      <c r="C38" s="201">
        <v>5647177786</v>
      </c>
      <c r="D38" s="200">
        <f>C38/C29*100</f>
        <v>48.212314339520454</v>
      </c>
      <c r="E38" s="134">
        <f t="shared" si="9"/>
        <v>53.204148334918386</v>
      </c>
      <c r="F38" s="134">
        <f t="shared" si="6"/>
        <v>25.65095123689559</v>
      </c>
      <c r="G38" s="6">
        <f>3004532846</f>
        <v>3004532846</v>
      </c>
      <c r="H38" s="134">
        <f t="shared" si="10"/>
        <v>53.204148334918386</v>
      </c>
      <c r="I38" s="134">
        <f t="shared" si="7"/>
        <v>25.65095123689559</v>
      </c>
      <c r="J38" s="6">
        <f t="shared" si="8"/>
        <v>-2642644940</v>
      </c>
      <c r="K38" s="163"/>
      <c r="L38" s="738"/>
      <c r="M38" s="4"/>
      <c r="N38" s="4"/>
      <c r="O38" s="4"/>
      <c r="P38" s="4"/>
      <c r="Q38" s="9"/>
      <c r="R38" s="1"/>
    </row>
    <row r="39" spans="1:18" x14ac:dyDescent="0.25">
      <c r="A39" s="49" t="s">
        <v>548</v>
      </c>
      <c r="B39" s="74" t="s">
        <v>549</v>
      </c>
      <c r="C39" s="201">
        <v>276250331</v>
      </c>
      <c r="D39" s="200"/>
      <c r="E39" s="134">
        <f t="shared" si="9"/>
        <v>58.333333906484988</v>
      </c>
      <c r="F39" s="134"/>
      <c r="G39" s="6">
        <f>161146028</f>
        <v>161146028</v>
      </c>
      <c r="H39" s="134">
        <f t="shared" si="10"/>
        <v>58.333333906484988</v>
      </c>
      <c r="I39" s="134"/>
      <c r="J39" s="6">
        <f t="shared" si="8"/>
        <v>-115104303</v>
      </c>
      <c r="K39" s="163"/>
      <c r="L39" s="738"/>
      <c r="M39" s="4"/>
      <c r="N39" s="4"/>
      <c r="O39" s="4"/>
      <c r="P39" s="4"/>
      <c r="Q39" s="9"/>
      <c r="R39" s="1"/>
    </row>
    <row r="40" spans="1:18" x14ac:dyDescent="0.25">
      <c r="A40" s="238" t="s">
        <v>498</v>
      </c>
      <c r="B40" s="238" t="s">
        <v>390</v>
      </c>
      <c r="C40" s="239">
        <f>SUM(C41:C44)</f>
        <v>1853928000</v>
      </c>
      <c r="D40" s="241"/>
      <c r="E40" s="242"/>
      <c r="F40" s="242"/>
      <c r="G40" s="791">
        <v>0</v>
      </c>
      <c r="H40" s="242"/>
      <c r="I40" s="242"/>
      <c r="J40" s="791">
        <v>0</v>
      </c>
      <c r="K40" s="237"/>
      <c r="L40" s="4"/>
      <c r="M40" s="4"/>
      <c r="N40" s="4"/>
      <c r="O40" s="4"/>
      <c r="P40" s="4"/>
      <c r="Q40" s="9"/>
      <c r="R40" s="1"/>
    </row>
    <row r="41" spans="1:18" x14ac:dyDescent="0.25">
      <c r="A41" s="49" t="s">
        <v>460</v>
      </c>
      <c r="B41" s="78" t="s">
        <v>47</v>
      </c>
      <c r="C41" s="56">
        <v>1723250000</v>
      </c>
      <c r="D41" s="200">
        <f>C41/C40*100</f>
        <v>92.95129044925153</v>
      </c>
      <c r="E41" s="134">
        <f>G41/C41*100</f>
        <v>62.660670245176263</v>
      </c>
      <c r="F41" s="134">
        <f t="shared" ref="F41:F44" si="11">(D41*E41)/100</f>
        <v>58.243901597041521</v>
      </c>
      <c r="G41" s="6">
        <f>1079800000</f>
        <v>1079800000</v>
      </c>
      <c r="H41" s="134">
        <f t="shared" ref="H41:H44" si="12">G41/C41*100</f>
        <v>62.660670245176263</v>
      </c>
      <c r="I41" s="134">
        <f t="shared" ref="I41:I44" si="13">(D41*H41)/100</f>
        <v>58.243901597041521</v>
      </c>
      <c r="J41" s="6">
        <f t="shared" ref="J41:J44" si="14">G41-C41</f>
        <v>-643450000</v>
      </c>
      <c r="K41" s="163"/>
      <c r="L41" s="4"/>
      <c r="M41" s="4"/>
      <c r="N41" s="4"/>
      <c r="O41" s="4"/>
      <c r="P41" s="4"/>
      <c r="Q41" s="4"/>
      <c r="R41" s="9"/>
    </row>
    <row r="42" spans="1:18" x14ac:dyDescent="0.25">
      <c r="A42" s="49" t="s">
        <v>461</v>
      </c>
      <c r="B42" s="78" t="s">
        <v>51</v>
      </c>
      <c r="C42" s="56">
        <v>122730550</v>
      </c>
      <c r="D42" s="200">
        <f>C42/C40*100</f>
        <v>6.6200278543719069</v>
      </c>
      <c r="E42" s="134">
        <f t="shared" ref="E42:E44" si="15">G42/C42*100</f>
        <v>54.511263088122718</v>
      </c>
      <c r="F42" s="134">
        <f t="shared" si="11"/>
        <v>3.6086608002036757</v>
      </c>
      <c r="G42" s="6">
        <f>66901973</f>
        <v>66901973</v>
      </c>
      <c r="H42" s="134">
        <f t="shared" si="12"/>
        <v>54.511263088122718</v>
      </c>
      <c r="I42" s="134">
        <f t="shared" si="13"/>
        <v>3.6086608002036757</v>
      </c>
      <c r="J42" s="6">
        <f t="shared" si="14"/>
        <v>-55828577</v>
      </c>
      <c r="K42" s="163"/>
      <c r="L42" s="4"/>
      <c r="M42" s="4"/>
      <c r="N42" s="4"/>
      <c r="O42" s="4"/>
      <c r="P42" s="4"/>
      <c r="Q42" s="4"/>
      <c r="R42" s="9"/>
    </row>
    <row r="43" spans="1:18" x14ac:dyDescent="0.25">
      <c r="A43" s="49" t="s">
        <v>462</v>
      </c>
      <c r="B43" s="78" t="s">
        <v>203</v>
      </c>
      <c r="C43" s="56">
        <v>3532200</v>
      </c>
      <c r="D43" s="200">
        <f>C43/C40*100</f>
        <v>0.19052519838958148</v>
      </c>
      <c r="E43" s="134">
        <f t="shared" si="15"/>
        <v>82.791319857312729</v>
      </c>
      <c r="F43" s="134">
        <f t="shared" si="11"/>
        <v>0.15773832640749805</v>
      </c>
      <c r="G43" s="6">
        <f>2924355</f>
        <v>2924355</v>
      </c>
      <c r="H43" s="134">
        <f t="shared" si="12"/>
        <v>82.791319857312729</v>
      </c>
      <c r="I43" s="134">
        <f t="shared" si="13"/>
        <v>0.15773832640749805</v>
      </c>
      <c r="J43" s="6">
        <f t="shared" si="14"/>
        <v>-607845</v>
      </c>
      <c r="K43" s="163"/>
      <c r="L43" s="4"/>
      <c r="M43" s="4"/>
      <c r="N43" s="4"/>
      <c r="O43" s="4"/>
      <c r="P43" s="4"/>
      <c r="Q43" s="4"/>
      <c r="R43" s="9"/>
    </row>
    <row r="44" spans="1:18" x14ac:dyDescent="0.25">
      <c r="A44" s="49" t="s">
        <v>463</v>
      </c>
      <c r="B44" s="78" t="s">
        <v>204</v>
      </c>
      <c r="C44" s="56">
        <v>4415250</v>
      </c>
      <c r="D44" s="200">
        <f>C44/C40*100</f>
        <v>0.23815649798697683</v>
      </c>
      <c r="E44" s="134">
        <f t="shared" si="15"/>
        <v>82.791574656021737</v>
      </c>
      <c r="F44" s="134">
        <f t="shared" si="11"/>
        <v>0.19717351482905482</v>
      </c>
      <c r="G44" s="6">
        <f>3655455</f>
        <v>3655455</v>
      </c>
      <c r="H44" s="134">
        <f t="shared" si="12"/>
        <v>82.791574656021737</v>
      </c>
      <c r="I44" s="134">
        <f t="shared" si="13"/>
        <v>0.19717351482905482</v>
      </c>
      <c r="J44" s="6">
        <f t="shared" si="14"/>
        <v>-759795</v>
      </c>
      <c r="K44" s="163"/>
      <c r="L44" s="4"/>
      <c r="M44" s="4"/>
      <c r="N44" s="4"/>
      <c r="O44" s="4"/>
      <c r="P44" s="4"/>
      <c r="Q44" s="4"/>
      <c r="R44" s="9"/>
    </row>
    <row r="45" spans="1:18" ht="16.5" customHeight="1" x14ac:dyDescent="0.25">
      <c r="A45" s="238" t="s">
        <v>499</v>
      </c>
      <c r="B45" s="706" t="s">
        <v>205</v>
      </c>
      <c r="C45" s="239">
        <f>SUM(C46:C51)</f>
        <v>50000000</v>
      </c>
      <c r="D45" s="241"/>
      <c r="E45" s="242"/>
      <c r="F45" s="242"/>
      <c r="G45" s="791">
        <v>0</v>
      </c>
      <c r="H45" s="242"/>
      <c r="I45" s="242"/>
      <c r="J45" s="791">
        <v>0</v>
      </c>
      <c r="K45" s="237"/>
      <c r="L45" s="4"/>
      <c r="M45" s="4"/>
      <c r="N45" s="4"/>
      <c r="O45" s="4"/>
      <c r="P45" s="4"/>
      <c r="Q45" s="4"/>
      <c r="R45" s="9"/>
    </row>
    <row r="46" spans="1:18" s="783" customFormat="1" ht="16.5" customHeight="1" x14ac:dyDescent="0.25">
      <c r="A46" s="124" t="s">
        <v>450</v>
      </c>
      <c r="B46" s="707" t="s">
        <v>384</v>
      </c>
      <c r="C46" s="743">
        <v>2310000</v>
      </c>
      <c r="D46" s="741"/>
      <c r="E46" s="742"/>
      <c r="F46" s="742"/>
      <c r="G46" s="6">
        <f>2310000</f>
        <v>2310000</v>
      </c>
      <c r="H46" s="742"/>
      <c r="I46" s="742"/>
      <c r="J46" s="6">
        <f t="shared" ref="J46:J51" si="16">G46-C46</f>
        <v>0</v>
      </c>
      <c r="K46" s="744"/>
      <c r="L46" s="737"/>
      <c r="M46" s="737"/>
      <c r="N46" s="737"/>
      <c r="O46" s="737"/>
      <c r="P46" s="737"/>
      <c r="Q46" s="737"/>
      <c r="R46" s="782"/>
    </row>
    <row r="47" spans="1:18" s="783" customFormat="1" ht="16.5" customHeight="1" x14ac:dyDescent="0.25">
      <c r="A47" s="124" t="s">
        <v>448</v>
      </c>
      <c r="B47" s="707" t="s">
        <v>445</v>
      </c>
      <c r="C47" s="743">
        <v>170000</v>
      </c>
      <c r="D47" s="741"/>
      <c r="E47" s="742"/>
      <c r="F47" s="742"/>
      <c r="G47" s="6">
        <v>0</v>
      </c>
      <c r="H47" s="742"/>
      <c r="I47" s="742"/>
      <c r="J47" s="6">
        <f t="shared" si="16"/>
        <v>-170000</v>
      </c>
      <c r="K47" s="744"/>
      <c r="L47" s="737"/>
      <c r="M47" s="737"/>
      <c r="N47" s="737"/>
      <c r="O47" s="737"/>
      <c r="P47" s="737"/>
      <c r="Q47" s="737"/>
      <c r="R47" s="782"/>
    </row>
    <row r="48" spans="1:18" x14ac:dyDescent="0.25">
      <c r="A48" s="49" t="s">
        <v>415</v>
      </c>
      <c r="B48" s="707" t="s">
        <v>197</v>
      </c>
      <c r="C48" s="56">
        <v>8775400</v>
      </c>
      <c r="D48" s="200">
        <f>C48/C45*100</f>
        <v>17.550799999999999</v>
      </c>
      <c r="E48" s="134">
        <f t="shared" ref="E48:E50" si="17">G48/C48*100</f>
        <v>55.287223374433069</v>
      </c>
      <c r="F48" s="134">
        <f t="shared" ref="F48:F50" si="18">(D48*E48)/100</f>
        <v>9.7033499999999986</v>
      </c>
      <c r="G48" s="6">
        <f>4851675</f>
        <v>4851675</v>
      </c>
      <c r="H48" s="134">
        <f t="shared" ref="H48:H50" si="19">G48/C48*100</f>
        <v>55.287223374433069</v>
      </c>
      <c r="I48" s="134">
        <f t="shared" ref="I48:I50" si="20">(D48*H48)/100</f>
        <v>9.7033499999999986</v>
      </c>
      <c r="J48" s="6">
        <f t="shared" si="16"/>
        <v>-3923725</v>
      </c>
      <c r="K48" s="163"/>
      <c r="L48" s="4"/>
      <c r="M48" s="4"/>
      <c r="N48" s="4"/>
      <c r="O48" s="4"/>
      <c r="P48" s="4"/>
      <c r="Q48" s="4"/>
      <c r="R48" s="9"/>
    </row>
    <row r="49" spans="1:18" x14ac:dyDescent="0.25">
      <c r="A49" s="49" t="s">
        <v>413</v>
      </c>
      <c r="B49" s="707" t="s">
        <v>334</v>
      </c>
      <c r="C49" s="56">
        <v>4124600</v>
      </c>
      <c r="D49" s="200">
        <f>C49/C45*100</f>
        <v>8.2492000000000001</v>
      </c>
      <c r="E49" s="134">
        <f t="shared" si="17"/>
        <v>42.404111913882559</v>
      </c>
      <c r="F49" s="134">
        <f t="shared" si="18"/>
        <v>3.4980000000000002</v>
      </c>
      <c r="G49" s="6">
        <v>1749000</v>
      </c>
      <c r="H49" s="134">
        <f t="shared" si="19"/>
        <v>42.404111913882559</v>
      </c>
      <c r="I49" s="134">
        <f t="shared" si="20"/>
        <v>3.4980000000000002</v>
      </c>
      <c r="J49" s="6">
        <f t="shared" si="16"/>
        <v>-2375600</v>
      </c>
      <c r="K49" s="163"/>
      <c r="L49" s="4"/>
      <c r="M49" s="4"/>
      <c r="N49" s="4"/>
      <c r="O49" s="4"/>
      <c r="P49" s="4"/>
      <c r="Q49" s="4"/>
      <c r="R49" s="9"/>
    </row>
    <row r="50" spans="1:18" x14ac:dyDescent="0.25">
      <c r="A50" s="49" t="s">
        <v>391</v>
      </c>
      <c r="B50" s="218" t="s">
        <v>198</v>
      </c>
      <c r="C50" s="56">
        <v>14520000</v>
      </c>
      <c r="D50" s="200">
        <f>C50/C45*100</f>
        <v>29.04</v>
      </c>
      <c r="E50" s="134">
        <f t="shared" si="17"/>
        <v>34.380165289256198</v>
      </c>
      <c r="F50" s="134">
        <f t="shared" si="18"/>
        <v>9.984</v>
      </c>
      <c r="G50" s="6">
        <f>4992000</f>
        <v>4992000</v>
      </c>
      <c r="H50" s="134">
        <f t="shared" si="19"/>
        <v>34.380165289256198</v>
      </c>
      <c r="I50" s="134">
        <f t="shared" si="20"/>
        <v>9.984</v>
      </c>
      <c r="J50" s="6">
        <f t="shared" si="16"/>
        <v>-9528000</v>
      </c>
      <c r="K50" s="163"/>
      <c r="L50" s="4"/>
      <c r="M50" s="4"/>
      <c r="N50" s="4"/>
      <c r="O50" s="4"/>
      <c r="P50" s="4"/>
      <c r="Q50" s="4"/>
      <c r="R50" s="9"/>
    </row>
    <row r="51" spans="1:18" ht="26.25" thickBot="1" x14ac:dyDescent="0.3">
      <c r="A51" s="784" t="s">
        <v>447</v>
      </c>
      <c r="B51" s="316" t="s">
        <v>107</v>
      </c>
      <c r="C51" s="785">
        <v>20100000</v>
      </c>
      <c r="D51" s="200"/>
      <c r="E51" s="134"/>
      <c r="F51" s="134"/>
      <c r="G51" s="6">
        <f>4550000</f>
        <v>4550000</v>
      </c>
      <c r="H51" s="134"/>
      <c r="I51" s="134"/>
      <c r="J51" s="6">
        <f t="shared" si="16"/>
        <v>-15550000</v>
      </c>
      <c r="K51" s="163"/>
      <c r="L51" s="4"/>
      <c r="M51" s="4"/>
      <c r="N51" s="4"/>
      <c r="O51" s="4"/>
      <c r="P51" s="4"/>
      <c r="Q51" s="4"/>
      <c r="R51" s="9"/>
    </row>
    <row r="52" spans="1:18" ht="15.75" thickBot="1" x14ac:dyDescent="0.3">
      <c r="A52" s="220" t="s">
        <v>500</v>
      </c>
      <c r="B52" s="225" t="s">
        <v>52</v>
      </c>
      <c r="C52" s="222"/>
      <c r="D52" s="216"/>
      <c r="E52" s="134"/>
      <c r="F52" s="134"/>
      <c r="G52" s="6">
        <v>0</v>
      </c>
      <c r="H52" s="134"/>
      <c r="I52" s="134"/>
      <c r="J52" s="6">
        <v>0</v>
      </c>
      <c r="K52" s="163"/>
      <c r="L52" s="4"/>
      <c r="M52" s="4"/>
      <c r="N52" s="4"/>
      <c r="O52" s="4"/>
      <c r="P52" s="4"/>
      <c r="Q52" s="4"/>
      <c r="R52" s="9"/>
    </row>
    <row r="53" spans="1:18" ht="26.25" x14ac:dyDescent="0.25">
      <c r="A53" s="233" t="s">
        <v>501</v>
      </c>
      <c r="B53" s="691" t="s">
        <v>382</v>
      </c>
      <c r="C53" s="234">
        <v>13476500</v>
      </c>
      <c r="D53" s="241"/>
      <c r="E53" s="242"/>
      <c r="F53" s="242"/>
      <c r="G53" s="791">
        <v>0</v>
      </c>
      <c r="H53" s="242"/>
      <c r="I53" s="242"/>
      <c r="J53" s="791">
        <v>0</v>
      </c>
      <c r="K53" s="237"/>
      <c r="L53" s="4"/>
      <c r="M53" s="4"/>
      <c r="N53" s="4"/>
      <c r="O53" s="713"/>
      <c r="P53" s="4"/>
      <c r="Q53" s="4"/>
      <c r="R53" s="9"/>
    </row>
    <row r="54" spans="1:18" x14ac:dyDescent="0.25">
      <c r="A54" s="49" t="s">
        <v>464</v>
      </c>
      <c r="B54" s="78" t="s">
        <v>55</v>
      </c>
      <c r="C54" s="56">
        <v>13476500</v>
      </c>
      <c r="D54" s="200">
        <f>C54/C53*100</f>
        <v>100</v>
      </c>
      <c r="E54" s="134">
        <f>G54/C54*100</f>
        <v>22.836047935294772</v>
      </c>
      <c r="F54" s="134">
        <f t="shared" ref="F54:F57" si="21">(D54*E54)/100</f>
        <v>22.836047935294772</v>
      </c>
      <c r="G54" s="6">
        <f>3077500</f>
        <v>3077500</v>
      </c>
      <c r="H54" s="134">
        <f>G54/C54*100</f>
        <v>22.836047935294772</v>
      </c>
      <c r="I54" s="134">
        <f>(D54*H54)/100</f>
        <v>22.836047935294772</v>
      </c>
      <c r="J54" s="6">
        <f>G54-C54</f>
        <v>-10399000</v>
      </c>
      <c r="K54" s="163"/>
      <c r="L54" s="4"/>
      <c r="M54" s="4"/>
      <c r="N54" s="4"/>
      <c r="O54" s="4"/>
      <c r="P54" s="4"/>
      <c r="Q54" s="4"/>
      <c r="R54" s="9"/>
    </row>
    <row r="55" spans="1:18" x14ac:dyDescent="0.25">
      <c r="A55" s="238" t="s">
        <v>502</v>
      </c>
      <c r="B55" s="238" t="s">
        <v>58</v>
      </c>
      <c r="C55" s="239">
        <f>SUM(C56:C57)</f>
        <v>6708000</v>
      </c>
      <c r="D55" s="241"/>
      <c r="E55" s="242"/>
      <c r="F55" s="242"/>
      <c r="G55" s="791">
        <v>0</v>
      </c>
      <c r="H55" s="242"/>
      <c r="I55" s="242"/>
      <c r="J55" s="791">
        <v>0</v>
      </c>
      <c r="K55" s="237"/>
      <c r="L55" s="4"/>
      <c r="M55" s="4"/>
      <c r="N55" s="4"/>
      <c r="O55" s="4"/>
      <c r="P55" s="4"/>
      <c r="Q55" s="4"/>
      <c r="R55" s="9"/>
    </row>
    <row r="56" spans="1:18" x14ac:dyDescent="0.25">
      <c r="A56" s="49" t="s">
        <v>448</v>
      </c>
      <c r="B56" s="707" t="s">
        <v>445</v>
      </c>
      <c r="C56" s="56">
        <v>170000</v>
      </c>
      <c r="D56" s="200">
        <f>C56/C55*100</f>
        <v>2.5342874180083479</v>
      </c>
      <c r="E56" s="134">
        <f t="shared" ref="E56:E57" si="22">G56/C56*100</f>
        <v>0</v>
      </c>
      <c r="F56" s="134">
        <f t="shared" si="21"/>
        <v>0</v>
      </c>
      <c r="G56" s="6">
        <v>0</v>
      </c>
      <c r="H56" s="134">
        <f t="shared" ref="H56:H58" si="23">G56/C56*100</f>
        <v>0</v>
      </c>
      <c r="I56" s="134">
        <f t="shared" ref="I56:I57" si="24">(D56*H56)/100</f>
        <v>0</v>
      </c>
      <c r="J56" s="6">
        <f t="shared" ref="J56:J57" si="25">G56-C56</f>
        <v>-170000</v>
      </c>
      <c r="K56" s="163"/>
      <c r="L56" s="4"/>
      <c r="M56" s="4"/>
      <c r="N56" s="4"/>
      <c r="O56" s="4"/>
      <c r="P56" s="4"/>
      <c r="Q56" s="4"/>
      <c r="R56" s="9"/>
    </row>
    <row r="57" spans="1:18" x14ac:dyDescent="0.25">
      <c r="A57" s="49" t="s">
        <v>465</v>
      </c>
      <c r="B57" s="707" t="s">
        <v>466</v>
      </c>
      <c r="C57" s="56">
        <v>6538000</v>
      </c>
      <c r="D57" s="200">
        <f>C57/C55*100</f>
        <v>97.465712581991653</v>
      </c>
      <c r="E57" s="134">
        <f t="shared" si="22"/>
        <v>42.344753747323338</v>
      </c>
      <c r="F57" s="134">
        <f t="shared" si="21"/>
        <v>41.271615980918305</v>
      </c>
      <c r="G57" s="6">
        <f>2768500</f>
        <v>2768500</v>
      </c>
      <c r="H57" s="134">
        <f t="shared" si="23"/>
        <v>42.344753747323338</v>
      </c>
      <c r="I57" s="134">
        <f t="shared" si="24"/>
        <v>41.271615980918305</v>
      </c>
      <c r="J57" s="6">
        <f t="shared" si="25"/>
        <v>-3769500</v>
      </c>
      <c r="K57" s="163"/>
      <c r="L57" s="4"/>
      <c r="M57" s="4"/>
      <c r="N57" s="4"/>
      <c r="O57" s="4"/>
      <c r="P57" s="4"/>
      <c r="Q57" s="4"/>
      <c r="R57" s="9"/>
    </row>
    <row r="58" spans="1:18" x14ac:dyDescent="0.25">
      <c r="A58" s="238" t="s">
        <v>503</v>
      </c>
      <c r="B58" s="238" t="s">
        <v>61</v>
      </c>
      <c r="C58" s="239">
        <f>SUM(C59:C62)</f>
        <v>62599600</v>
      </c>
      <c r="D58" s="241"/>
      <c r="E58" s="242"/>
      <c r="F58" s="242"/>
      <c r="G58" s="791">
        <v>0</v>
      </c>
      <c r="H58" s="242">
        <f t="shared" si="23"/>
        <v>0</v>
      </c>
      <c r="I58" s="242"/>
      <c r="J58" s="791">
        <v>0</v>
      </c>
      <c r="K58" s="237"/>
      <c r="L58" s="4"/>
      <c r="M58" s="4"/>
      <c r="N58" s="4"/>
      <c r="O58" s="4"/>
      <c r="P58" s="4"/>
      <c r="Q58" s="4"/>
      <c r="R58" s="9"/>
    </row>
    <row r="59" spans="1:18" ht="22.5" customHeight="1" x14ac:dyDescent="0.25">
      <c r="A59" s="49" t="s">
        <v>450</v>
      </c>
      <c r="B59" s="707" t="s">
        <v>384</v>
      </c>
      <c r="C59" s="56">
        <v>3090000</v>
      </c>
      <c r="D59" s="200">
        <f>C59/C58*100</f>
        <v>4.9361337772126337</v>
      </c>
      <c r="E59" s="134">
        <f>G59/C59*100</f>
        <v>100</v>
      </c>
      <c r="F59" s="134">
        <f t="shared" ref="F59:F71" si="26">(D59*E59)/100</f>
        <v>4.9361337772126337</v>
      </c>
      <c r="G59" s="6">
        <f>3090000</f>
        <v>3090000</v>
      </c>
      <c r="H59" s="134">
        <f>G59/C59*100</f>
        <v>100</v>
      </c>
      <c r="I59" s="134">
        <f>(D59*H59)/100</f>
        <v>4.9361337772126337</v>
      </c>
      <c r="J59" s="6">
        <f t="shared" ref="J59:J62" si="27">G59-C59</f>
        <v>0</v>
      </c>
      <c r="K59" s="163"/>
      <c r="L59" s="4"/>
      <c r="M59" s="4"/>
      <c r="N59" s="4"/>
      <c r="O59" s="4"/>
      <c r="P59" s="4"/>
      <c r="Q59" s="4"/>
      <c r="R59" s="9"/>
    </row>
    <row r="60" spans="1:18" x14ac:dyDescent="0.25">
      <c r="A60" s="49" t="s">
        <v>448</v>
      </c>
      <c r="B60" s="707" t="s">
        <v>445</v>
      </c>
      <c r="C60" s="56">
        <v>170000</v>
      </c>
      <c r="D60" s="200"/>
      <c r="E60" s="134"/>
      <c r="F60" s="134"/>
      <c r="G60" s="6">
        <v>0</v>
      </c>
      <c r="H60" s="134"/>
      <c r="I60" s="134"/>
      <c r="J60" s="6">
        <f t="shared" si="27"/>
        <v>-170000</v>
      </c>
      <c r="K60" s="163"/>
      <c r="L60" s="4"/>
      <c r="M60" s="4"/>
      <c r="N60" s="4"/>
      <c r="O60" s="4"/>
      <c r="P60" s="4"/>
      <c r="Q60" s="4"/>
      <c r="R60" s="9"/>
    </row>
    <row r="61" spans="1:18" x14ac:dyDescent="0.25">
      <c r="A61" s="49" t="s">
        <v>415</v>
      </c>
      <c r="B61" s="707" t="s">
        <v>197</v>
      </c>
      <c r="C61" s="56">
        <v>7993000</v>
      </c>
      <c r="D61" s="200"/>
      <c r="E61" s="134"/>
      <c r="F61" s="134"/>
      <c r="G61" s="6">
        <f>4891500+302500</f>
        <v>5194000</v>
      </c>
      <c r="H61" s="134"/>
      <c r="I61" s="134"/>
      <c r="J61" s="6">
        <f t="shared" si="27"/>
        <v>-2799000</v>
      </c>
      <c r="K61" s="163"/>
      <c r="L61" s="4"/>
      <c r="M61" s="4"/>
      <c r="N61" s="4"/>
      <c r="O61" s="4"/>
      <c r="P61" s="4"/>
      <c r="Q61" s="4"/>
      <c r="R61" s="9"/>
    </row>
    <row r="62" spans="1:18" x14ac:dyDescent="0.25">
      <c r="A62" s="49" t="s">
        <v>413</v>
      </c>
      <c r="B62" s="707" t="s">
        <v>334</v>
      </c>
      <c r="C62" s="56">
        <v>51346600</v>
      </c>
      <c r="D62" s="200"/>
      <c r="E62" s="134"/>
      <c r="F62" s="134"/>
      <c r="G62" s="6">
        <f>15000000+14205800</f>
        <v>29205800</v>
      </c>
      <c r="H62" s="134"/>
      <c r="I62" s="134"/>
      <c r="J62" s="6">
        <f t="shared" si="27"/>
        <v>-22140800</v>
      </c>
      <c r="K62" s="163"/>
      <c r="L62" s="4"/>
      <c r="M62" s="4"/>
      <c r="N62" s="4"/>
      <c r="O62" s="4"/>
      <c r="P62" s="4"/>
      <c r="Q62" s="4"/>
      <c r="R62" s="9"/>
    </row>
    <row r="63" spans="1:18" s="796" customFormat="1" x14ac:dyDescent="0.25">
      <c r="A63" s="799" t="s">
        <v>468</v>
      </c>
      <c r="B63" s="736" t="s">
        <v>467</v>
      </c>
      <c r="C63" s="800">
        <v>3000000</v>
      </c>
      <c r="D63" s="789"/>
      <c r="E63" s="790"/>
      <c r="F63" s="790"/>
      <c r="G63" s="791">
        <v>0</v>
      </c>
      <c r="H63" s="790"/>
      <c r="I63" s="790"/>
      <c r="J63" s="791">
        <v>0</v>
      </c>
      <c r="K63" s="793"/>
      <c r="L63" s="794"/>
      <c r="M63" s="794"/>
      <c r="N63" s="794"/>
      <c r="O63" s="794"/>
      <c r="P63" s="794"/>
      <c r="Q63" s="794"/>
      <c r="R63" s="795"/>
    </row>
    <row r="64" spans="1:18" x14ac:dyDescent="0.25">
      <c r="A64" s="49" t="s">
        <v>413</v>
      </c>
      <c r="B64" s="707" t="s">
        <v>334</v>
      </c>
      <c r="C64" s="56">
        <v>3000000</v>
      </c>
      <c r="D64" s="200"/>
      <c r="E64" s="134"/>
      <c r="F64" s="134"/>
      <c r="G64" s="6">
        <v>0</v>
      </c>
      <c r="H64" s="134"/>
      <c r="I64" s="134"/>
      <c r="J64" s="6">
        <f>G64-C64</f>
        <v>-3000000</v>
      </c>
      <c r="K64" s="163"/>
      <c r="L64" s="4"/>
      <c r="M64" s="4"/>
      <c r="N64" s="4"/>
      <c r="O64" s="4"/>
      <c r="P64" s="4"/>
      <c r="Q64" s="4"/>
      <c r="R64" s="9"/>
    </row>
    <row r="65" spans="1:18" s="796" customFormat="1" x14ac:dyDescent="0.25">
      <c r="A65" s="799" t="s">
        <v>469</v>
      </c>
      <c r="B65" s="736" t="s">
        <v>470</v>
      </c>
      <c r="C65" s="800">
        <f>SUM(C66:C68)</f>
        <v>12000000</v>
      </c>
      <c r="D65" s="789"/>
      <c r="E65" s="790"/>
      <c r="F65" s="790"/>
      <c r="G65" s="791">
        <v>0</v>
      </c>
      <c r="H65" s="790"/>
      <c r="I65" s="790"/>
      <c r="J65" s="791">
        <v>0</v>
      </c>
      <c r="K65" s="793"/>
      <c r="L65" s="794"/>
      <c r="M65" s="794"/>
      <c r="N65" s="794"/>
      <c r="O65" s="794"/>
      <c r="P65" s="794"/>
      <c r="Q65" s="794"/>
      <c r="R65" s="795"/>
    </row>
    <row r="66" spans="1:18" x14ac:dyDescent="0.25">
      <c r="A66" s="49" t="s">
        <v>448</v>
      </c>
      <c r="B66" s="707" t="s">
        <v>445</v>
      </c>
      <c r="C66" s="56">
        <v>170000</v>
      </c>
      <c r="D66" s="200"/>
      <c r="E66" s="134"/>
      <c r="F66" s="134"/>
      <c r="G66" s="6">
        <v>0</v>
      </c>
      <c r="H66" s="134"/>
      <c r="I66" s="134"/>
      <c r="J66" s="6">
        <f t="shared" ref="J66:J68" si="28">G66-C66</f>
        <v>-170000</v>
      </c>
      <c r="K66" s="163"/>
      <c r="L66" s="4"/>
      <c r="M66" s="4"/>
      <c r="N66" s="4"/>
      <c r="O66" s="4"/>
      <c r="P66" s="4"/>
      <c r="Q66" s="4"/>
      <c r="R66" s="9"/>
    </row>
    <row r="67" spans="1:18" x14ac:dyDescent="0.25">
      <c r="A67" s="49" t="s">
        <v>413</v>
      </c>
      <c r="B67" s="707" t="s">
        <v>334</v>
      </c>
      <c r="C67" s="56">
        <v>820000</v>
      </c>
      <c r="D67" s="200"/>
      <c r="E67" s="134"/>
      <c r="F67" s="134"/>
      <c r="G67" s="6">
        <v>0</v>
      </c>
      <c r="H67" s="134"/>
      <c r="I67" s="134"/>
      <c r="J67" s="6">
        <f t="shared" si="28"/>
        <v>-820000</v>
      </c>
      <c r="K67" s="163"/>
      <c r="L67" s="4"/>
      <c r="M67" s="4"/>
      <c r="N67" s="4"/>
      <c r="O67" s="4"/>
      <c r="P67" s="4"/>
      <c r="Q67" s="4"/>
      <c r="R67" s="9"/>
    </row>
    <row r="68" spans="1:18" x14ac:dyDescent="0.25">
      <c r="A68" s="49" t="s">
        <v>391</v>
      </c>
      <c r="B68" s="218" t="s">
        <v>198</v>
      </c>
      <c r="C68" s="56">
        <v>11010000</v>
      </c>
      <c r="D68" s="200"/>
      <c r="E68" s="134"/>
      <c r="F68" s="134"/>
      <c r="G68" s="6">
        <v>0</v>
      </c>
      <c r="H68" s="134"/>
      <c r="I68" s="134"/>
      <c r="J68" s="6">
        <f t="shared" si="28"/>
        <v>-11010000</v>
      </c>
      <c r="K68" s="163"/>
      <c r="L68" s="4"/>
      <c r="M68" s="4"/>
      <c r="N68" s="4"/>
      <c r="O68" s="4"/>
      <c r="P68" s="4"/>
      <c r="Q68" s="4"/>
      <c r="R68" s="9"/>
    </row>
    <row r="69" spans="1:18" x14ac:dyDescent="0.25">
      <c r="A69" s="238" t="s">
        <v>504</v>
      </c>
      <c r="B69" s="238" t="s">
        <v>64</v>
      </c>
      <c r="C69" s="239">
        <f>SUM(C70:C71)</f>
        <v>148714000</v>
      </c>
      <c r="D69" s="241"/>
      <c r="E69" s="242"/>
      <c r="F69" s="242"/>
      <c r="G69" s="791">
        <v>0</v>
      </c>
      <c r="H69" s="242"/>
      <c r="I69" s="242"/>
      <c r="J69" s="791">
        <v>0</v>
      </c>
      <c r="K69" s="237"/>
      <c r="L69" s="4"/>
      <c r="M69" s="4"/>
      <c r="N69" s="4"/>
      <c r="O69" s="4"/>
      <c r="P69" s="4"/>
      <c r="Q69" s="4"/>
      <c r="R69" s="9"/>
    </row>
    <row r="70" spans="1:18" ht="21" customHeight="1" x14ac:dyDescent="0.25">
      <c r="A70" s="49" t="s">
        <v>450</v>
      </c>
      <c r="B70" s="707" t="s">
        <v>384</v>
      </c>
      <c r="C70" s="56">
        <v>3480000</v>
      </c>
      <c r="D70" s="200">
        <f>C70/C69*100</f>
        <v>2.3400621326842126</v>
      </c>
      <c r="E70" s="134">
        <f t="shared" ref="E70:E71" si="29">G70/C70*100</f>
        <v>100</v>
      </c>
      <c r="F70" s="134">
        <f t="shared" si="26"/>
        <v>2.3400621326842126</v>
      </c>
      <c r="G70" s="6">
        <f>3480000</f>
        <v>3480000</v>
      </c>
      <c r="H70" s="134">
        <f t="shared" ref="H70:H71" si="30">G70/C70*100</f>
        <v>100</v>
      </c>
      <c r="I70" s="134">
        <f t="shared" ref="I70:I71" si="31">(D70*H70)/100</f>
        <v>2.3400621326842126</v>
      </c>
      <c r="J70" s="6">
        <f t="shared" ref="J70:J71" si="32">G70-C70</f>
        <v>0</v>
      </c>
      <c r="K70" s="163"/>
      <c r="L70" s="4"/>
      <c r="M70" s="4"/>
      <c r="N70" s="4"/>
      <c r="O70" s="4"/>
      <c r="P70" s="4"/>
      <c r="Q70" s="4"/>
      <c r="R70" s="9"/>
    </row>
    <row r="71" spans="1:18" ht="15.75" thickBot="1" x14ac:dyDescent="0.3">
      <c r="A71" s="217" t="s">
        <v>449</v>
      </c>
      <c r="B71" s="78" t="s">
        <v>23</v>
      </c>
      <c r="C71" s="219">
        <v>145234000</v>
      </c>
      <c r="D71" s="200">
        <f>C71/C69*100</f>
        <v>97.659937867315776</v>
      </c>
      <c r="E71" s="134">
        <f t="shared" si="29"/>
        <v>98.406741534351454</v>
      </c>
      <c r="F71" s="134">
        <f t="shared" si="26"/>
        <v>96.103962639697656</v>
      </c>
      <c r="G71" s="6">
        <f>86169136+56750911</f>
        <v>142920047</v>
      </c>
      <c r="H71" s="134">
        <f t="shared" si="30"/>
        <v>98.406741534351454</v>
      </c>
      <c r="I71" s="134">
        <f t="shared" si="31"/>
        <v>96.103962639697656</v>
      </c>
      <c r="J71" s="6">
        <f t="shared" si="32"/>
        <v>-2313953</v>
      </c>
      <c r="K71" s="163"/>
      <c r="L71" s="4"/>
      <c r="M71" s="4"/>
      <c r="N71" s="4"/>
      <c r="O71" s="694"/>
      <c r="P71" s="4"/>
      <c r="Q71" s="4"/>
      <c r="R71" s="9"/>
    </row>
    <row r="72" spans="1:18" ht="15.75" thickBot="1" x14ac:dyDescent="0.3">
      <c r="A72" s="689" t="s">
        <v>248</v>
      </c>
      <c r="B72" s="708" t="s">
        <v>68</v>
      </c>
      <c r="C72" s="690"/>
      <c r="D72" s="216"/>
      <c r="E72" s="134"/>
      <c r="F72" s="134"/>
      <c r="G72" s="6">
        <v>0</v>
      </c>
      <c r="H72" s="134"/>
      <c r="I72" s="134"/>
      <c r="J72" s="6">
        <v>0</v>
      </c>
      <c r="K72" s="163"/>
      <c r="L72" s="4"/>
      <c r="M72" s="4"/>
      <c r="N72" s="4"/>
      <c r="O72" s="4"/>
      <c r="P72" s="4"/>
      <c r="Q72" s="4"/>
      <c r="R72" s="9"/>
    </row>
    <row r="73" spans="1:18" x14ac:dyDescent="0.25">
      <c r="A73" s="233" t="s">
        <v>249</v>
      </c>
      <c r="B73" s="696" t="s">
        <v>387</v>
      </c>
      <c r="C73" s="234">
        <f>SUM(C74:C76)</f>
        <v>237367500</v>
      </c>
      <c r="D73" s="241"/>
      <c r="E73" s="242"/>
      <c r="F73" s="242"/>
      <c r="G73" s="791">
        <v>0</v>
      </c>
      <c r="H73" s="242"/>
      <c r="I73" s="242"/>
      <c r="J73" s="791">
        <v>0</v>
      </c>
      <c r="K73" s="237"/>
      <c r="L73" s="4"/>
      <c r="M73" s="4"/>
      <c r="N73" s="4"/>
      <c r="O73" s="713"/>
      <c r="P73" s="4"/>
      <c r="Q73" s="4"/>
      <c r="R73" s="9"/>
    </row>
    <row r="74" spans="1:18" x14ac:dyDescent="0.25">
      <c r="A74" s="49" t="s">
        <v>471</v>
      </c>
      <c r="B74" s="78" t="s">
        <v>388</v>
      </c>
      <c r="C74" s="56">
        <v>54000000</v>
      </c>
      <c r="D74" s="200">
        <f>C74/C73*100</f>
        <v>22.749533950519762</v>
      </c>
      <c r="E74" s="134">
        <f t="shared" ref="E74:E76" si="33">G74/C74*100</f>
        <v>46.237822222222228</v>
      </c>
      <c r="F74" s="134">
        <f t="shared" ref="F74:F76" si="34">(D74*E74)/100</f>
        <v>10.518889064425416</v>
      </c>
      <c r="G74" s="6">
        <f>24968424</f>
        <v>24968424</v>
      </c>
      <c r="H74" s="134">
        <f t="shared" ref="H74:H78" si="35">G74/C74*100</f>
        <v>46.237822222222228</v>
      </c>
      <c r="I74" s="134">
        <f t="shared" ref="I74:I76" si="36">(D74*H74)/100</f>
        <v>10.518889064425416</v>
      </c>
      <c r="J74" s="6">
        <f t="shared" ref="J74:J76" si="37">G74-C74</f>
        <v>-29031576</v>
      </c>
      <c r="K74" s="163"/>
      <c r="L74" s="4"/>
      <c r="M74" s="730"/>
      <c r="N74" s="4"/>
      <c r="O74" s="4"/>
      <c r="P74" s="4"/>
      <c r="Q74" s="4"/>
      <c r="R74" s="9"/>
    </row>
    <row r="75" spans="1:18" x14ac:dyDescent="0.25">
      <c r="A75" s="49" t="s">
        <v>472</v>
      </c>
      <c r="B75" s="78" t="s">
        <v>73</v>
      </c>
      <c r="C75" s="56">
        <v>39000000</v>
      </c>
      <c r="D75" s="200">
        <f>C75/C73*100</f>
        <v>16.430218964264274</v>
      </c>
      <c r="E75" s="134">
        <f t="shared" si="33"/>
        <v>35.5578</v>
      </c>
      <c r="F75" s="134">
        <f t="shared" si="34"/>
        <v>5.8422243988751621</v>
      </c>
      <c r="G75" s="6">
        <f>12994252+873290</f>
        <v>13867542</v>
      </c>
      <c r="H75" s="134">
        <f t="shared" si="35"/>
        <v>35.5578</v>
      </c>
      <c r="I75" s="134">
        <f t="shared" si="36"/>
        <v>5.8422243988751621</v>
      </c>
      <c r="J75" s="6">
        <f t="shared" si="37"/>
        <v>-25132458</v>
      </c>
      <c r="K75" s="163"/>
      <c r="L75" s="4"/>
      <c r="M75" s="730"/>
      <c r="N75" s="4"/>
      <c r="O75" s="4"/>
      <c r="P75" s="4"/>
      <c r="Q75" s="4"/>
      <c r="R75" s="9"/>
    </row>
    <row r="76" spans="1:18" x14ac:dyDescent="0.25">
      <c r="A76" s="49" t="s">
        <v>473</v>
      </c>
      <c r="B76" s="78" t="s">
        <v>75</v>
      </c>
      <c r="C76" s="56">
        <v>144367500</v>
      </c>
      <c r="D76" s="200">
        <f>C76/C73*100</f>
        <v>60.820247085215961</v>
      </c>
      <c r="E76" s="134">
        <f t="shared" si="33"/>
        <v>57.663571094602318</v>
      </c>
      <c r="F76" s="134">
        <f t="shared" si="34"/>
        <v>35.071126417896295</v>
      </c>
      <c r="G76" s="6">
        <f>80577956+2669500</f>
        <v>83247456</v>
      </c>
      <c r="H76" s="134">
        <f t="shared" si="35"/>
        <v>57.663571094602318</v>
      </c>
      <c r="I76" s="134">
        <f t="shared" si="36"/>
        <v>35.071126417896295</v>
      </c>
      <c r="J76" s="6">
        <f t="shared" si="37"/>
        <v>-61120044</v>
      </c>
      <c r="K76" s="163"/>
      <c r="L76" s="4"/>
      <c r="M76" s="4"/>
      <c r="N76" s="4"/>
      <c r="O76" s="4"/>
      <c r="P76" s="4"/>
      <c r="Q76" s="4"/>
      <c r="R76" s="9"/>
    </row>
    <row r="77" spans="1:18" x14ac:dyDescent="0.25">
      <c r="A77" s="238" t="s">
        <v>505</v>
      </c>
      <c r="B77" s="238" t="s">
        <v>76</v>
      </c>
      <c r="C77" s="239">
        <f>SUM(C78:C78)</f>
        <v>20000000</v>
      </c>
      <c r="D77" s="241"/>
      <c r="E77" s="242"/>
      <c r="F77" s="242"/>
      <c r="G77" s="791">
        <v>0</v>
      </c>
      <c r="H77" s="242"/>
      <c r="I77" s="242"/>
      <c r="J77" s="791">
        <v>0</v>
      </c>
      <c r="K77" s="237"/>
      <c r="L77" s="4"/>
      <c r="M77" s="4"/>
      <c r="N77" s="4"/>
      <c r="O77" s="4"/>
      <c r="P77" s="4"/>
      <c r="Q77" s="4"/>
      <c r="R77" s="9"/>
    </row>
    <row r="78" spans="1:18" ht="14.25" customHeight="1" thickBot="1" x14ac:dyDescent="0.3">
      <c r="A78" s="49" t="s">
        <v>450</v>
      </c>
      <c r="B78" s="707" t="s">
        <v>384</v>
      </c>
      <c r="C78" s="56">
        <v>20000000</v>
      </c>
      <c r="D78" s="200">
        <f>C78/C77*100</f>
        <v>100</v>
      </c>
      <c r="E78" s="134">
        <f t="shared" ref="E78" si="38">G78/C78*100</f>
        <v>42.5</v>
      </c>
      <c r="F78" s="134">
        <f t="shared" ref="F78" si="39">(D78*E78)/100</f>
        <v>42.5</v>
      </c>
      <c r="G78" s="6">
        <f>8500000</f>
        <v>8500000</v>
      </c>
      <c r="H78" s="134">
        <f t="shared" si="35"/>
        <v>42.5</v>
      </c>
      <c r="I78" s="134">
        <f t="shared" ref="I78" si="40">(D78*H78)/100</f>
        <v>42.5</v>
      </c>
      <c r="J78" s="6">
        <f>G78-C78</f>
        <v>-11500000</v>
      </c>
      <c r="K78" s="163"/>
      <c r="L78" s="4"/>
      <c r="M78" s="4"/>
      <c r="N78" s="4"/>
      <c r="O78" s="4"/>
      <c r="P78" s="4"/>
      <c r="Q78" s="4"/>
      <c r="R78" s="9"/>
    </row>
    <row r="79" spans="1:18" ht="26.25" thickBot="1" x14ac:dyDescent="0.3">
      <c r="A79" s="689" t="s">
        <v>506</v>
      </c>
      <c r="B79" s="692" t="s">
        <v>377</v>
      </c>
      <c r="C79" s="690"/>
      <c r="D79" s="216"/>
      <c r="E79" s="134"/>
      <c r="F79" s="134"/>
      <c r="G79" s="6">
        <v>0</v>
      </c>
      <c r="H79" s="134"/>
      <c r="I79" s="134"/>
      <c r="J79" s="6">
        <v>0</v>
      </c>
      <c r="K79" s="163"/>
      <c r="L79" s="4"/>
      <c r="M79" s="4"/>
      <c r="N79" s="4"/>
      <c r="O79" s="694"/>
      <c r="P79" s="4"/>
      <c r="Q79" s="4"/>
      <c r="R79" s="9"/>
    </row>
    <row r="80" spans="1:18" ht="26.25" x14ac:dyDescent="0.25">
      <c r="A80" s="693" t="s">
        <v>507</v>
      </c>
      <c r="B80" s="691" t="s">
        <v>474</v>
      </c>
      <c r="C80" s="234">
        <f>SUM(C81:C85)</f>
        <v>151843982</v>
      </c>
      <c r="D80" s="241"/>
      <c r="E80" s="242"/>
      <c r="F80" s="242"/>
      <c r="G80" s="791">
        <v>0</v>
      </c>
      <c r="H80" s="242"/>
      <c r="I80" s="242"/>
      <c r="J80" s="791">
        <v>0</v>
      </c>
      <c r="K80" s="244"/>
      <c r="L80" s="4"/>
      <c r="M80" s="4"/>
      <c r="N80" s="4"/>
      <c r="O80" s="4"/>
      <c r="P80" s="4"/>
      <c r="Q80" s="4"/>
      <c r="R80" s="9"/>
    </row>
    <row r="81" spans="1:18" s="783" customFormat="1" ht="25.5" x14ac:dyDescent="0.25">
      <c r="A81" s="801" t="s">
        <v>450</v>
      </c>
      <c r="B81" s="707" t="s">
        <v>384</v>
      </c>
      <c r="C81" s="788">
        <v>7330000</v>
      </c>
      <c r="D81" s="741"/>
      <c r="E81" s="742"/>
      <c r="F81" s="742"/>
      <c r="G81" s="6">
        <f>3670000</f>
        <v>3670000</v>
      </c>
      <c r="H81" s="742"/>
      <c r="I81" s="742"/>
      <c r="J81" s="6">
        <f t="shared" ref="J81:J85" si="41">G81-C81</f>
        <v>-3660000</v>
      </c>
      <c r="K81" s="743"/>
      <c r="L81" s="737"/>
      <c r="M81" s="737"/>
      <c r="N81" s="737"/>
      <c r="O81" s="737"/>
      <c r="P81" s="737"/>
      <c r="Q81" s="737"/>
      <c r="R81" s="782"/>
    </row>
    <row r="82" spans="1:18" x14ac:dyDescent="0.25">
      <c r="A82" s="224" t="s">
        <v>475</v>
      </c>
      <c r="B82" s="78" t="s">
        <v>81</v>
      </c>
      <c r="C82" s="56">
        <v>79356018</v>
      </c>
      <c r="D82" s="200">
        <f>C82/C80*100</f>
        <v>52.261549621373874</v>
      </c>
      <c r="E82" s="134">
        <f t="shared" ref="E82:E85" si="42">G82/C82*100</f>
        <v>67.831431511596264</v>
      </c>
      <c r="F82" s="134">
        <f t="shared" ref="F82:F85" si="43">(D82*E82)/100</f>
        <v>35.449757238321119</v>
      </c>
      <c r="G82" s="6">
        <f>53828323</f>
        <v>53828323</v>
      </c>
      <c r="H82" s="134">
        <f t="shared" ref="H82:H85" si="44">G82/C82*100</f>
        <v>67.831431511596264</v>
      </c>
      <c r="I82" s="134">
        <f t="shared" ref="I82:I85" si="45">(D82*H82)/100</f>
        <v>35.449757238321119</v>
      </c>
      <c r="J82" s="6">
        <f t="shared" si="41"/>
        <v>-25527695</v>
      </c>
      <c r="K82" s="56"/>
      <c r="L82" s="4"/>
      <c r="M82" s="4"/>
      <c r="N82" s="4"/>
      <c r="O82" s="4"/>
      <c r="P82" s="4"/>
      <c r="Q82" s="4"/>
      <c r="R82" s="9"/>
    </row>
    <row r="83" spans="1:18" x14ac:dyDescent="0.25">
      <c r="A83" s="49" t="s">
        <v>476</v>
      </c>
      <c r="B83" s="78" t="s">
        <v>83</v>
      </c>
      <c r="C83" s="56">
        <v>22600000</v>
      </c>
      <c r="D83" s="200">
        <f>C83/C80*100</f>
        <v>14.883698189632566</v>
      </c>
      <c r="E83" s="134">
        <f t="shared" si="42"/>
        <v>23.787610619469028</v>
      </c>
      <c r="F83" s="134">
        <f t="shared" si="43"/>
        <v>3.5404761711267558</v>
      </c>
      <c r="G83" s="6">
        <f>5376000</f>
        <v>5376000</v>
      </c>
      <c r="H83" s="134">
        <f t="shared" si="44"/>
        <v>23.787610619469028</v>
      </c>
      <c r="I83" s="134">
        <f t="shared" si="45"/>
        <v>3.5404761711267558</v>
      </c>
      <c r="J83" s="6">
        <f t="shared" si="41"/>
        <v>-17224000</v>
      </c>
      <c r="K83" s="56"/>
      <c r="L83" s="4"/>
      <c r="M83" s="4"/>
      <c r="N83" s="4"/>
      <c r="O83" s="4"/>
      <c r="P83" s="4"/>
      <c r="Q83" s="4"/>
      <c r="R83" s="9"/>
    </row>
    <row r="84" spans="1:18" x14ac:dyDescent="0.25">
      <c r="A84" s="49" t="s">
        <v>477</v>
      </c>
      <c r="B84" s="78" t="s">
        <v>85</v>
      </c>
      <c r="C84" s="56">
        <v>13307964</v>
      </c>
      <c r="D84" s="200">
        <f>C84/C80*100</f>
        <v>8.7642353847121832</v>
      </c>
      <c r="E84" s="134">
        <f t="shared" si="42"/>
        <v>2.6856099099757107</v>
      </c>
      <c r="F84" s="134">
        <f t="shared" si="43"/>
        <v>0.23537317402542826</v>
      </c>
      <c r="G84" s="6">
        <f>357400</f>
        <v>357400</v>
      </c>
      <c r="H84" s="134">
        <f t="shared" si="44"/>
        <v>2.6856099099757107</v>
      </c>
      <c r="I84" s="134">
        <f t="shared" si="45"/>
        <v>0.23537317402542826</v>
      </c>
      <c r="J84" s="6">
        <f t="shared" si="41"/>
        <v>-12950564</v>
      </c>
      <c r="K84" s="56"/>
      <c r="L84" s="4"/>
      <c r="M84" s="4"/>
      <c r="N84" s="4"/>
      <c r="O84" s="713"/>
      <c r="P84" s="4"/>
      <c r="Q84" s="4"/>
      <c r="R84" s="9"/>
    </row>
    <row r="85" spans="1:18" ht="25.5" x14ac:dyDescent="0.25">
      <c r="A85" s="49" t="s">
        <v>478</v>
      </c>
      <c r="B85" s="77" t="s">
        <v>87</v>
      </c>
      <c r="C85" s="56">
        <v>29250000</v>
      </c>
      <c r="D85" s="200">
        <f>C85/C80*100</f>
        <v>19.263193453396134</v>
      </c>
      <c r="E85" s="134">
        <f t="shared" si="42"/>
        <v>23.721367521367519</v>
      </c>
      <c r="F85" s="134">
        <f t="shared" si="43"/>
        <v>4.5694929154321047</v>
      </c>
      <c r="G85" s="6">
        <f>6938500</f>
        <v>6938500</v>
      </c>
      <c r="H85" s="134">
        <f t="shared" si="44"/>
        <v>23.721367521367519</v>
      </c>
      <c r="I85" s="134">
        <f t="shared" si="45"/>
        <v>4.5694929154321047</v>
      </c>
      <c r="J85" s="6">
        <f t="shared" si="41"/>
        <v>-22311500</v>
      </c>
      <c r="K85" s="56"/>
      <c r="L85" s="4"/>
      <c r="M85" s="4"/>
      <c r="N85" s="4"/>
      <c r="O85" s="4"/>
      <c r="P85" s="4"/>
      <c r="Q85" s="4"/>
      <c r="R85" s="9"/>
    </row>
    <row r="86" spans="1:18" s="796" customFormat="1" x14ac:dyDescent="0.25">
      <c r="A86" s="799" t="s">
        <v>483</v>
      </c>
      <c r="B86" s="691" t="s">
        <v>479</v>
      </c>
      <c r="C86" s="800">
        <f>SUM(C87:C89)</f>
        <v>30280000</v>
      </c>
      <c r="D86" s="789"/>
      <c r="E86" s="790"/>
      <c r="F86" s="790"/>
      <c r="G86" s="791">
        <v>0</v>
      </c>
      <c r="H86" s="790"/>
      <c r="I86" s="790"/>
      <c r="J86" s="791">
        <v>0</v>
      </c>
      <c r="K86" s="792"/>
      <c r="L86" s="794"/>
      <c r="M86" s="794"/>
      <c r="N86" s="794"/>
      <c r="O86" s="794"/>
      <c r="P86" s="794"/>
      <c r="Q86" s="794"/>
      <c r="R86" s="795"/>
    </row>
    <row r="87" spans="1:18" ht="25.5" x14ac:dyDescent="0.25">
      <c r="A87" s="49" t="s">
        <v>484</v>
      </c>
      <c r="B87" s="77" t="s">
        <v>480</v>
      </c>
      <c r="C87" s="56">
        <v>4110000</v>
      </c>
      <c r="D87" s="200"/>
      <c r="E87" s="134"/>
      <c r="F87" s="134"/>
      <c r="G87" s="132">
        <f>2870000</f>
        <v>2870000</v>
      </c>
      <c r="H87" s="134"/>
      <c r="I87" s="134"/>
      <c r="J87" s="6">
        <f t="shared" ref="J87:J89" si="46">G87-C87</f>
        <v>-1240000</v>
      </c>
      <c r="K87" s="56"/>
      <c r="L87" s="4"/>
      <c r="M87" s="4"/>
      <c r="N87" s="4"/>
      <c r="O87" s="4"/>
      <c r="P87" s="4"/>
      <c r="Q87" s="4"/>
      <c r="R87" s="9"/>
    </row>
    <row r="88" spans="1:18" ht="25.5" x14ac:dyDescent="0.25">
      <c r="A88" s="49" t="s">
        <v>485</v>
      </c>
      <c r="B88" s="77" t="s">
        <v>481</v>
      </c>
      <c r="C88" s="56">
        <v>14490000</v>
      </c>
      <c r="D88" s="200"/>
      <c r="E88" s="134"/>
      <c r="F88" s="134"/>
      <c r="G88" s="6">
        <f>6300000</f>
        <v>6300000</v>
      </c>
      <c r="H88" s="134"/>
      <c r="I88" s="134"/>
      <c r="J88" s="6">
        <f t="shared" si="46"/>
        <v>-8190000</v>
      </c>
      <c r="K88" s="56"/>
      <c r="L88" s="4"/>
      <c r="M88" s="4"/>
      <c r="N88" s="4"/>
      <c r="O88" s="4"/>
      <c r="P88" s="4"/>
      <c r="Q88" s="4"/>
      <c r="R88" s="9"/>
    </row>
    <row r="89" spans="1:18" ht="25.5" x14ac:dyDescent="0.25">
      <c r="A89" s="49" t="s">
        <v>486</v>
      </c>
      <c r="B89" s="77" t="s">
        <v>482</v>
      </c>
      <c r="C89" s="56">
        <v>11680000</v>
      </c>
      <c r="D89" s="200"/>
      <c r="E89" s="134"/>
      <c r="F89" s="134"/>
      <c r="G89" s="132">
        <f>8865000</f>
        <v>8865000</v>
      </c>
      <c r="H89" s="134"/>
      <c r="I89" s="134"/>
      <c r="J89" s="6">
        <f t="shared" si="46"/>
        <v>-2815000</v>
      </c>
      <c r="K89" s="56"/>
      <c r="L89" s="4"/>
      <c r="M89" s="4"/>
      <c r="N89" s="4"/>
      <c r="O89" s="4"/>
      <c r="P89" s="4"/>
      <c r="Q89" s="4"/>
      <c r="R89" s="9"/>
    </row>
    <row r="90" spans="1:18" s="796" customFormat="1" ht="25.5" x14ac:dyDescent="0.25">
      <c r="A90" s="799" t="s">
        <v>508</v>
      </c>
      <c r="B90" s="802" t="s">
        <v>90</v>
      </c>
      <c r="C90" s="800">
        <v>107280000</v>
      </c>
      <c r="D90" s="789"/>
      <c r="E90" s="790"/>
      <c r="F90" s="790"/>
      <c r="G90" s="791"/>
      <c r="H90" s="790"/>
      <c r="I90" s="790"/>
      <c r="J90" s="791"/>
      <c r="K90" s="792"/>
      <c r="L90" s="794"/>
      <c r="M90" s="794"/>
      <c r="N90" s="794"/>
      <c r="O90" s="794"/>
      <c r="P90" s="794"/>
      <c r="Q90" s="794"/>
      <c r="R90" s="795"/>
    </row>
    <row r="91" spans="1:18" ht="25.5" x14ac:dyDescent="0.25">
      <c r="A91" s="49" t="s">
        <v>487</v>
      </c>
      <c r="B91" s="77" t="s">
        <v>509</v>
      </c>
      <c r="C91" s="56">
        <v>107280000</v>
      </c>
      <c r="D91" s="200"/>
      <c r="E91" s="134"/>
      <c r="F91" s="134"/>
      <c r="G91" s="132">
        <f>1093000</f>
        <v>1093000</v>
      </c>
      <c r="H91" s="134"/>
      <c r="I91" s="134"/>
      <c r="J91" s="6">
        <f>G91-C91</f>
        <v>-106187000</v>
      </c>
      <c r="K91" s="56"/>
      <c r="L91" s="4"/>
      <c r="M91" s="4"/>
      <c r="N91" s="4"/>
      <c r="O91" s="4"/>
      <c r="P91" s="4"/>
      <c r="Q91" s="4"/>
      <c r="R91" s="9"/>
    </row>
    <row r="92" spans="1:18" ht="25.5" x14ac:dyDescent="0.25">
      <c r="A92" s="238" t="s">
        <v>510</v>
      </c>
      <c r="B92" s="240" t="s">
        <v>90</v>
      </c>
      <c r="C92" s="239">
        <v>47010000</v>
      </c>
      <c r="D92" s="241"/>
      <c r="E92" s="242"/>
      <c r="F92" s="242"/>
      <c r="G92" s="791">
        <v>0</v>
      </c>
      <c r="H92" s="242"/>
      <c r="I92" s="242"/>
      <c r="J92" s="791">
        <v>0</v>
      </c>
      <c r="K92" s="244"/>
      <c r="L92" s="4"/>
      <c r="M92" s="4"/>
      <c r="N92" s="4"/>
      <c r="O92" s="4"/>
      <c r="P92" s="4"/>
      <c r="Q92" s="4"/>
      <c r="R92" s="9"/>
    </row>
    <row r="93" spans="1:18" s="783" customFormat="1" x14ac:dyDescent="0.25">
      <c r="A93" s="124" t="s">
        <v>448</v>
      </c>
      <c r="B93" s="707" t="s">
        <v>445</v>
      </c>
      <c r="C93" s="743">
        <v>170000</v>
      </c>
      <c r="D93" s="741"/>
      <c r="E93" s="742"/>
      <c r="F93" s="742"/>
      <c r="G93" s="6">
        <v>0</v>
      </c>
      <c r="H93" s="742"/>
      <c r="I93" s="742"/>
      <c r="J93" s="6">
        <f t="shared" ref="J93:J95" si="47">G93-C93</f>
        <v>-170000</v>
      </c>
      <c r="K93" s="743"/>
      <c r="L93" s="737"/>
      <c r="M93" s="737"/>
      <c r="N93" s="737"/>
      <c r="O93" s="737"/>
      <c r="P93" s="737"/>
      <c r="Q93" s="737"/>
      <c r="R93" s="782"/>
    </row>
    <row r="94" spans="1:18" x14ac:dyDescent="0.25">
      <c r="A94" s="49" t="s">
        <v>490</v>
      </c>
      <c r="B94" s="316" t="s">
        <v>488</v>
      </c>
      <c r="C94" s="56">
        <v>8500000</v>
      </c>
      <c r="D94" s="200">
        <f>C94/C92*100</f>
        <v>18.081259306530526</v>
      </c>
      <c r="E94" s="134">
        <f t="shared" ref="E94:E95" si="48">G94/C94*100</f>
        <v>0</v>
      </c>
      <c r="F94" s="134">
        <f t="shared" ref="F94:F95" si="49">(D94*E94)/100</f>
        <v>0</v>
      </c>
      <c r="G94" s="6">
        <v>0</v>
      </c>
      <c r="H94" s="134">
        <f t="shared" ref="H94:H95" si="50">G94/C94*100</f>
        <v>0</v>
      </c>
      <c r="I94" s="134">
        <f t="shared" ref="I94:I95" si="51">(D94*H94)/100</f>
        <v>0</v>
      </c>
      <c r="J94" s="6">
        <f t="shared" si="47"/>
        <v>-8500000</v>
      </c>
      <c r="K94" s="56"/>
      <c r="L94" s="4"/>
      <c r="M94" s="4"/>
      <c r="N94" s="4"/>
      <c r="O94" s="4"/>
      <c r="P94" s="4"/>
      <c r="Q94" s="4"/>
      <c r="R94" s="9"/>
    </row>
    <row r="95" spans="1:18" ht="25.5" x14ac:dyDescent="0.25">
      <c r="A95" s="49" t="s">
        <v>491</v>
      </c>
      <c r="B95" s="77" t="s">
        <v>489</v>
      </c>
      <c r="C95" s="56">
        <v>38340000</v>
      </c>
      <c r="D95" s="200">
        <f>C95/C92*100</f>
        <v>81.557115507338864</v>
      </c>
      <c r="E95" s="134">
        <f t="shared" si="48"/>
        <v>56.966158059467922</v>
      </c>
      <c r="F95" s="134">
        <f t="shared" si="49"/>
        <v>46.459955328653479</v>
      </c>
      <c r="G95" s="138">
        <f>13220925+8619900</f>
        <v>21840825</v>
      </c>
      <c r="H95" s="134">
        <f t="shared" si="50"/>
        <v>56.966158059467922</v>
      </c>
      <c r="I95" s="134">
        <f t="shared" si="51"/>
        <v>46.459955328653479</v>
      </c>
      <c r="J95" s="6">
        <f t="shared" si="47"/>
        <v>-16499175</v>
      </c>
      <c r="K95" s="56"/>
      <c r="L95" s="4"/>
      <c r="M95" s="695"/>
      <c r="N95" s="4"/>
      <c r="O95" s="4"/>
      <c r="P95" s="4"/>
      <c r="Q95" s="4"/>
      <c r="R95" s="9"/>
    </row>
    <row r="96" spans="1:18" x14ac:dyDescent="0.25">
      <c r="A96" s="1045" t="s">
        <v>95</v>
      </c>
      <c r="B96" s="1046"/>
      <c r="C96" s="1047"/>
      <c r="D96" s="81"/>
      <c r="E96" s="134"/>
      <c r="F96" s="134"/>
      <c r="G96" s="768">
        <f>SUM(G12:G95)</f>
        <v>8542050213</v>
      </c>
      <c r="H96" s="134"/>
      <c r="I96" s="134"/>
      <c r="J96" s="781">
        <v>0</v>
      </c>
      <c r="K96" s="130"/>
      <c r="L96" s="1"/>
      <c r="M96" s="1"/>
      <c r="N96" s="1"/>
      <c r="O96" s="1"/>
      <c r="P96" s="1"/>
      <c r="Q96" s="1"/>
      <c r="R96" s="1"/>
    </row>
    <row r="97" spans="1:18" x14ac:dyDescent="0.25">
      <c r="A97" s="50"/>
      <c r="B97" s="5"/>
      <c r="C97" s="50"/>
      <c r="D97" s="9"/>
      <c r="E97" s="23"/>
      <c r="F97" s="23"/>
      <c r="G97" s="11"/>
      <c r="H97" s="23"/>
      <c r="I97" s="23"/>
      <c r="J97" s="4"/>
      <c r="K97" s="9"/>
      <c r="L97" s="1"/>
      <c r="M97" s="1"/>
      <c r="N97" s="1"/>
      <c r="O97" s="1"/>
      <c r="P97" s="1"/>
      <c r="Q97" s="1"/>
      <c r="R97" s="1"/>
    </row>
    <row r="98" spans="1:18" x14ac:dyDescent="0.25">
      <c r="A98" s="1036" t="s">
        <v>0</v>
      </c>
      <c r="B98" s="1036"/>
      <c r="C98" s="1036"/>
      <c r="D98" s="1036"/>
      <c r="E98" s="1037"/>
      <c r="F98" s="1037"/>
      <c r="G98" s="1038"/>
      <c r="H98" s="1037"/>
      <c r="I98" s="1037"/>
      <c r="J98" s="1036"/>
      <c r="K98" s="1036"/>
      <c r="L98" s="1"/>
      <c r="M98" s="1"/>
      <c r="N98" s="1"/>
      <c r="O98" s="1"/>
      <c r="P98" s="1"/>
      <c r="Q98" s="1"/>
      <c r="R98" s="1"/>
    </row>
    <row r="99" spans="1:18" x14ac:dyDescent="0.25">
      <c r="A99" s="1036" t="s">
        <v>511</v>
      </c>
      <c r="B99" s="1036"/>
      <c r="C99" s="1036"/>
      <c r="D99" s="1036"/>
      <c r="E99" s="1037"/>
      <c r="F99" s="1037"/>
      <c r="G99" s="1038"/>
      <c r="H99" s="1037"/>
      <c r="I99" s="1037"/>
      <c r="J99" s="1036"/>
      <c r="K99" s="1036"/>
      <c r="L99" s="9"/>
      <c r="M99" s="9"/>
      <c r="N99" s="9"/>
      <c r="O99" s="9"/>
      <c r="P99" s="9"/>
      <c r="Q99" s="9"/>
      <c r="R99" s="9"/>
    </row>
    <row r="100" spans="1:18" x14ac:dyDescent="0.25">
      <c r="A100" s="1161" t="s">
        <v>557</v>
      </c>
      <c r="B100" s="1161"/>
      <c r="C100" s="1161"/>
      <c r="D100" s="1161"/>
      <c r="E100" s="1161"/>
      <c r="F100" s="1161"/>
      <c r="G100" s="1161"/>
      <c r="H100" s="1161"/>
      <c r="I100" s="1161"/>
      <c r="J100" s="1161"/>
      <c r="K100" s="1161"/>
      <c r="L100" s="9"/>
      <c r="M100" s="9"/>
      <c r="N100" s="9"/>
      <c r="O100" s="9"/>
      <c r="P100" s="9"/>
      <c r="Q100" s="9"/>
      <c r="R100" s="9"/>
    </row>
    <row r="101" spans="1:18" x14ac:dyDescent="0.25">
      <c r="A101" s="1048" t="s">
        <v>2</v>
      </c>
      <c r="B101" s="1051" t="s">
        <v>3</v>
      </c>
      <c r="C101" s="1048" t="s">
        <v>4</v>
      </c>
      <c r="D101" s="1054" t="s">
        <v>5</v>
      </c>
      <c r="E101" s="1055"/>
      <c r="F101" s="1055"/>
      <c r="G101" s="1044" t="s">
        <v>6</v>
      </c>
      <c r="H101" s="1055"/>
      <c r="I101" s="1055"/>
      <c r="J101" s="1048" t="s">
        <v>7</v>
      </c>
      <c r="K101" s="213" t="s">
        <v>8</v>
      </c>
      <c r="L101" s="9"/>
      <c r="M101" s="9"/>
      <c r="N101" s="9"/>
      <c r="O101" s="9"/>
      <c r="P101" s="9"/>
      <c r="Q101" s="9"/>
      <c r="R101" s="9"/>
    </row>
    <row r="102" spans="1:18" x14ac:dyDescent="0.25">
      <c r="A102" s="1049"/>
      <c r="B102" s="1052"/>
      <c r="C102" s="1049"/>
      <c r="D102" s="209" t="s">
        <v>9</v>
      </c>
      <c r="E102" s="214" t="s">
        <v>10</v>
      </c>
      <c r="F102" s="214" t="s">
        <v>11</v>
      </c>
      <c r="G102" s="209" t="s">
        <v>12</v>
      </c>
      <c r="H102" s="214" t="s">
        <v>13</v>
      </c>
      <c r="I102" s="214" t="s">
        <v>11</v>
      </c>
      <c r="J102" s="1049"/>
      <c r="K102" s="209"/>
      <c r="L102" s="1"/>
      <c r="M102" s="1"/>
      <c r="N102" s="1"/>
      <c r="O102" s="1"/>
      <c r="P102" s="1"/>
      <c r="Q102" s="1"/>
      <c r="R102" s="1"/>
    </row>
    <row r="103" spans="1:18" x14ac:dyDescent="0.25">
      <c r="A103" s="1050"/>
      <c r="B103" s="1053"/>
      <c r="C103" s="1050"/>
      <c r="D103" s="212" t="s">
        <v>14</v>
      </c>
      <c r="E103" s="215" t="s">
        <v>14</v>
      </c>
      <c r="F103" s="215" t="s">
        <v>14</v>
      </c>
      <c r="G103" s="212" t="s">
        <v>15</v>
      </c>
      <c r="H103" s="215" t="s">
        <v>14</v>
      </c>
      <c r="I103" s="215" t="s">
        <v>14</v>
      </c>
      <c r="J103" s="212" t="s">
        <v>15</v>
      </c>
      <c r="K103" s="212"/>
      <c r="L103" s="1"/>
      <c r="M103" s="1"/>
      <c r="N103" s="1"/>
      <c r="O103" s="1"/>
      <c r="P103" s="1"/>
      <c r="Q103" s="1"/>
      <c r="R103" s="1"/>
    </row>
    <row r="104" spans="1:18" ht="26.25" thickBot="1" x14ac:dyDescent="0.3">
      <c r="A104" s="227" t="s">
        <v>220</v>
      </c>
      <c r="B104" s="704" t="s">
        <v>212</v>
      </c>
      <c r="C104" s="245">
        <f>SUM(C105:C105)</f>
        <v>1071720000</v>
      </c>
      <c r="D104" s="6"/>
      <c r="E104" s="203"/>
      <c r="F104" s="204"/>
      <c r="G104" s="6"/>
      <c r="H104" s="204"/>
      <c r="I104" s="204"/>
      <c r="J104" s="6"/>
      <c r="K104" s="6"/>
      <c r="L104" s="1"/>
      <c r="M104" s="1"/>
      <c r="N104" s="1"/>
      <c r="O104" s="714"/>
      <c r="P104" s="1"/>
      <c r="Q104" s="1"/>
      <c r="R104" s="1"/>
    </row>
    <row r="105" spans="1:18" ht="26.25" thickBot="1" x14ac:dyDescent="0.3">
      <c r="A105" s="703" t="s">
        <v>180</v>
      </c>
      <c r="B105" s="705" t="s">
        <v>379</v>
      </c>
      <c r="C105" s="246">
        <f>SUM(C106:C106)</f>
        <v>1071720000</v>
      </c>
      <c r="D105" s="226"/>
      <c r="E105" s="204"/>
      <c r="F105" s="204"/>
      <c r="G105" s="6"/>
      <c r="H105" s="204"/>
      <c r="I105" s="204"/>
      <c r="J105" s="6"/>
      <c r="K105" s="6"/>
      <c r="L105" s="1"/>
      <c r="M105" s="1"/>
      <c r="N105" s="1"/>
      <c r="O105" s="1"/>
      <c r="P105" s="1"/>
      <c r="Q105" s="1"/>
      <c r="R105" s="1"/>
    </row>
    <row r="106" spans="1:18" ht="25.5" x14ac:dyDescent="0.25">
      <c r="A106" s="698" t="s">
        <v>181</v>
      </c>
      <c r="B106" s="706" t="s">
        <v>380</v>
      </c>
      <c r="C106" s="246">
        <f>SUM(C107:C128)</f>
        <v>1071720000</v>
      </c>
      <c r="D106" s="236"/>
      <c r="E106" s="278"/>
      <c r="F106" s="278"/>
      <c r="G106" s="236"/>
      <c r="H106" s="278"/>
      <c r="I106" s="278"/>
      <c r="J106" s="236"/>
      <c r="K106" s="236"/>
      <c r="L106" s="1"/>
      <c r="M106" s="1"/>
      <c r="N106" s="1"/>
      <c r="O106" s="715"/>
      <c r="P106" s="1"/>
      <c r="Q106" s="1"/>
      <c r="R106" s="1"/>
    </row>
    <row r="107" spans="1:18" ht="15" customHeight="1" x14ac:dyDescent="0.25">
      <c r="A107" s="315" t="s">
        <v>44</v>
      </c>
      <c r="B107" s="707" t="s">
        <v>384</v>
      </c>
      <c r="C107" s="722">
        <v>53020000</v>
      </c>
      <c r="D107" s="722">
        <f>C107/C105*100</f>
        <v>4.947187698279401</v>
      </c>
      <c r="E107" s="134">
        <f t="shared" ref="E107:E127" si="52">G107/C107*100</f>
        <v>57.431158053564687</v>
      </c>
      <c r="F107" s="134">
        <f t="shared" ref="F107:F127" si="53">(D107*E107)/100</f>
        <v>2.841227186205352</v>
      </c>
      <c r="G107" s="6">
        <f>30450000</f>
        <v>30450000</v>
      </c>
      <c r="H107" s="134">
        <f t="shared" ref="H107:H127" si="54">G107/C107*100</f>
        <v>57.431158053564687</v>
      </c>
      <c r="I107" s="134">
        <f t="shared" ref="I107:I127" si="55">(D107*H107)/100</f>
        <v>2.841227186205352</v>
      </c>
      <c r="J107" s="6">
        <f t="shared" ref="J107:J128" si="56">G107-C107</f>
        <v>-22570000</v>
      </c>
      <c r="K107" s="6"/>
      <c r="L107" s="1"/>
      <c r="M107" s="1"/>
      <c r="N107" s="1"/>
      <c r="O107" s="1"/>
      <c r="P107" s="1"/>
      <c r="Q107" s="1"/>
      <c r="R107" s="1"/>
    </row>
    <row r="108" spans="1:18" ht="15" customHeight="1" x14ac:dyDescent="0.25">
      <c r="A108" s="315" t="s">
        <v>518</v>
      </c>
      <c r="B108" s="707" t="s">
        <v>512</v>
      </c>
      <c r="C108" s="722">
        <v>1500000</v>
      </c>
      <c r="D108" s="722"/>
      <c r="E108" s="134"/>
      <c r="F108" s="134"/>
      <c r="G108" s="6"/>
      <c r="H108" s="134"/>
      <c r="I108" s="134"/>
      <c r="J108" s="6">
        <f t="shared" si="56"/>
        <v>-1500000</v>
      </c>
      <c r="K108" s="6"/>
      <c r="L108" s="1"/>
      <c r="M108" s="1"/>
      <c r="N108" s="1"/>
      <c r="O108" s="1"/>
      <c r="P108" s="1"/>
      <c r="Q108" s="1"/>
      <c r="R108" s="1"/>
    </row>
    <row r="109" spans="1:18" x14ac:dyDescent="0.25">
      <c r="A109" s="315" t="s">
        <v>59</v>
      </c>
      <c r="B109" s="707" t="s">
        <v>197</v>
      </c>
      <c r="C109" s="247">
        <v>24044000</v>
      </c>
      <c r="D109" s="279">
        <f>C109/C105*100</f>
        <v>2.2434964356361737</v>
      </c>
      <c r="E109" s="134">
        <f t="shared" si="52"/>
        <v>76.00440858426218</v>
      </c>
      <c r="F109" s="134">
        <f t="shared" si="53"/>
        <v>1.7051561975142762</v>
      </c>
      <c r="G109" s="6">
        <f>13845500+4429000</f>
        <v>18274500</v>
      </c>
      <c r="H109" s="134">
        <f t="shared" si="54"/>
        <v>76.00440858426218</v>
      </c>
      <c r="I109" s="134">
        <f t="shared" si="55"/>
        <v>1.7051561975142762</v>
      </c>
      <c r="J109" s="6">
        <f t="shared" si="56"/>
        <v>-5769500</v>
      </c>
      <c r="K109" s="6"/>
      <c r="L109" s="1"/>
      <c r="M109" s="25"/>
    </row>
    <row r="110" spans="1:18" x14ac:dyDescent="0.25">
      <c r="A110" s="228" t="s">
        <v>62</v>
      </c>
      <c r="B110" s="707" t="s">
        <v>334</v>
      </c>
      <c r="C110" s="247">
        <v>25150000</v>
      </c>
      <c r="D110" s="279">
        <f>C110/C105*100</f>
        <v>2.3466950322845519</v>
      </c>
      <c r="E110" s="134">
        <f t="shared" si="52"/>
        <v>57.650497017892647</v>
      </c>
      <c r="F110" s="134">
        <f t="shared" si="53"/>
        <v>1.3528813496062404</v>
      </c>
      <c r="G110" s="6">
        <f>13799100+700000</f>
        <v>14499100</v>
      </c>
      <c r="H110" s="134">
        <f t="shared" si="54"/>
        <v>57.650497017892647</v>
      </c>
      <c r="I110" s="134">
        <f t="shared" si="55"/>
        <v>1.3528813496062404</v>
      </c>
      <c r="J110" s="6">
        <f t="shared" si="56"/>
        <v>-10650900</v>
      </c>
      <c r="K110" s="6"/>
      <c r="L110" s="1"/>
      <c r="M110" s="1"/>
      <c r="O110" s="716"/>
    </row>
    <row r="111" spans="1:18" x14ac:dyDescent="0.25">
      <c r="A111" s="315" t="s">
        <v>54</v>
      </c>
      <c r="B111" s="707" t="s">
        <v>386</v>
      </c>
      <c r="C111" s="248">
        <v>6000000</v>
      </c>
      <c r="D111" s="279">
        <f>C111/C105*100</f>
        <v>0.55984772141977379</v>
      </c>
      <c r="E111" s="134">
        <f t="shared" si="52"/>
        <v>0</v>
      </c>
      <c r="F111" s="134">
        <f t="shared" si="53"/>
        <v>0</v>
      </c>
      <c r="G111" s="6">
        <v>0</v>
      </c>
      <c r="H111" s="134">
        <f t="shared" si="54"/>
        <v>0</v>
      </c>
      <c r="I111" s="134">
        <f t="shared" si="55"/>
        <v>0</v>
      </c>
      <c r="J111" s="6">
        <f t="shared" si="56"/>
        <v>-6000000</v>
      </c>
      <c r="K111" s="6"/>
      <c r="L111" s="1"/>
      <c r="M111" s="1"/>
    </row>
    <row r="112" spans="1:18" ht="25.5" x14ac:dyDescent="0.25">
      <c r="A112" s="315" t="s">
        <v>86</v>
      </c>
      <c r="B112" s="707" t="s">
        <v>545</v>
      </c>
      <c r="C112" s="732">
        <v>6000000</v>
      </c>
      <c r="D112" s="279"/>
      <c r="E112" s="134"/>
      <c r="F112" s="134"/>
      <c r="G112" s="6">
        <f>6000000</f>
        <v>6000000</v>
      </c>
      <c r="H112" s="134"/>
      <c r="I112" s="134"/>
      <c r="J112" s="6">
        <f t="shared" si="56"/>
        <v>0</v>
      </c>
      <c r="K112" s="6"/>
      <c r="L112" s="1"/>
      <c r="M112" s="1"/>
    </row>
    <row r="113" spans="1:13" ht="25.5" x14ac:dyDescent="0.25">
      <c r="A113" s="315" t="s">
        <v>193</v>
      </c>
      <c r="B113" s="316" t="s">
        <v>372</v>
      </c>
      <c r="C113" s="732">
        <v>20000000</v>
      </c>
      <c r="D113" s="279">
        <f>C113/C105*100</f>
        <v>1.8661590713992462</v>
      </c>
      <c r="E113" s="134">
        <f t="shared" si="52"/>
        <v>8.6999999999999993</v>
      </c>
      <c r="F113" s="134">
        <f t="shared" si="53"/>
        <v>0.16235583921173441</v>
      </c>
      <c r="G113" s="6">
        <f>1740000</f>
        <v>1740000</v>
      </c>
      <c r="H113" s="134">
        <f t="shared" si="54"/>
        <v>8.6999999999999993</v>
      </c>
      <c r="I113" s="134">
        <f t="shared" si="55"/>
        <v>0.16235583921173441</v>
      </c>
      <c r="J113" s="6">
        <f t="shared" si="56"/>
        <v>-18260000</v>
      </c>
      <c r="K113" s="6"/>
      <c r="L113" s="1"/>
      <c r="M113" s="716"/>
    </row>
    <row r="114" spans="1:13" x14ac:dyDescent="0.25">
      <c r="A114" s="315" t="s">
        <v>519</v>
      </c>
      <c r="B114" s="315" t="s">
        <v>513</v>
      </c>
      <c r="C114" s="248">
        <v>2292000</v>
      </c>
      <c r="D114" s="279">
        <f>C114/C105*100</f>
        <v>0.21386182958235359</v>
      </c>
      <c r="E114" s="134">
        <v>0</v>
      </c>
      <c r="F114" s="134">
        <f t="shared" si="53"/>
        <v>0</v>
      </c>
      <c r="G114" s="6">
        <v>0</v>
      </c>
      <c r="H114" s="134">
        <v>0</v>
      </c>
      <c r="I114" s="134">
        <f t="shared" si="55"/>
        <v>0</v>
      </c>
      <c r="J114" s="6">
        <f t="shared" si="56"/>
        <v>-2292000</v>
      </c>
      <c r="K114" s="6"/>
      <c r="L114" s="1"/>
      <c r="M114" s="1"/>
    </row>
    <row r="115" spans="1:13" x14ac:dyDescent="0.25">
      <c r="A115" s="228" t="s">
        <v>77</v>
      </c>
      <c r="B115" s="315" t="s">
        <v>103</v>
      </c>
      <c r="C115" s="247">
        <v>325910000</v>
      </c>
      <c r="D115" s="279">
        <f>C115/C105*100</f>
        <v>30.409995147986415</v>
      </c>
      <c r="E115" s="134">
        <f t="shared" si="52"/>
        <v>51.880887361541525</v>
      </c>
      <c r="F115" s="134">
        <f t="shared" si="53"/>
        <v>15.776975329377073</v>
      </c>
      <c r="G115" s="6">
        <f>167675000+1410000</f>
        <v>169085000</v>
      </c>
      <c r="H115" s="134">
        <f t="shared" si="54"/>
        <v>51.880887361541525</v>
      </c>
      <c r="I115" s="134">
        <f t="shared" si="55"/>
        <v>15.776975329377073</v>
      </c>
      <c r="J115" s="6">
        <f t="shared" si="56"/>
        <v>-156825000</v>
      </c>
      <c r="K115" s="6"/>
      <c r="L115" s="1"/>
      <c r="M115" s="1"/>
    </row>
    <row r="116" spans="1:13" x14ac:dyDescent="0.25">
      <c r="A116" s="228" t="s">
        <v>225</v>
      </c>
      <c r="B116" s="315" t="s">
        <v>217</v>
      </c>
      <c r="C116" s="247">
        <v>600000</v>
      </c>
      <c r="D116" s="279">
        <f>C116/C105*100</f>
        <v>5.5984772141977376E-2</v>
      </c>
      <c r="E116" s="134">
        <f t="shared" si="52"/>
        <v>100</v>
      </c>
      <c r="F116" s="134">
        <f t="shared" si="53"/>
        <v>5.5984772141977376E-2</v>
      </c>
      <c r="G116" s="6">
        <f>600000</f>
        <v>600000</v>
      </c>
      <c r="H116" s="134">
        <f t="shared" si="54"/>
        <v>100</v>
      </c>
      <c r="I116" s="134">
        <f t="shared" si="55"/>
        <v>5.5984772141977376E-2</v>
      </c>
      <c r="J116" s="6">
        <f t="shared" si="56"/>
        <v>0</v>
      </c>
      <c r="K116" s="6"/>
      <c r="L116" s="1"/>
      <c r="M116" s="1"/>
    </row>
    <row r="117" spans="1:13" x14ac:dyDescent="0.25">
      <c r="A117" s="228" t="s">
        <v>283</v>
      </c>
      <c r="B117" s="315" t="s">
        <v>514</v>
      </c>
      <c r="C117" s="247">
        <v>5000000</v>
      </c>
      <c r="D117" s="279">
        <f>C117/C105*100</f>
        <v>0.46653976784981155</v>
      </c>
      <c r="E117" s="134">
        <f t="shared" si="52"/>
        <v>100</v>
      </c>
      <c r="F117" s="134">
        <f t="shared" si="53"/>
        <v>0.46653976784981155</v>
      </c>
      <c r="G117" s="6">
        <f>5000000</f>
        <v>5000000</v>
      </c>
      <c r="H117" s="134">
        <f t="shared" si="54"/>
        <v>100</v>
      </c>
      <c r="I117" s="134">
        <f t="shared" si="55"/>
        <v>0.46653976784981155</v>
      </c>
      <c r="J117" s="6">
        <f t="shared" si="56"/>
        <v>0</v>
      </c>
      <c r="K117" s="6"/>
      <c r="L117" s="1"/>
      <c r="M117" s="1"/>
    </row>
    <row r="118" spans="1:13" x14ac:dyDescent="0.25">
      <c r="A118" s="228" t="s">
        <v>104</v>
      </c>
      <c r="B118" s="315" t="s">
        <v>105</v>
      </c>
      <c r="C118" s="249">
        <v>76700000</v>
      </c>
      <c r="D118" s="279">
        <f>C118/C105*100</f>
        <v>7.1567200388161085</v>
      </c>
      <c r="E118" s="134">
        <f t="shared" si="52"/>
        <v>100</v>
      </c>
      <c r="F118" s="134">
        <f t="shared" si="53"/>
        <v>7.1567200388161085</v>
      </c>
      <c r="G118" s="6">
        <f>76700000</f>
        <v>76700000</v>
      </c>
      <c r="H118" s="134">
        <f t="shared" si="54"/>
        <v>100</v>
      </c>
      <c r="I118" s="134">
        <f t="shared" si="55"/>
        <v>7.1567200388161085</v>
      </c>
      <c r="J118" s="6">
        <f t="shared" si="56"/>
        <v>0</v>
      </c>
      <c r="K118" s="6"/>
      <c r="L118" s="1"/>
      <c r="M118" s="1"/>
    </row>
    <row r="119" spans="1:13" x14ac:dyDescent="0.25">
      <c r="A119" s="228" t="s">
        <v>130</v>
      </c>
      <c r="B119" s="315" t="s">
        <v>392</v>
      </c>
      <c r="C119" s="249">
        <v>28200000</v>
      </c>
      <c r="D119" s="279"/>
      <c r="E119" s="134"/>
      <c r="F119" s="134"/>
      <c r="G119" s="6">
        <f>28200000</f>
        <v>28200000</v>
      </c>
      <c r="H119" s="134"/>
      <c r="I119" s="134"/>
      <c r="J119" s="6">
        <f t="shared" si="56"/>
        <v>0</v>
      </c>
      <c r="K119" s="6"/>
      <c r="L119" s="1"/>
      <c r="M119" s="1"/>
    </row>
    <row r="120" spans="1:13" ht="25.5" x14ac:dyDescent="0.25">
      <c r="A120" s="228" t="s">
        <v>106</v>
      </c>
      <c r="B120" s="316" t="s">
        <v>107</v>
      </c>
      <c r="C120" s="251">
        <v>139200000</v>
      </c>
      <c r="D120" s="279">
        <f>C120/C105*100</f>
        <v>12.988467136938752</v>
      </c>
      <c r="E120" s="134">
        <f t="shared" si="52"/>
        <v>52.227011494252871</v>
      </c>
      <c r="F120" s="134">
        <f t="shared" si="53"/>
        <v>6.7834882245362591</v>
      </c>
      <c r="G120" s="135">
        <f>72700000</f>
        <v>72700000</v>
      </c>
      <c r="H120" s="134">
        <f t="shared" si="54"/>
        <v>52.227011494252871</v>
      </c>
      <c r="I120" s="134">
        <f t="shared" si="55"/>
        <v>6.7834882245362591</v>
      </c>
      <c r="J120" s="6">
        <f t="shared" si="56"/>
        <v>-66500000</v>
      </c>
      <c r="K120" s="6"/>
      <c r="L120" s="1"/>
      <c r="M120" s="1"/>
    </row>
    <row r="121" spans="1:13" x14ac:dyDescent="0.25">
      <c r="A121" s="228" t="s">
        <v>227</v>
      </c>
      <c r="B121" s="315" t="s">
        <v>218</v>
      </c>
      <c r="C121" s="250">
        <v>219000000</v>
      </c>
      <c r="D121" s="279">
        <f>C121/C105*100</f>
        <v>20.434441831821744</v>
      </c>
      <c r="E121" s="134">
        <f t="shared" si="52"/>
        <v>40</v>
      </c>
      <c r="F121" s="134">
        <f t="shared" si="53"/>
        <v>8.1737767327286974</v>
      </c>
      <c r="G121" s="6">
        <f>87600000</f>
        <v>87600000</v>
      </c>
      <c r="H121" s="134">
        <f t="shared" si="54"/>
        <v>40</v>
      </c>
      <c r="I121" s="134">
        <f t="shared" si="55"/>
        <v>8.1737767327286974</v>
      </c>
      <c r="J121" s="6">
        <f t="shared" si="56"/>
        <v>-131400000</v>
      </c>
      <c r="K121" s="6"/>
      <c r="L121" s="1"/>
      <c r="M121" s="1"/>
    </row>
    <row r="122" spans="1:13" x14ac:dyDescent="0.25">
      <c r="A122" s="315" t="s">
        <v>108</v>
      </c>
      <c r="B122" s="315" t="s">
        <v>109</v>
      </c>
      <c r="C122" s="250">
        <v>1200000</v>
      </c>
      <c r="D122" s="279">
        <f>C122/C105*100</f>
        <v>0.11196954428395475</v>
      </c>
      <c r="E122" s="134">
        <f t="shared" si="52"/>
        <v>0</v>
      </c>
      <c r="F122" s="134">
        <f t="shared" si="53"/>
        <v>0</v>
      </c>
      <c r="G122" s="6">
        <v>0</v>
      </c>
      <c r="H122" s="134">
        <f t="shared" si="54"/>
        <v>0</v>
      </c>
      <c r="I122" s="134">
        <f t="shared" si="55"/>
        <v>0</v>
      </c>
      <c r="J122" s="6">
        <f t="shared" si="56"/>
        <v>-1200000</v>
      </c>
      <c r="K122" s="6"/>
      <c r="L122" s="1"/>
      <c r="M122" s="1"/>
    </row>
    <row r="123" spans="1:13" x14ac:dyDescent="0.25">
      <c r="A123" s="83" t="s">
        <v>162</v>
      </c>
      <c r="B123" s="315" t="s">
        <v>515</v>
      </c>
      <c r="C123" s="250">
        <v>3000000</v>
      </c>
      <c r="D123" s="279">
        <f>C123/C105*100</f>
        <v>0.2799238607098869</v>
      </c>
      <c r="E123" s="134">
        <f t="shared" si="52"/>
        <v>40</v>
      </c>
      <c r="F123" s="134">
        <f t="shared" si="53"/>
        <v>0.11196954428395475</v>
      </c>
      <c r="G123" s="6">
        <f>1200000</f>
        <v>1200000</v>
      </c>
      <c r="H123" s="134">
        <f t="shared" si="54"/>
        <v>40</v>
      </c>
      <c r="I123" s="134">
        <f t="shared" si="55"/>
        <v>0.11196954428395475</v>
      </c>
      <c r="J123" s="6">
        <f t="shared" si="56"/>
        <v>-1800000</v>
      </c>
      <c r="K123" s="6"/>
      <c r="L123" s="1"/>
      <c r="M123" s="1"/>
    </row>
    <row r="124" spans="1:13" ht="25.5" x14ac:dyDescent="0.25">
      <c r="A124" s="315" t="s">
        <v>116</v>
      </c>
      <c r="B124" s="316" t="s">
        <v>516</v>
      </c>
      <c r="C124" s="250">
        <v>7603000</v>
      </c>
      <c r="D124" s="279">
        <f>C124/C105*100</f>
        <v>0.70942037099242339</v>
      </c>
      <c r="E124" s="134">
        <f t="shared" si="52"/>
        <v>13.054057608838615</v>
      </c>
      <c r="F124" s="134">
        <f t="shared" si="53"/>
        <v>9.2608143918187585E-2</v>
      </c>
      <c r="G124" s="6">
        <f>992500</f>
        <v>992500</v>
      </c>
      <c r="H124" s="134">
        <f t="shared" si="54"/>
        <v>13.054057608838615</v>
      </c>
      <c r="I124" s="134">
        <f t="shared" si="55"/>
        <v>9.2608143918187585E-2</v>
      </c>
      <c r="J124" s="6">
        <f t="shared" si="56"/>
        <v>-6610500</v>
      </c>
      <c r="K124" s="6"/>
      <c r="L124" s="1"/>
      <c r="M124" s="1"/>
    </row>
    <row r="125" spans="1:13" x14ac:dyDescent="0.25">
      <c r="A125" s="228" t="s">
        <v>65</v>
      </c>
      <c r="B125" s="315" t="s">
        <v>393</v>
      </c>
      <c r="C125" s="251">
        <v>43666000</v>
      </c>
      <c r="D125" s="279">
        <f>C125/C106*100</f>
        <v>4.0743851005859737</v>
      </c>
      <c r="E125" s="134">
        <f t="shared" si="52"/>
        <v>59.855173361425365</v>
      </c>
      <c r="F125" s="134">
        <f t="shared" si="53"/>
        <v>2.4387302653678198</v>
      </c>
      <c r="G125" s="6">
        <f>23176360+2960000</f>
        <v>26136360</v>
      </c>
      <c r="H125" s="134">
        <f t="shared" si="54"/>
        <v>59.855173361425365</v>
      </c>
      <c r="I125" s="134">
        <f t="shared" si="55"/>
        <v>2.4387302653678198</v>
      </c>
      <c r="J125" s="6">
        <f t="shared" si="56"/>
        <v>-17529640</v>
      </c>
      <c r="K125" s="6"/>
    </row>
    <row r="126" spans="1:13" x14ac:dyDescent="0.25">
      <c r="A126" s="228" t="s">
        <v>66</v>
      </c>
      <c r="B126" s="315" t="s">
        <v>120</v>
      </c>
      <c r="C126" s="251">
        <v>38885000</v>
      </c>
      <c r="D126" s="279">
        <f>C126/C107*100</f>
        <v>73.340248962655593</v>
      </c>
      <c r="E126" s="134">
        <f t="shared" si="52"/>
        <v>74.733187604474736</v>
      </c>
      <c r="F126" s="134">
        <f t="shared" si="53"/>
        <v>54.809505846850243</v>
      </c>
      <c r="G126" s="6">
        <f>29060000</f>
        <v>29060000</v>
      </c>
      <c r="H126" s="134">
        <v>0</v>
      </c>
      <c r="I126" s="134">
        <v>0</v>
      </c>
      <c r="J126" s="6">
        <f t="shared" si="56"/>
        <v>-9825000</v>
      </c>
      <c r="K126" s="6"/>
    </row>
    <row r="127" spans="1:13" x14ac:dyDescent="0.25">
      <c r="A127" s="315" t="s">
        <v>287</v>
      </c>
      <c r="B127" s="315" t="s">
        <v>191</v>
      </c>
      <c r="C127" s="250">
        <v>15000000</v>
      </c>
      <c r="D127" s="279">
        <f>C127/C105*100</f>
        <v>1.3996193035494346</v>
      </c>
      <c r="E127" s="134">
        <f t="shared" si="52"/>
        <v>0</v>
      </c>
      <c r="F127" s="134">
        <f t="shared" si="53"/>
        <v>0</v>
      </c>
      <c r="G127" s="6">
        <v>0</v>
      </c>
      <c r="H127" s="134">
        <f t="shared" si="54"/>
        <v>0</v>
      </c>
      <c r="I127" s="134">
        <f t="shared" si="55"/>
        <v>0</v>
      </c>
      <c r="J127" s="6">
        <f t="shared" si="56"/>
        <v>-15000000</v>
      </c>
      <c r="K127" s="6"/>
    </row>
    <row r="128" spans="1:13" x14ac:dyDescent="0.25">
      <c r="A128" s="803" t="s">
        <v>520</v>
      </c>
      <c r="B128" s="315" t="s">
        <v>517</v>
      </c>
      <c r="C128" s="250">
        <v>29750000</v>
      </c>
      <c r="D128" s="279"/>
      <c r="E128" s="134"/>
      <c r="F128" s="134"/>
      <c r="G128" s="6">
        <f>29750000</f>
        <v>29750000</v>
      </c>
      <c r="H128" s="134"/>
      <c r="I128" s="134"/>
      <c r="J128" s="6">
        <f t="shared" si="56"/>
        <v>0</v>
      </c>
      <c r="K128" s="6"/>
    </row>
    <row r="129" spans="1:15" x14ac:dyDescent="0.25">
      <c r="A129" s="1066" t="s">
        <v>95</v>
      </c>
      <c r="B129" s="1067"/>
      <c r="C129" s="1068"/>
      <c r="D129" s="277"/>
      <c r="E129" s="134"/>
      <c r="F129" s="134"/>
      <c r="G129" s="26">
        <f>SUM(G107:G128)</f>
        <v>597987460</v>
      </c>
      <c r="H129" s="134"/>
      <c r="I129" s="134"/>
      <c r="J129" s="734"/>
      <c r="K129" s="26">
        <v>0</v>
      </c>
    </row>
    <row r="130" spans="1:15" x14ac:dyDescent="0.25">
      <c r="A130" s="52"/>
      <c r="B130" s="8"/>
      <c r="C130" s="52"/>
      <c r="D130" s="27"/>
      <c r="E130" s="28"/>
      <c r="F130" s="23"/>
      <c r="G130" s="11"/>
      <c r="H130" s="23"/>
      <c r="I130" s="23"/>
      <c r="J130" s="9"/>
      <c r="K130" s="9"/>
    </row>
    <row r="131" spans="1:15" x14ac:dyDescent="0.25">
      <c r="A131" s="50"/>
      <c r="B131" s="5"/>
      <c r="C131" s="50"/>
      <c r="D131" s="9"/>
      <c r="E131" s="23"/>
      <c r="F131" s="23"/>
      <c r="G131" s="11"/>
      <c r="H131" s="23"/>
      <c r="I131" s="23"/>
      <c r="J131" s="9"/>
      <c r="K131" s="9"/>
    </row>
    <row r="132" spans="1:15" x14ac:dyDescent="0.25">
      <c r="A132" s="1069" t="s">
        <v>2</v>
      </c>
      <c r="B132" s="1069" t="s">
        <v>123</v>
      </c>
      <c r="C132" s="874"/>
      <c r="D132" s="1063" t="s">
        <v>5</v>
      </c>
      <c r="E132" s="1064"/>
      <c r="F132" s="1064"/>
      <c r="G132" s="1065" t="s">
        <v>6</v>
      </c>
      <c r="H132" s="1064"/>
      <c r="I132" s="1064"/>
      <c r="J132" s="1056" t="s">
        <v>7</v>
      </c>
      <c r="K132" s="1056" t="s">
        <v>8</v>
      </c>
    </row>
    <row r="133" spans="1:15" x14ac:dyDescent="0.25">
      <c r="A133" s="1070"/>
      <c r="B133" s="1070"/>
      <c r="C133" s="875" t="s">
        <v>124</v>
      </c>
      <c r="D133" s="89" t="s">
        <v>9</v>
      </c>
      <c r="E133" s="90" t="s">
        <v>10</v>
      </c>
      <c r="F133" s="90" t="s">
        <v>11</v>
      </c>
      <c r="G133" s="91" t="s">
        <v>12</v>
      </c>
      <c r="H133" s="90" t="s">
        <v>13</v>
      </c>
      <c r="I133" s="90" t="s">
        <v>11</v>
      </c>
      <c r="J133" s="1057"/>
      <c r="K133" s="1057"/>
      <c r="O133" s="713"/>
    </row>
    <row r="134" spans="1:15" x14ac:dyDescent="0.25">
      <c r="A134" s="1071"/>
      <c r="B134" s="1071"/>
      <c r="C134" s="875"/>
      <c r="D134" s="92" t="s">
        <v>14</v>
      </c>
      <c r="E134" s="93" t="s">
        <v>14</v>
      </c>
      <c r="F134" s="93" t="s">
        <v>14</v>
      </c>
      <c r="G134" s="94" t="s">
        <v>15</v>
      </c>
      <c r="H134" s="93" t="s">
        <v>14</v>
      </c>
      <c r="I134" s="93" t="s">
        <v>14</v>
      </c>
      <c r="J134" s="92" t="s">
        <v>15</v>
      </c>
      <c r="K134" s="1058"/>
    </row>
    <row r="135" spans="1:15" ht="25.5" x14ac:dyDescent="0.25">
      <c r="A135" s="139" t="s">
        <v>180</v>
      </c>
      <c r="B135" s="696" t="s">
        <v>379</v>
      </c>
      <c r="C135" s="58"/>
      <c r="D135" s="38"/>
      <c r="E135" s="134"/>
      <c r="F135" s="134"/>
      <c r="G135" s="135"/>
      <c r="H135" s="134"/>
      <c r="I135" s="134"/>
      <c r="J135" s="38"/>
      <c r="K135" s="10"/>
    </row>
    <row r="136" spans="1:15" ht="25.5" x14ac:dyDescent="0.25">
      <c r="A136" s="176" t="s">
        <v>181</v>
      </c>
      <c r="B136" s="697" t="s">
        <v>380</v>
      </c>
      <c r="C136" s="86">
        <f>SUM(C137:C149)</f>
        <v>185000000</v>
      </c>
      <c r="D136" s="179"/>
      <c r="E136" s="180"/>
      <c r="F136" s="180"/>
      <c r="G136" s="181"/>
      <c r="H136" s="180"/>
      <c r="I136" s="180"/>
      <c r="J136" s="179"/>
      <c r="K136" s="167"/>
    </row>
    <row r="137" spans="1:15" ht="25.5" x14ac:dyDescent="0.25">
      <c r="A137" s="170" t="s">
        <v>44</v>
      </c>
      <c r="B137" s="707" t="s">
        <v>384</v>
      </c>
      <c r="C137" s="58">
        <v>8580000</v>
      </c>
      <c r="D137" s="180">
        <f>C137/C136*100</f>
        <v>4.6378378378378375</v>
      </c>
      <c r="E137" s="134">
        <f t="shared" ref="E137:E144" si="57">G137/C137*100</f>
        <v>100</v>
      </c>
      <c r="F137" s="134">
        <f t="shared" ref="F137:F144" si="58">(D137*E137)/100</f>
        <v>4.6378378378378375</v>
      </c>
      <c r="G137" s="181">
        <f>8580000</f>
        <v>8580000</v>
      </c>
      <c r="H137" s="134">
        <f t="shared" ref="H137:H144" si="59">G137/C137*100</f>
        <v>100</v>
      </c>
      <c r="I137" s="134">
        <f t="shared" ref="I137:I144" si="60">(D137*H137)/100</f>
        <v>4.6378378378378375</v>
      </c>
      <c r="J137" s="6">
        <f t="shared" ref="J137:J149" si="61">G137-C137</f>
        <v>0</v>
      </c>
      <c r="K137" s="167"/>
    </row>
    <row r="138" spans="1:15" x14ac:dyDescent="0.25">
      <c r="A138" s="170" t="s">
        <v>59</v>
      </c>
      <c r="B138" s="707" t="s">
        <v>197</v>
      </c>
      <c r="C138" s="58">
        <v>13390000</v>
      </c>
      <c r="D138" s="180">
        <f>C138/C136*100</f>
        <v>7.2378378378378381</v>
      </c>
      <c r="E138" s="134">
        <f t="shared" si="57"/>
        <v>66.691560866318142</v>
      </c>
      <c r="F138" s="134">
        <f t="shared" si="58"/>
        <v>4.8270270270270261</v>
      </c>
      <c r="G138" s="181">
        <f>8930000</f>
        <v>8930000</v>
      </c>
      <c r="H138" s="134">
        <f t="shared" si="59"/>
        <v>66.691560866318142</v>
      </c>
      <c r="I138" s="134">
        <f t="shared" si="60"/>
        <v>4.8270270270270261</v>
      </c>
      <c r="J138" s="6">
        <f t="shared" si="61"/>
        <v>-4460000</v>
      </c>
      <c r="K138" s="167"/>
    </row>
    <row r="139" spans="1:15" x14ac:dyDescent="0.25">
      <c r="A139" s="170" t="s">
        <v>62</v>
      </c>
      <c r="B139" s="707" t="s">
        <v>334</v>
      </c>
      <c r="C139" s="58">
        <v>8840000</v>
      </c>
      <c r="D139" s="180">
        <v>2.34</v>
      </c>
      <c r="E139" s="134">
        <f t="shared" si="57"/>
        <v>54.751131221719461</v>
      </c>
      <c r="F139" s="134">
        <f t="shared" si="58"/>
        <v>1.2811764705882354</v>
      </c>
      <c r="G139" s="181">
        <f>4840000</f>
        <v>4840000</v>
      </c>
      <c r="H139" s="134">
        <f t="shared" si="59"/>
        <v>54.751131221719461</v>
      </c>
      <c r="I139" s="134">
        <f t="shared" si="60"/>
        <v>1.2811764705882354</v>
      </c>
      <c r="J139" s="6">
        <f t="shared" si="61"/>
        <v>-4000000</v>
      </c>
      <c r="K139" s="167"/>
    </row>
    <row r="140" spans="1:15" ht="25.5" x14ac:dyDescent="0.25">
      <c r="A140" s="170" t="s">
        <v>193</v>
      </c>
      <c r="B140" s="316" t="s">
        <v>372</v>
      </c>
      <c r="C140" s="58">
        <v>6300000</v>
      </c>
      <c r="D140" s="180"/>
      <c r="E140" s="134"/>
      <c r="F140" s="134"/>
      <c r="G140" s="181">
        <f>6300000</f>
        <v>6300000</v>
      </c>
      <c r="H140" s="134"/>
      <c r="I140" s="134"/>
      <c r="J140" s="6">
        <f t="shared" si="61"/>
        <v>0</v>
      </c>
      <c r="K140" s="167"/>
    </row>
    <row r="141" spans="1:15" x14ac:dyDescent="0.25">
      <c r="A141" s="170" t="s">
        <v>148</v>
      </c>
      <c r="B141" s="133" t="s">
        <v>531</v>
      </c>
      <c r="C141" s="58">
        <v>10000000</v>
      </c>
      <c r="D141" s="180"/>
      <c r="E141" s="134"/>
      <c r="F141" s="134"/>
      <c r="G141" s="181">
        <f>10000000</f>
        <v>10000000</v>
      </c>
      <c r="H141" s="134"/>
      <c r="I141" s="134"/>
      <c r="J141" s="6">
        <f t="shared" si="61"/>
        <v>0</v>
      </c>
      <c r="K141" s="167"/>
    </row>
    <row r="142" spans="1:15" x14ac:dyDescent="0.25">
      <c r="A142" s="170" t="s">
        <v>77</v>
      </c>
      <c r="B142" s="170" t="s">
        <v>127</v>
      </c>
      <c r="C142" s="58">
        <v>67741000</v>
      </c>
      <c r="D142" s="180">
        <f>C142/C136*100</f>
        <v>36.616756756756757</v>
      </c>
      <c r="E142" s="134">
        <f t="shared" si="57"/>
        <v>33.871658227661236</v>
      </c>
      <c r="F142" s="134">
        <f t="shared" si="58"/>
        <v>12.402702702702703</v>
      </c>
      <c r="G142" s="181">
        <f>22945000</f>
        <v>22945000</v>
      </c>
      <c r="H142" s="134">
        <f t="shared" si="59"/>
        <v>33.871658227661236</v>
      </c>
      <c r="I142" s="134">
        <f t="shared" si="60"/>
        <v>12.402702702702703</v>
      </c>
      <c r="J142" s="6">
        <f t="shared" si="61"/>
        <v>-44796000</v>
      </c>
      <c r="K142" s="167"/>
    </row>
    <row r="143" spans="1:15" x14ac:dyDescent="0.25">
      <c r="A143" s="170" t="s">
        <v>183</v>
      </c>
      <c r="B143" s="170" t="s">
        <v>178</v>
      </c>
      <c r="C143" s="58">
        <v>12000000</v>
      </c>
      <c r="D143" s="180">
        <f>C143/C136*100</f>
        <v>6.4864864864864868</v>
      </c>
      <c r="E143" s="134">
        <f t="shared" si="57"/>
        <v>58.333333333333336</v>
      </c>
      <c r="F143" s="134">
        <f t="shared" si="58"/>
        <v>3.7837837837837842</v>
      </c>
      <c r="G143" s="181">
        <f>7000000</f>
        <v>7000000</v>
      </c>
      <c r="H143" s="134">
        <f t="shared" si="59"/>
        <v>58.333333333333336</v>
      </c>
      <c r="I143" s="134">
        <f t="shared" si="60"/>
        <v>3.7837837837837842</v>
      </c>
      <c r="J143" s="6">
        <f t="shared" si="61"/>
        <v>-5000000</v>
      </c>
      <c r="K143" s="167"/>
    </row>
    <row r="144" spans="1:15" x14ac:dyDescent="0.25">
      <c r="A144" s="170" t="s">
        <v>104</v>
      </c>
      <c r="B144" s="170" t="s">
        <v>182</v>
      </c>
      <c r="C144" s="58">
        <v>23200000</v>
      </c>
      <c r="D144" s="180">
        <f>C144/C136*100</f>
        <v>12.54054054054054</v>
      </c>
      <c r="E144" s="134">
        <f t="shared" si="57"/>
        <v>100</v>
      </c>
      <c r="F144" s="134">
        <f t="shared" si="58"/>
        <v>12.54054054054054</v>
      </c>
      <c r="G144" s="181">
        <f>23200000</f>
        <v>23200000</v>
      </c>
      <c r="H144" s="134">
        <f t="shared" si="59"/>
        <v>100</v>
      </c>
      <c r="I144" s="134">
        <f t="shared" si="60"/>
        <v>12.54054054054054</v>
      </c>
      <c r="J144" s="6">
        <f t="shared" si="61"/>
        <v>0</v>
      </c>
      <c r="K144" s="167"/>
    </row>
    <row r="145" spans="1:14" ht="25.5" x14ac:dyDescent="0.25">
      <c r="A145" s="170" t="s">
        <v>106</v>
      </c>
      <c r="B145" s="316" t="s">
        <v>107</v>
      </c>
      <c r="C145" s="58">
        <v>22200000</v>
      </c>
      <c r="D145" s="180"/>
      <c r="E145" s="134"/>
      <c r="F145" s="134"/>
      <c r="G145" s="181">
        <f>22200000</f>
        <v>22200000</v>
      </c>
      <c r="H145" s="134"/>
      <c r="I145" s="134"/>
      <c r="J145" s="6">
        <f t="shared" si="61"/>
        <v>0</v>
      </c>
      <c r="K145" s="167"/>
    </row>
    <row r="146" spans="1:14" x14ac:dyDescent="0.25">
      <c r="A146" s="170" t="s">
        <v>162</v>
      </c>
      <c r="B146" s="315" t="s">
        <v>515</v>
      </c>
      <c r="C146" s="58">
        <v>2000000</v>
      </c>
      <c r="D146" s="180"/>
      <c r="E146" s="134"/>
      <c r="F146" s="134"/>
      <c r="G146" s="181">
        <f>2000000</f>
        <v>2000000</v>
      </c>
      <c r="H146" s="134"/>
      <c r="I146" s="134"/>
      <c r="J146" s="6">
        <f t="shared" si="61"/>
        <v>0</v>
      </c>
      <c r="K146" s="167"/>
    </row>
    <row r="147" spans="1:14" x14ac:dyDescent="0.25">
      <c r="A147" s="170" t="s">
        <v>521</v>
      </c>
      <c r="B147" s="316" t="s">
        <v>526</v>
      </c>
      <c r="C147" s="58">
        <v>1000000</v>
      </c>
      <c r="D147" s="180"/>
      <c r="E147" s="134"/>
      <c r="F147" s="134"/>
      <c r="G147" s="181">
        <f>1000000</f>
        <v>1000000</v>
      </c>
      <c r="H147" s="134"/>
      <c r="I147" s="134"/>
      <c r="J147" s="6">
        <f t="shared" si="61"/>
        <v>0</v>
      </c>
      <c r="K147" s="167"/>
    </row>
    <row r="148" spans="1:14" ht="25.5" x14ac:dyDescent="0.25">
      <c r="A148" s="747" t="s">
        <v>116</v>
      </c>
      <c r="B148" s="316" t="s">
        <v>420</v>
      </c>
      <c r="C148" s="58">
        <v>2749000</v>
      </c>
      <c r="D148" s="180"/>
      <c r="E148" s="134"/>
      <c r="F148" s="134"/>
      <c r="G148" s="181">
        <f>2749000</f>
        <v>2749000</v>
      </c>
      <c r="H148" s="134"/>
      <c r="I148" s="134"/>
      <c r="J148" s="6">
        <f t="shared" si="61"/>
        <v>0</v>
      </c>
      <c r="K148" s="167"/>
    </row>
    <row r="149" spans="1:14" x14ac:dyDescent="0.25">
      <c r="A149" s="747" t="s">
        <v>65</v>
      </c>
      <c r="B149" s="315" t="s">
        <v>393</v>
      </c>
      <c r="C149" s="58">
        <v>7000000</v>
      </c>
      <c r="D149" s="180"/>
      <c r="E149" s="134"/>
      <c r="F149" s="134"/>
      <c r="G149" s="181">
        <f>6932360</f>
        <v>6932360</v>
      </c>
      <c r="H149" s="134"/>
      <c r="I149" s="134"/>
      <c r="J149" s="6">
        <f t="shared" si="61"/>
        <v>-67640</v>
      </c>
      <c r="K149" s="167"/>
    </row>
    <row r="150" spans="1:14" x14ac:dyDescent="0.25">
      <c r="A150" s="1059" t="s">
        <v>128</v>
      </c>
      <c r="B150" s="1060"/>
      <c r="C150" s="60">
        <f>SUM(C137:C149)</f>
        <v>185000000</v>
      </c>
      <c r="D150" s="276">
        <f>SUM(D137:D147)</f>
        <v>69.859459459459458</v>
      </c>
      <c r="E150" s="134"/>
      <c r="F150" s="134"/>
      <c r="G150" s="837">
        <f>SUM(G137:G149)</f>
        <v>126676360</v>
      </c>
      <c r="H150" s="134"/>
      <c r="I150" s="134"/>
      <c r="J150" s="56">
        <v>0</v>
      </c>
      <c r="K150" s="3"/>
    </row>
    <row r="151" spans="1:14" x14ac:dyDescent="0.25">
      <c r="A151" s="54"/>
      <c r="B151" s="54"/>
      <c r="C151" s="59"/>
      <c r="D151" s="182"/>
      <c r="E151" s="183"/>
      <c r="F151" s="183"/>
      <c r="G151" s="184"/>
      <c r="H151" s="183"/>
      <c r="I151" s="183"/>
      <c r="J151" s="185"/>
      <c r="K151" s="37"/>
    </row>
    <row r="152" spans="1:14" ht="31.5" x14ac:dyDescent="0.25">
      <c r="A152" s="55"/>
      <c r="B152" s="46" t="s">
        <v>145</v>
      </c>
      <c r="C152" s="155"/>
      <c r="D152" s="44"/>
      <c r="E152" s="45"/>
      <c r="F152" s="45"/>
      <c r="G152" s="48"/>
      <c r="H152" s="45"/>
      <c r="I152" s="45"/>
      <c r="J152" s="44"/>
      <c r="K152" s="44"/>
      <c r="L152" s="1"/>
      <c r="M152" s="1"/>
      <c r="N152" s="1"/>
    </row>
    <row r="153" spans="1:14" x14ac:dyDescent="0.25">
      <c r="A153" s="1061" t="s">
        <v>2</v>
      </c>
      <c r="B153" s="1062" t="s">
        <v>176</v>
      </c>
      <c r="C153" s="1061" t="s">
        <v>4</v>
      </c>
      <c r="D153" s="1063" t="s">
        <v>5</v>
      </c>
      <c r="E153" s="1064"/>
      <c r="F153" s="1064"/>
      <c r="G153" s="1065" t="s">
        <v>6</v>
      </c>
      <c r="H153" s="1064"/>
      <c r="I153" s="1064"/>
      <c r="J153" s="1061" t="s">
        <v>7</v>
      </c>
      <c r="K153" s="281" t="s">
        <v>8</v>
      </c>
      <c r="L153" s="1"/>
      <c r="M153" s="1"/>
      <c r="N153" s="1"/>
    </row>
    <row r="154" spans="1:14" x14ac:dyDescent="0.25">
      <c r="A154" s="1061"/>
      <c r="B154" s="1062"/>
      <c r="C154" s="1061"/>
      <c r="D154" s="281" t="s">
        <v>9</v>
      </c>
      <c r="E154" s="292" t="s">
        <v>10</v>
      </c>
      <c r="F154" s="292" t="s">
        <v>11</v>
      </c>
      <c r="G154" s="293" t="s">
        <v>12</v>
      </c>
      <c r="H154" s="292" t="s">
        <v>13</v>
      </c>
      <c r="I154" s="292" t="s">
        <v>11</v>
      </c>
      <c r="J154" s="1056"/>
      <c r="K154" s="89"/>
    </row>
    <row r="155" spans="1:14" x14ac:dyDescent="0.25">
      <c r="A155" s="1061"/>
      <c r="B155" s="1062"/>
      <c r="C155" s="1061"/>
      <c r="D155" s="92" t="s">
        <v>14</v>
      </c>
      <c r="E155" s="93" t="s">
        <v>14</v>
      </c>
      <c r="F155" s="93" t="s">
        <v>14</v>
      </c>
      <c r="G155" s="94" t="s">
        <v>15</v>
      </c>
      <c r="H155" s="93" t="s">
        <v>14</v>
      </c>
      <c r="I155" s="93" t="s">
        <v>14</v>
      </c>
      <c r="J155" s="92" t="s">
        <v>15</v>
      </c>
      <c r="K155" s="92"/>
    </row>
    <row r="156" spans="1:14" x14ac:dyDescent="0.25">
      <c r="A156" s="79" t="s">
        <v>185</v>
      </c>
      <c r="B156" s="199" t="s">
        <v>146</v>
      </c>
      <c r="C156" s="24"/>
      <c r="D156" s="10"/>
      <c r="E156" s="34"/>
      <c r="F156" s="34"/>
      <c r="G156" s="6"/>
      <c r="H156" s="34"/>
      <c r="I156" s="34"/>
      <c r="J156" s="10"/>
      <c r="K156" s="10"/>
    </row>
    <row r="157" spans="1:14" x14ac:dyDescent="0.25">
      <c r="A157" s="125" t="s">
        <v>184</v>
      </c>
      <c r="B157" s="280" t="s">
        <v>147</v>
      </c>
      <c r="C157" s="252">
        <f>SUM(C158:C159)</f>
        <v>2975640000</v>
      </c>
      <c r="D157" s="10"/>
      <c r="E157" s="34"/>
      <c r="F157" s="34"/>
      <c r="G157" s="6"/>
      <c r="H157" s="34"/>
      <c r="I157" s="34"/>
      <c r="J157" s="10"/>
      <c r="K157" s="10"/>
    </row>
    <row r="158" spans="1:14" ht="25.5" x14ac:dyDescent="0.25">
      <c r="A158" s="154" t="s">
        <v>44</v>
      </c>
      <c r="B158" s="707" t="s">
        <v>384</v>
      </c>
      <c r="C158" s="253">
        <v>35640000</v>
      </c>
      <c r="D158" s="134">
        <f>C158/C157*100</f>
        <v>1.1977255313142718</v>
      </c>
      <c r="E158" s="134">
        <f t="shared" ref="E158:E159" si="62">G158/C158*100</f>
        <v>33.333333333333329</v>
      </c>
      <c r="F158" s="134">
        <f t="shared" ref="F158:F159" si="63">(D158*E158)/100</f>
        <v>0.39924184377142391</v>
      </c>
      <c r="G158" s="181">
        <f>11880000</f>
        <v>11880000</v>
      </c>
      <c r="H158" s="134">
        <f t="shared" ref="H158:H159" si="64">G158/C158*100</f>
        <v>33.333333333333329</v>
      </c>
      <c r="I158" s="134">
        <f t="shared" ref="I158:I159" si="65">(D158*H158)/100</f>
        <v>0.39924184377142391</v>
      </c>
      <c r="J158" s="6">
        <f t="shared" ref="J158:J159" si="66">G158-C158</f>
        <v>-23760000</v>
      </c>
      <c r="K158" s="10"/>
    </row>
    <row r="159" spans="1:14" x14ac:dyDescent="0.25">
      <c r="A159" s="124" t="s">
        <v>148</v>
      </c>
      <c r="B159" s="133" t="s">
        <v>531</v>
      </c>
      <c r="C159" s="253">
        <v>2940000000</v>
      </c>
      <c r="D159" s="134">
        <f>C159/C157*100</f>
        <v>98.802274468685724</v>
      </c>
      <c r="E159" s="134">
        <f t="shared" si="62"/>
        <v>31.940646258503403</v>
      </c>
      <c r="F159" s="134">
        <f t="shared" si="63"/>
        <v>31.55808498339853</v>
      </c>
      <c r="G159" s="181">
        <f>140000000+799055000</f>
        <v>939055000</v>
      </c>
      <c r="H159" s="134">
        <f t="shared" si="64"/>
        <v>31.940646258503403</v>
      </c>
      <c r="I159" s="134">
        <f t="shared" si="65"/>
        <v>31.55808498339853</v>
      </c>
      <c r="J159" s="6">
        <f t="shared" si="66"/>
        <v>-2000945000</v>
      </c>
      <c r="K159" s="10"/>
    </row>
    <row r="160" spans="1:14" x14ac:dyDescent="0.25">
      <c r="A160" s="70"/>
      <c r="B160" s="129" t="s">
        <v>95</v>
      </c>
      <c r="C160" s="807">
        <f>SUM(C158:C159)</f>
        <v>2975640000</v>
      </c>
      <c r="D160" s="271">
        <f>SUM(D158:D159)</f>
        <v>100</v>
      </c>
      <c r="E160" s="134"/>
      <c r="F160" s="134"/>
      <c r="G160" s="181">
        <f>SUM(G158:G159)</f>
        <v>950935000</v>
      </c>
      <c r="H160" s="134"/>
      <c r="I160" s="134"/>
      <c r="J160" s="734"/>
      <c r="K160" s="130"/>
    </row>
    <row r="161" spans="1:11" x14ac:dyDescent="0.25">
      <c r="A161" s="54"/>
      <c r="B161" s="2"/>
      <c r="C161" s="59"/>
      <c r="D161" s="29"/>
      <c r="E161" s="31"/>
      <c r="F161" s="31"/>
      <c r="G161" s="36"/>
      <c r="H161" s="31"/>
      <c r="I161" s="31"/>
      <c r="J161" s="15"/>
      <c r="K161" s="37"/>
    </row>
    <row r="162" spans="1:11" x14ac:dyDescent="0.25">
      <c r="A162" s="50"/>
      <c r="B162" s="5"/>
      <c r="C162" s="50"/>
      <c r="D162" s="29"/>
      <c r="E162" s="30"/>
      <c r="F162" s="31"/>
      <c r="G162" s="36"/>
      <c r="H162" s="32"/>
      <c r="I162" s="31"/>
      <c r="J162" s="36"/>
      <c r="K162" s="37"/>
    </row>
    <row r="163" spans="1:11" x14ac:dyDescent="0.25">
      <c r="A163" s="1061" t="s">
        <v>2</v>
      </c>
      <c r="B163" s="1062" t="s">
        <v>176</v>
      </c>
      <c r="C163" s="1061" t="s">
        <v>4</v>
      </c>
      <c r="D163" s="1063" t="s">
        <v>5</v>
      </c>
      <c r="E163" s="1064"/>
      <c r="F163" s="1064"/>
      <c r="G163" s="1065" t="s">
        <v>6</v>
      </c>
      <c r="H163" s="1064"/>
      <c r="I163" s="1064"/>
      <c r="J163" s="1061" t="s">
        <v>7</v>
      </c>
      <c r="K163" s="281" t="s">
        <v>8</v>
      </c>
    </row>
    <row r="164" spans="1:11" x14ac:dyDescent="0.25">
      <c r="A164" s="1061"/>
      <c r="B164" s="1062"/>
      <c r="C164" s="1061"/>
      <c r="D164" s="281" t="s">
        <v>9</v>
      </c>
      <c r="E164" s="292" t="s">
        <v>10</v>
      </c>
      <c r="F164" s="292" t="s">
        <v>11</v>
      </c>
      <c r="G164" s="293" t="s">
        <v>12</v>
      </c>
      <c r="H164" s="292" t="s">
        <v>13</v>
      </c>
      <c r="I164" s="292" t="s">
        <v>11</v>
      </c>
      <c r="J164" s="1056"/>
      <c r="K164" s="89"/>
    </row>
    <row r="165" spans="1:11" x14ac:dyDescent="0.25">
      <c r="A165" s="1061"/>
      <c r="B165" s="1062"/>
      <c r="C165" s="1061"/>
      <c r="D165" s="92" t="s">
        <v>14</v>
      </c>
      <c r="E165" s="93" t="s">
        <v>14</v>
      </c>
      <c r="F165" s="93" t="s">
        <v>14</v>
      </c>
      <c r="G165" s="94" t="s">
        <v>15</v>
      </c>
      <c r="H165" s="93" t="s">
        <v>14</v>
      </c>
      <c r="I165" s="93" t="s">
        <v>14</v>
      </c>
      <c r="J165" s="92" t="s">
        <v>15</v>
      </c>
      <c r="K165" s="92"/>
    </row>
    <row r="166" spans="1:11" x14ac:dyDescent="0.25">
      <c r="A166" s="79" t="s">
        <v>185</v>
      </c>
      <c r="B166" s="199" t="s">
        <v>146</v>
      </c>
      <c r="C166" s="153"/>
      <c r="D166" s="150"/>
      <c r="E166" s="151"/>
      <c r="F166" s="151"/>
      <c r="G166" s="152"/>
      <c r="H166" s="151"/>
      <c r="I166" s="151"/>
      <c r="J166" s="150"/>
      <c r="K166" s="150"/>
    </row>
    <row r="167" spans="1:11" x14ac:dyDescent="0.25">
      <c r="A167" s="125" t="s">
        <v>184</v>
      </c>
      <c r="B167" s="280" t="s">
        <v>150</v>
      </c>
      <c r="C167" s="254">
        <f>SUM(C168:C171)</f>
        <v>1803960912</v>
      </c>
      <c r="D167" s="10"/>
      <c r="E167" s="34"/>
      <c r="F167" s="34"/>
      <c r="G167" s="6"/>
      <c r="H167" s="34"/>
      <c r="I167" s="34"/>
      <c r="J167" s="10"/>
      <c r="K167" s="10"/>
    </row>
    <row r="168" spans="1:11" ht="25.5" x14ac:dyDescent="0.25">
      <c r="A168" s="38" t="s">
        <v>44</v>
      </c>
      <c r="B168" s="707" t="s">
        <v>384</v>
      </c>
      <c r="C168" s="255">
        <v>30310000</v>
      </c>
      <c r="D168" s="134">
        <f>C168/C167*100</f>
        <v>1.6801916160365231</v>
      </c>
      <c r="E168" s="134">
        <f t="shared" ref="E168:E170" si="67">G168/C168*100</f>
        <v>35.499835037941274</v>
      </c>
      <c r="F168" s="134">
        <f t="shared" ref="F168:F170" si="68">(D168*E168)/100</f>
        <v>0.59646525201428535</v>
      </c>
      <c r="G168" s="181">
        <f>10760000</f>
        <v>10760000</v>
      </c>
      <c r="H168" s="134">
        <f t="shared" ref="H168:H170" si="69">G168/C168*100</f>
        <v>35.499835037941274</v>
      </c>
      <c r="I168" s="134">
        <f t="shared" ref="I168:I170" si="70">(D168*H168)/100</f>
        <v>0.59646525201428535</v>
      </c>
      <c r="J168" s="6">
        <f t="shared" ref="J168:J171" si="71">G168-C168</f>
        <v>-19550000</v>
      </c>
      <c r="K168" s="10"/>
    </row>
    <row r="169" spans="1:11" x14ac:dyDescent="0.25">
      <c r="A169" s="49" t="s">
        <v>148</v>
      </c>
      <c r="B169" s="133" t="s">
        <v>531</v>
      </c>
      <c r="C169" s="256">
        <v>1260590000</v>
      </c>
      <c r="D169" s="134">
        <f>C169/C167*100</f>
        <v>69.87900855359554</v>
      </c>
      <c r="E169" s="134">
        <f t="shared" si="67"/>
        <v>78.81692699450258</v>
      </c>
      <c r="F169" s="134">
        <f t="shared" si="68"/>
        <v>55.076487156169613</v>
      </c>
      <c r="G169" s="181">
        <f>60000000+627032300+306526000</f>
        <v>993558300</v>
      </c>
      <c r="H169" s="134">
        <f t="shared" si="69"/>
        <v>78.81692699450258</v>
      </c>
      <c r="I169" s="134">
        <f t="shared" si="70"/>
        <v>55.076487156169613</v>
      </c>
      <c r="J169" s="6">
        <f t="shared" si="71"/>
        <v>-267031700</v>
      </c>
      <c r="K169" s="10"/>
    </row>
    <row r="170" spans="1:11" s="84" customFormat="1" ht="25.5" x14ac:dyDescent="0.2">
      <c r="A170" s="49" t="s">
        <v>152</v>
      </c>
      <c r="B170" s="133" t="s">
        <v>153</v>
      </c>
      <c r="C170" s="256">
        <v>504000000</v>
      </c>
      <c r="D170" s="134">
        <f>C170/C167*100</f>
        <v>27.9385210980669</v>
      </c>
      <c r="E170" s="134">
        <f t="shared" si="67"/>
        <v>50</v>
      </c>
      <c r="F170" s="134">
        <f t="shared" si="68"/>
        <v>13.96926054903345</v>
      </c>
      <c r="G170" s="181">
        <f>252000000</f>
        <v>252000000</v>
      </c>
      <c r="H170" s="134">
        <f t="shared" si="69"/>
        <v>50</v>
      </c>
      <c r="I170" s="134">
        <f t="shared" si="70"/>
        <v>13.96926054903345</v>
      </c>
      <c r="J170" s="6">
        <f t="shared" si="71"/>
        <v>-252000000</v>
      </c>
      <c r="K170" s="38"/>
    </row>
    <row r="171" spans="1:11" s="84" customFormat="1" x14ac:dyDescent="0.2">
      <c r="A171" s="749" t="s">
        <v>234</v>
      </c>
      <c r="B171" s="133" t="s">
        <v>522</v>
      </c>
      <c r="C171" s="256">
        <v>9060912</v>
      </c>
      <c r="D171" s="804"/>
      <c r="E171" s="134"/>
      <c r="F171" s="134"/>
      <c r="G171" s="181">
        <f>9060912</f>
        <v>9060912</v>
      </c>
      <c r="H171" s="134"/>
      <c r="I171" s="134"/>
      <c r="J171" s="6">
        <f t="shared" si="71"/>
        <v>0</v>
      </c>
      <c r="K171" s="805"/>
    </row>
    <row r="172" spans="1:11" x14ac:dyDescent="0.25">
      <c r="A172" s="873"/>
      <c r="B172" s="129" t="s">
        <v>154</v>
      </c>
      <c r="C172" s="826">
        <f>SUM(C168:C171)</f>
        <v>1803960912</v>
      </c>
      <c r="D172" s="272">
        <f>SUM(D168:D170)</f>
        <v>99.497721267698964</v>
      </c>
      <c r="E172" s="134"/>
      <c r="F172" s="134"/>
      <c r="G172" s="181">
        <f>SUM(G168:G171)</f>
        <v>1265379212</v>
      </c>
      <c r="H172" s="134"/>
      <c r="I172" s="134"/>
      <c r="J172" s="734"/>
      <c r="K172" s="40"/>
    </row>
    <row r="173" spans="1:11" x14ac:dyDescent="0.25">
      <c r="A173" s="54"/>
      <c r="B173" s="54"/>
      <c r="C173" s="59"/>
      <c r="D173" s="182"/>
      <c r="E173" s="183"/>
      <c r="F173" s="183"/>
      <c r="G173" s="184"/>
      <c r="H173" s="183"/>
      <c r="I173" s="183"/>
      <c r="J173" s="185"/>
      <c r="K173" s="37"/>
    </row>
    <row r="174" spans="1:11" x14ac:dyDescent="0.25">
      <c r="A174" s="50"/>
      <c r="B174" s="5"/>
      <c r="C174" s="50"/>
      <c r="D174" s="9"/>
      <c r="E174" s="23"/>
      <c r="F174" s="23"/>
      <c r="G174" s="11"/>
      <c r="H174" s="23"/>
      <c r="I174" s="23"/>
      <c r="J174" s="9"/>
      <c r="K174" s="9"/>
    </row>
    <row r="175" spans="1:11" x14ac:dyDescent="0.25">
      <c r="A175" s="1072" t="s">
        <v>2</v>
      </c>
      <c r="B175" s="1072" t="s">
        <v>129</v>
      </c>
      <c r="C175" s="1072" t="s">
        <v>124</v>
      </c>
      <c r="D175" s="1075" t="s">
        <v>5</v>
      </c>
      <c r="E175" s="1076"/>
      <c r="F175" s="1076"/>
      <c r="G175" s="1077" t="s">
        <v>6</v>
      </c>
      <c r="H175" s="1076"/>
      <c r="I175" s="1076"/>
      <c r="J175" s="1078" t="s">
        <v>7</v>
      </c>
      <c r="K175" s="95" t="s">
        <v>8</v>
      </c>
    </row>
    <row r="176" spans="1:11" x14ac:dyDescent="0.25">
      <c r="A176" s="1073"/>
      <c r="B176" s="1073"/>
      <c r="C176" s="1073"/>
      <c r="D176" s="95" t="s">
        <v>9</v>
      </c>
      <c r="E176" s="294" t="s">
        <v>10</v>
      </c>
      <c r="F176" s="294" t="s">
        <v>11</v>
      </c>
      <c r="G176" s="96" t="s">
        <v>12</v>
      </c>
      <c r="H176" s="97" t="s">
        <v>13</v>
      </c>
      <c r="I176" s="97" t="s">
        <v>11</v>
      </c>
      <c r="J176" s="1079"/>
      <c r="K176" s="98"/>
    </row>
    <row r="177" spans="1:15" x14ac:dyDescent="0.25">
      <c r="A177" s="1074"/>
      <c r="B177" s="1074"/>
      <c r="C177" s="1074"/>
      <c r="D177" s="101" t="s">
        <v>14</v>
      </c>
      <c r="E177" s="100" t="s">
        <v>14</v>
      </c>
      <c r="F177" s="100" t="s">
        <v>14</v>
      </c>
      <c r="G177" s="99" t="s">
        <v>15</v>
      </c>
      <c r="H177" s="100" t="s">
        <v>14</v>
      </c>
      <c r="I177" s="100" t="s">
        <v>14</v>
      </c>
      <c r="J177" s="101" t="s">
        <v>15</v>
      </c>
      <c r="K177" s="101"/>
    </row>
    <row r="178" spans="1:15" ht="25.5" x14ac:dyDescent="0.25">
      <c r="A178" s="175" t="s">
        <v>180</v>
      </c>
      <c r="B178" s="696" t="s">
        <v>379</v>
      </c>
      <c r="C178" s="126"/>
      <c r="D178" s="121"/>
      <c r="E178" s="122"/>
      <c r="F178" s="122"/>
      <c r="G178" s="123"/>
      <c r="H178" s="122"/>
      <c r="I178" s="122"/>
      <c r="J178" s="121"/>
      <c r="K178" s="121"/>
    </row>
    <row r="179" spans="1:15" ht="25.5" x14ac:dyDescent="0.25">
      <c r="A179" s="176" t="s">
        <v>181</v>
      </c>
      <c r="B179" s="697" t="s">
        <v>380</v>
      </c>
      <c r="C179" s="86">
        <f>SUM(C180:C195)</f>
        <v>335000000</v>
      </c>
      <c r="D179" s="121"/>
      <c r="E179" s="122"/>
      <c r="F179" s="122"/>
      <c r="G179" s="123"/>
      <c r="H179" s="122"/>
      <c r="I179" s="122"/>
      <c r="J179" s="121"/>
      <c r="K179" s="121"/>
    </row>
    <row r="180" spans="1:15" ht="25.5" x14ac:dyDescent="0.25">
      <c r="A180" s="170" t="s">
        <v>44</v>
      </c>
      <c r="B180" s="707" t="s">
        <v>384</v>
      </c>
      <c r="C180" s="58">
        <v>16310000</v>
      </c>
      <c r="D180" s="134">
        <f>C180/C179*100</f>
        <v>4.8686567164179104</v>
      </c>
      <c r="E180" s="134">
        <f t="shared" ref="E180:E192" si="72">G180/C180*100</f>
        <v>88.044144696505214</v>
      </c>
      <c r="F180" s="134">
        <f t="shared" ref="F180:F192" si="73">(D180*E180)/100</f>
        <v>4.2865671641791048</v>
      </c>
      <c r="G180" s="181">
        <f>14360000</f>
        <v>14360000</v>
      </c>
      <c r="H180" s="134">
        <f t="shared" ref="H180:H192" si="74">G180/C180*100</f>
        <v>88.044144696505214</v>
      </c>
      <c r="I180" s="134">
        <f t="shared" ref="I180:I192" si="75">(D180*H180)/100</f>
        <v>4.2865671641791048</v>
      </c>
      <c r="J180" s="6">
        <f t="shared" ref="J180:J195" si="76">G180-C180</f>
        <v>-1950000</v>
      </c>
      <c r="K180" s="121"/>
    </row>
    <row r="181" spans="1:15" x14ac:dyDescent="0.25">
      <c r="A181" s="170" t="s">
        <v>59</v>
      </c>
      <c r="B181" s="707" t="s">
        <v>197</v>
      </c>
      <c r="C181" s="58">
        <v>13836500</v>
      </c>
      <c r="D181" s="180">
        <f>C181/C179*100</f>
        <v>4.1302985074626868</v>
      </c>
      <c r="E181" s="134">
        <f t="shared" si="72"/>
        <v>50</v>
      </c>
      <c r="F181" s="134">
        <f t="shared" si="73"/>
        <v>2.0651492537313434</v>
      </c>
      <c r="G181" s="181">
        <f>6918250</f>
        <v>6918250</v>
      </c>
      <c r="H181" s="134">
        <f t="shared" si="74"/>
        <v>50</v>
      </c>
      <c r="I181" s="134">
        <f t="shared" si="75"/>
        <v>2.0651492537313434</v>
      </c>
      <c r="J181" s="6">
        <f t="shared" si="76"/>
        <v>-6918250</v>
      </c>
      <c r="K181" s="167"/>
    </row>
    <row r="182" spans="1:15" ht="25.5" x14ac:dyDescent="0.25">
      <c r="A182" s="170" t="s">
        <v>62</v>
      </c>
      <c r="B182" s="707" t="s">
        <v>385</v>
      </c>
      <c r="C182" s="58">
        <v>10871000</v>
      </c>
      <c r="D182" s="726">
        <f>C182/C179*100</f>
        <v>3.2450746268656716</v>
      </c>
      <c r="E182" s="134">
        <f t="shared" si="72"/>
        <v>0</v>
      </c>
      <c r="F182" s="134">
        <f t="shared" si="73"/>
        <v>0</v>
      </c>
      <c r="G182" s="181">
        <v>0</v>
      </c>
      <c r="H182" s="134">
        <f t="shared" si="74"/>
        <v>0</v>
      </c>
      <c r="I182" s="134">
        <f t="shared" si="75"/>
        <v>0</v>
      </c>
      <c r="J182" s="6">
        <f t="shared" si="76"/>
        <v>-10871000</v>
      </c>
      <c r="K182" s="167"/>
    </row>
    <row r="183" spans="1:15" x14ac:dyDescent="0.25">
      <c r="A183" s="170" t="s">
        <v>148</v>
      </c>
      <c r="B183" s="133" t="s">
        <v>531</v>
      </c>
      <c r="C183" s="58">
        <v>10000000</v>
      </c>
      <c r="D183" s="726"/>
      <c r="E183" s="134"/>
      <c r="F183" s="134"/>
      <c r="G183" s="181">
        <f>10000000</f>
        <v>10000000</v>
      </c>
      <c r="H183" s="134"/>
      <c r="I183" s="134"/>
      <c r="J183" s="6">
        <f t="shared" si="76"/>
        <v>0</v>
      </c>
      <c r="K183" s="167"/>
    </row>
    <row r="184" spans="1:15" x14ac:dyDescent="0.25">
      <c r="A184" s="170" t="s">
        <v>77</v>
      </c>
      <c r="B184" s="170" t="s">
        <v>127</v>
      </c>
      <c r="C184" s="58">
        <v>61010000</v>
      </c>
      <c r="D184" s="726">
        <f>C184/C179*100</f>
        <v>18.211940298507461</v>
      </c>
      <c r="E184" s="134">
        <f t="shared" si="72"/>
        <v>52.696279298475659</v>
      </c>
      <c r="F184" s="134">
        <f t="shared" si="73"/>
        <v>9.5970149253731343</v>
      </c>
      <c r="G184" s="181">
        <f>32150000</f>
        <v>32150000</v>
      </c>
      <c r="H184" s="134">
        <f t="shared" si="74"/>
        <v>52.696279298475659</v>
      </c>
      <c r="I184" s="134">
        <f t="shared" si="75"/>
        <v>9.5970149253731343</v>
      </c>
      <c r="J184" s="6">
        <f t="shared" si="76"/>
        <v>-28860000</v>
      </c>
      <c r="K184" s="167"/>
      <c r="O184" s="190"/>
    </row>
    <row r="185" spans="1:15" x14ac:dyDescent="0.25">
      <c r="A185" s="170" t="s">
        <v>183</v>
      </c>
      <c r="B185" s="170" t="s">
        <v>178</v>
      </c>
      <c r="C185" s="58">
        <v>44625000</v>
      </c>
      <c r="D185" s="726">
        <f>C185/C179*100</f>
        <v>13.32089552238806</v>
      </c>
      <c r="E185" s="134">
        <f t="shared" si="72"/>
        <v>22.408963585434176</v>
      </c>
      <c r="F185" s="134">
        <f t="shared" si="73"/>
        <v>2.9850746268656718</v>
      </c>
      <c r="G185" s="181">
        <f>10000000</f>
        <v>10000000</v>
      </c>
      <c r="H185" s="134">
        <f t="shared" si="74"/>
        <v>22.408963585434176</v>
      </c>
      <c r="I185" s="134">
        <f t="shared" si="75"/>
        <v>2.9850746268656718</v>
      </c>
      <c r="J185" s="6">
        <f t="shared" si="76"/>
        <v>-34625000</v>
      </c>
      <c r="K185" s="167"/>
    </row>
    <row r="186" spans="1:15" x14ac:dyDescent="0.25">
      <c r="A186" s="170" t="s">
        <v>186</v>
      </c>
      <c r="B186" s="170" t="s">
        <v>179</v>
      </c>
      <c r="C186" s="58">
        <v>44100000</v>
      </c>
      <c r="D186" s="726">
        <f>C186/C179*100</f>
        <v>13.164179104477611</v>
      </c>
      <c r="E186" s="134">
        <f t="shared" si="72"/>
        <v>79.365079365079367</v>
      </c>
      <c r="F186" s="134">
        <f t="shared" si="73"/>
        <v>10.447761194029852</v>
      </c>
      <c r="G186" s="181">
        <f>35000000</f>
        <v>35000000</v>
      </c>
      <c r="H186" s="134">
        <f t="shared" si="74"/>
        <v>79.365079365079367</v>
      </c>
      <c r="I186" s="134">
        <f t="shared" si="75"/>
        <v>10.447761194029852</v>
      </c>
      <c r="J186" s="6">
        <f t="shared" si="76"/>
        <v>-9100000</v>
      </c>
      <c r="K186" s="167"/>
    </row>
    <row r="187" spans="1:15" ht="25.5" x14ac:dyDescent="0.25">
      <c r="A187" s="170" t="s">
        <v>106</v>
      </c>
      <c r="B187" s="316" t="s">
        <v>375</v>
      </c>
      <c r="C187" s="58">
        <v>44000000</v>
      </c>
      <c r="D187" s="726">
        <f>C187/C179*100</f>
        <v>13.134328358208954</v>
      </c>
      <c r="E187" s="134">
        <f t="shared" si="72"/>
        <v>93.181818181818173</v>
      </c>
      <c r="F187" s="134">
        <f t="shared" si="73"/>
        <v>12.238805970149251</v>
      </c>
      <c r="G187" s="181">
        <f>41000000</f>
        <v>41000000</v>
      </c>
      <c r="H187" s="134">
        <f t="shared" si="74"/>
        <v>93.181818181818173</v>
      </c>
      <c r="I187" s="134">
        <f t="shared" si="75"/>
        <v>12.238805970149251</v>
      </c>
      <c r="J187" s="6">
        <f t="shared" si="76"/>
        <v>-3000000</v>
      </c>
      <c r="K187" s="167"/>
    </row>
    <row r="188" spans="1:15" x14ac:dyDescent="0.25">
      <c r="A188" s="170" t="s">
        <v>162</v>
      </c>
      <c r="B188" s="315" t="s">
        <v>515</v>
      </c>
      <c r="C188" s="58">
        <v>36000000</v>
      </c>
      <c r="D188" s="726"/>
      <c r="E188" s="134"/>
      <c r="F188" s="134"/>
      <c r="G188" s="181">
        <f>36000000</f>
        <v>36000000</v>
      </c>
      <c r="H188" s="134"/>
      <c r="I188" s="134"/>
      <c r="J188" s="6">
        <f t="shared" si="76"/>
        <v>0</v>
      </c>
      <c r="K188" s="167"/>
    </row>
    <row r="189" spans="1:15" x14ac:dyDescent="0.25">
      <c r="A189" s="170" t="s">
        <v>527</v>
      </c>
      <c r="B189" s="316" t="s">
        <v>523</v>
      </c>
      <c r="C189" s="58">
        <v>5625000</v>
      </c>
      <c r="D189" s="726"/>
      <c r="E189" s="134"/>
      <c r="F189" s="134"/>
      <c r="G189" s="181">
        <f>5625000</f>
        <v>5625000</v>
      </c>
      <c r="H189" s="134"/>
      <c r="I189" s="134"/>
      <c r="J189" s="6">
        <f t="shared" si="76"/>
        <v>0</v>
      </c>
      <c r="K189" s="167"/>
    </row>
    <row r="190" spans="1:15" x14ac:dyDescent="0.25">
      <c r="A190" s="170" t="s">
        <v>528</v>
      </c>
      <c r="B190" s="316" t="s">
        <v>524</v>
      </c>
      <c r="C190" s="58">
        <v>16000000</v>
      </c>
      <c r="D190" s="726"/>
      <c r="E190" s="134"/>
      <c r="F190" s="134"/>
      <c r="G190" s="181">
        <f>16000000</f>
        <v>16000000</v>
      </c>
      <c r="H190" s="134"/>
      <c r="I190" s="134"/>
      <c r="J190" s="6">
        <f t="shared" si="76"/>
        <v>0</v>
      </c>
      <c r="K190" s="167"/>
    </row>
    <row r="191" spans="1:15" x14ac:dyDescent="0.25">
      <c r="A191" s="170" t="s">
        <v>529</v>
      </c>
      <c r="B191" s="316" t="s">
        <v>525</v>
      </c>
      <c r="C191" s="58">
        <v>4000000</v>
      </c>
      <c r="D191" s="726"/>
      <c r="E191" s="134"/>
      <c r="F191" s="134"/>
      <c r="G191" s="181">
        <f>4000000</f>
        <v>4000000</v>
      </c>
      <c r="H191" s="134"/>
      <c r="I191" s="134"/>
      <c r="J191" s="6">
        <f t="shared" si="76"/>
        <v>0</v>
      </c>
      <c r="K191" s="167"/>
    </row>
    <row r="192" spans="1:15" ht="25.5" x14ac:dyDescent="0.25">
      <c r="A192" s="170" t="s">
        <v>116</v>
      </c>
      <c r="B192" s="133" t="s">
        <v>371</v>
      </c>
      <c r="C192" s="178">
        <v>1622500</v>
      </c>
      <c r="D192" s="726">
        <f>C192/C179*100</f>
        <v>0.4843283582089552</v>
      </c>
      <c r="E192" s="134">
        <f t="shared" si="72"/>
        <v>0</v>
      </c>
      <c r="F192" s="134">
        <f t="shared" si="73"/>
        <v>0</v>
      </c>
      <c r="G192" s="181">
        <v>0</v>
      </c>
      <c r="H192" s="134">
        <f t="shared" si="74"/>
        <v>0</v>
      </c>
      <c r="I192" s="134">
        <f t="shared" si="75"/>
        <v>0</v>
      </c>
      <c r="J192" s="6">
        <f t="shared" si="76"/>
        <v>-1622500</v>
      </c>
      <c r="K192" s="167"/>
      <c r="M192" s="190"/>
    </row>
    <row r="193" spans="1:14" x14ac:dyDescent="0.25">
      <c r="A193" s="748" t="s">
        <v>65</v>
      </c>
      <c r="B193" s="315" t="s">
        <v>393</v>
      </c>
      <c r="C193" s="178">
        <v>7000000</v>
      </c>
      <c r="D193" s="726"/>
      <c r="E193" s="134"/>
      <c r="F193" s="134"/>
      <c r="G193" s="181">
        <f>6932360</f>
        <v>6932360</v>
      </c>
      <c r="H193" s="134"/>
      <c r="I193" s="134"/>
      <c r="J193" s="6">
        <f t="shared" si="76"/>
        <v>-67640</v>
      </c>
      <c r="K193" s="167"/>
      <c r="M193" s="190"/>
    </row>
    <row r="194" spans="1:14" x14ac:dyDescent="0.25">
      <c r="A194" s="748" t="s">
        <v>287</v>
      </c>
      <c r="B194" s="315" t="s">
        <v>191</v>
      </c>
      <c r="C194" s="178">
        <v>15000000</v>
      </c>
      <c r="D194" s="726"/>
      <c r="E194" s="134"/>
      <c r="F194" s="134"/>
      <c r="G194" s="181">
        <f>15000000</f>
        <v>15000000</v>
      </c>
      <c r="H194" s="134"/>
      <c r="I194" s="134"/>
      <c r="J194" s="6">
        <f t="shared" si="76"/>
        <v>0</v>
      </c>
      <c r="K194" s="167"/>
      <c r="M194" s="190"/>
    </row>
    <row r="195" spans="1:14" x14ac:dyDescent="0.25">
      <c r="A195" s="748" t="s">
        <v>275</v>
      </c>
      <c r="B195" s="133" t="s">
        <v>421</v>
      </c>
      <c r="C195" s="178">
        <v>5000000</v>
      </c>
      <c r="D195" s="726"/>
      <c r="E195" s="134"/>
      <c r="F195" s="134"/>
      <c r="G195" s="181">
        <v>0</v>
      </c>
      <c r="H195" s="134"/>
      <c r="I195" s="134"/>
      <c r="J195" s="6">
        <f t="shared" si="76"/>
        <v>-5000000</v>
      </c>
      <c r="K195" s="167"/>
      <c r="M195" s="190"/>
    </row>
    <row r="196" spans="1:14" x14ac:dyDescent="0.25">
      <c r="A196" s="69"/>
      <c r="B196" s="67" t="s">
        <v>128</v>
      </c>
      <c r="C196" s="60">
        <f>SUM(C180:C195)</f>
        <v>335000000</v>
      </c>
      <c r="D196" s="275">
        <f>SUM(D180:D192)</f>
        <v>70.5597014925373</v>
      </c>
      <c r="E196" s="134"/>
      <c r="F196" s="134"/>
      <c r="G196" s="42">
        <f>SUM(G180:G195)</f>
        <v>232985610</v>
      </c>
      <c r="H196" s="134"/>
      <c r="I196" s="134"/>
      <c r="J196" s="734"/>
      <c r="K196" s="38"/>
    </row>
    <row r="197" spans="1:14" x14ac:dyDescent="0.25">
      <c r="A197" s="186"/>
      <c r="B197" s="2"/>
      <c r="C197" s="187"/>
      <c r="D197" s="188"/>
      <c r="E197" s="183"/>
      <c r="F197" s="183"/>
      <c r="G197" s="184"/>
      <c r="H197" s="183"/>
      <c r="I197" s="183"/>
      <c r="J197" s="189"/>
      <c r="K197" s="53"/>
    </row>
    <row r="198" spans="1:14" ht="31.5" x14ac:dyDescent="0.25">
      <c r="A198" s="55"/>
      <c r="B198" s="46" t="s">
        <v>145</v>
      </c>
      <c r="C198" s="155"/>
      <c r="D198" s="44"/>
      <c r="E198" s="45"/>
      <c r="F198" s="45"/>
      <c r="G198" s="48"/>
      <c r="H198" s="45"/>
      <c r="I198" s="45"/>
      <c r="J198" s="44"/>
      <c r="K198" s="44"/>
      <c r="L198" s="1"/>
      <c r="M198" s="1"/>
      <c r="N198" s="1"/>
    </row>
    <row r="199" spans="1:14" x14ac:dyDescent="0.25">
      <c r="A199" s="1082" t="s">
        <v>2</v>
      </c>
      <c r="B199" s="1081" t="s">
        <v>168</v>
      </c>
      <c r="C199" s="1082" t="s">
        <v>4</v>
      </c>
      <c r="D199" s="1083" t="s">
        <v>5</v>
      </c>
      <c r="E199" s="1084"/>
      <c r="F199" s="1084"/>
      <c r="G199" s="1085" t="s">
        <v>6</v>
      </c>
      <c r="H199" s="1084"/>
      <c r="I199" s="1084"/>
      <c r="J199" s="1082" t="s">
        <v>7</v>
      </c>
      <c r="K199" s="283" t="s">
        <v>8</v>
      </c>
    </row>
    <row r="200" spans="1:14" x14ac:dyDescent="0.25">
      <c r="A200" s="1082"/>
      <c r="B200" s="1081"/>
      <c r="C200" s="1082"/>
      <c r="D200" s="283" t="s">
        <v>9</v>
      </c>
      <c r="E200" s="297" t="s">
        <v>10</v>
      </c>
      <c r="F200" s="297" t="s">
        <v>11</v>
      </c>
      <c r="G200" s="298" t="s">
        <v>12</v>
      </c>
      <c r="H200" s="297" t="s">
        <v>13</v>
      </c>
      <c r="I200" s="297" t="s">
        <v>11</v>
      </c>
      <c r="J200" s="1086"/>
      <c r="K200" s="284"/>
    </row>
    <row r="201" spans="1:14" x14ac:dyDescent="0.25">
      <c r="A201" s="1082"/>
      <c r="B201" s="1081"/>
      <c r="C201" s="1082"/>
      <c r="D201" s="282" t="s">
        <v>14</v>
      </c>
      <c r="E201" s="295" t="s">
        <v>14</v>
      </c>
      <c r="F201" s="295" t="s">
        <v>14</v>
      </c>
      <c r="G201" s="296" t="s">
        <v>15</v>
      </c>
      <c r="H201" s="295" t="s">
        <v>14</v>
      </c>
      <c r="I201" s="295" t="s">
        <v>14</v>
      </c>
      <c r="J201" s="282" t="s">
        <v>15</v>
      </c>
      <c r="K201" s="282"/>
    </row>
    <row r="202" spans="1:14" x14ac:dyDescent="0.25">
      <c r="A202" s="79" t="s">
        <v>185</v>
      </c>
      <c r="B202" s="199" t="s">
        <v>146</v>
      </c>
      <c r="C202" s="145"/>
      <c r="D202" s="146"/>
      <c r="E202" s="147"/>
      <c r="F202" s="147"/>
      <c r="G202" s="148"/>
      <c r="H202" s="147"/>
      <c r="I202" s="147"/>
      <c r="J202" s="146"/>
      <c r="K202" s="146"/>
    </row>
    <row r="203" spans="1:14" x14ac:dyDescent="0.25">
      <c r="A203" s="125" t="s">
        <v>184</v>
      </c>
      <c r="B203" s="280" t="s">
        <v>147</v>
      </c>
      <c r="C203" s="257">
        <f>SUM(C204:C206)</f>
        <v>2555640000</v>
      </c>
      <c r="D203" s="146"/>
      <c r="E203" s="147"/>
      <c r="F203" s="147"/>
      <c r="G203" s="148"/>
      <c r="H203" s="147"/>
      <c r="I203" s="147"/>
      <c r="J203" s="146"/>
      <c r="K203" s="146"/>
    </row>
    <row r="204" spans="1:14" ht="25.5" x14ac:dyDescent="0.25">
      <c r="A204" s="319" t="s">
        <v>59</v>
      </c>
      <c r="B204" s="707" t="s">
        <v>384</v>
      </c>
      <c r="C204" s="258">
        <f>33350000</f>
        <v>33350000</v>
      </c>
      <c r="D204" s="267"/>
      <c r="E204" s="134"/>
      <c r="F204" s="134"/>
      <c r="G204" s="181">
        <f>33350000</f>
        <v>33350000</v>
      </c>
      <c r="H204" s="134"/>
      <c r="I204" s="134"/>
      <c r="J204" s="6">
        <f t="shared" ref="J204:J205" si="77">G204-C204</f>
        <v>0</v>
      </c>
      <c r="K204" s="146"/>
    </row>
    <row r="205" spans="1:14" x14ac:dyDescent="0.25">
      <c r="A205" s="49" t="s">
        <v>148</v>
      </c>
      <c r="B205" s="707" t="s">
        <v>197</v>
      </c>
      <c r="C205" s="259">
        <f>2290000</f>
        <v>2290000</v>
      </c>
      <c r="D205" s="267">
        <f>C205/C203*100</f>
        <v>8.9605734767025089E-2</v>
      </c>
      <c r="E205" s="134">
        <f t="shared" ref="E205" si="78">G205/C205*100</f>
        <v>100</v>
      </c>
      <c r="F205" s="134">
        <f t="shared" ref="F205" si="79">(D205*E205)/100</f>
        <v>8.9605734767025089E-2</v>
      </c>
      <c r="G205" s="181">
        <f>2290000</f>
        <v>2290000</v>
      </c>
      <c r="H205" s="134">
        <f t="shared" ref="H205" si="80">G205/C205*100</f>
        <v>100</v>
      </c>
      <c r="I205" s="134">
        <f t="shared" ref="I205" si="81">(D205*H205)/100</f>
        <v>8.9605734767025089E-2</v>
      </c>
      <c r="J205" s="6">
        <f t="shared" si="77"/>
        <v>0</v>
      </c>
      <c r="K205" s="146"/>
    </row>
    <row r="206" spans="1:14" x14ac:dyDescent="0.25">
      <c r="A206" s="749"/>
      <c r="B206" s="133" t="s">
        <v>531</v>
      </c>
      <c r="C206" s="259">
        <f>2520000000</f>
        <v>2520000000</v>
      </c>
      <c r="D206" s="848"/>
      <c r="E206" s="134"/>
      <c r="F206" s="134"/>
      <c r="G206" s="181">
        <f>1310200000</f>
        <v>1310200000</v>
      </c>
      <c r="H206" s="134"/>
      <c r="I206" s="134"/>
      <c r="J206" s="6"/>
      <c r="K206" s="849"/>
    </row>
    <row r="207" spans="1:14" x14ac:dyDescent="0.25">
      <c r="A207" s="71"/>
      <c r="B207" s="76" t="s">
        <v>95</v>
      </c>
      <c r="C207" s="806">
        <f>SUM(C204:C206)</f>
        <v>2555640000</v>
      </c>
      <c r="D207" s="141">
        <f>SUM(D204:D205)</f>
        <v>8.9605734767025089E-2</v>
      </c>
      <c r="E207" s="134"/>
      <c r="F207" s="134"/>
      <c r="G207" s="181">
        <f>SUM(G204:G206)</f>
        <v>1345840000</v>
      </c>
      <c r="H207" s="134"/>
      <c r="I207" s="134"/>
      <c r="J207" s="56">
        <v>0</v>
      </c>
      <c r="K207" s="143"/>
    </row>
    <row r="208" spans="1:14" x14ac:dyDescent="0.25">
      <c r="A208" s="186"/>
      <c r="B208" s="2"/>
      <c r="C208" s="187"/>
      <c r="D208" s="188"/>
      <c r="E208" s="183"/>
      <c r="F208" s="183"/>
      <c r="G208" s="184"/>
      <c r="H208" s="183"/>
      <c r="I208" s="183"/>
      <c r="J208" s="189"/>
      <c r="K208" s="53"/>
    </row>
    <row r="209" spans="1:11" x14ac:dyDescent="0.25">
      <c r="A209" s="1080" t="s">
        <v>2</v>
      </c>
      <c r="B209" s="1081" t="s">
        <v>168</v>
      </c>
      <c r="C209" s="1080" t="s">
        <v>4</v>
      </c>
      <c r="D209" s="1075" t="s">
        <v>5</v>
      </c>
      <c r="E209" s="1076"/>
      <c r="F209" s="1076"/>
      <c r="G209" s="1077" t="s">
        <v>6</v>
      </c>
      <c r="H209" s="1076"/>
      <c r="I209" s="1076"/>
      <c r="J209" s="1080" t="s">
        <v>7</v>
      </c>
      <c r="K209" s="95" t="s">
        <v>8</v>
      </c>
    </row>
    <row r="210" spans="1:11" x14ac:dyDescent="0.25">
      <c r="A210" s="1080"/>
      <c r="B210" s="1081"/>
      <c r="C210" s="1080"/>
      <c r="D210" s="95" t="s">
        <v>9</v>
      </c>
      <c r="E210" s="294" t="s">
        <v>10</v>
      </c>
      <c r="F210" s="294" t="s">
        <v>11</v>
      </c>
      <c r="G210" s="299" t="s">
        <v>12</v>
      </c>
      <c r="H210" s="294" t="s">
        <v>13</v>
      </c>
      <c r="I210" s="294" t="s">
        <v>11</v>
      </c>
      <c r="J210" s="1078"/>
      <c r="K210" s="98"/>
    </row>
    <row r="211" spans="1:11" x14ac:dyDescent="0.25">
      <c r="A211" s="1080"/>
      <c r="B211" s="1081"/>
      <c r="C211" s="1080"/>
      <c r="D211" s="101" t="s">
        <v>14</v>
      </c>
      <c r="E211" s="100" t="s">
        <v>14</v>
      </c>
      <c r="F211" s="100" t="s">
        <v>14</v>
      </c>
      <c r="G211" s="99" t="s">
        <v>15</v>
      </c>
      <c r="H211" s="100" t="s">
        <v>14</v>
      </c>
      <c r="I211" s="100" t="s">
        <v>14</v>
      </c>
      <c r="J211" s="101" t="s">
        <v>15</v>
      </c>
      <c r="K211" s="101"/>
    </row>
    <row r="212" spans="1:11" x14ac:dyDescent="0.25">
      <c r="A212" s="79" t="s">
        <v>185</v>
      </c>
      <c r="B212" s="199" t="s">
        <v>146</v>
      </c>
      <c r="C212" s="24"/>
      <c r="D212" s="10"/>
      <c r="E212" s="34"/>
      <c r="F212" s="34"/>
      <c r="G212" s="6"/>
      <c r="H212" s="34"/>
      <c r="I212" s="34"/>
      <c r="J212" s="10"/>
      <c r="K212" s="10"/>
    </row>
    <row r="213" spans="1:11" x14ac:dyDescent="0.25">
      <c r="A213" s="125" t="s">
        <v>187</v>
      </c>
      <c r="B213" s="280" t="s">
        <v>150</v>
      </c>
      <c r="C213" s="252">
        <f>SUM(C214:C218)</f>
        <v>1635097968</v>
      </c>
      <c r="D213" s="10"/>
      <c r="E213" s="34"/>
      <c r="F213" s="34"/>
      <c r="G213" s="6"/>
      <c r="H213" s="34"/>
      <c r="I213" s="34"/>
      <c r="J213" s="10"/>
      <c r="K213" s="10"/>
    </row>
    <row r="214" spans="1:11" ht="25.5" x14ac:dyDescent="0.25">
      <c r="A214" s="313" t="s">
        <v>44</v>
      </c>
      <c r="B214" s="707" t="s">
        <v>384</v>
      </c>
      <c r="C214" s="253">
        <v>29600000</v>
      </c>
      <c r="D214" s="134">
        <f>C214/C213*100</f>
        <v>1.8102890823236593</v>
      </c>
      <c r="E214" s="134">
        <f t="shared" ref="E214:E217" si="82">G214/C214*100</f>
        <v>100</v>
      </c>
      <c r="F214" s="134">
        <f t="shared" ref="F214:F217" si="83">(D214*E214)/100</f>
        <v>1.8102890823236593</v>
      </c>
      <c r="G214" s="181">
        <f>29600000</f>
        <v>29600000</v>
      </c>
      <c r="H214" s="134">
        <f t="shared" ref="H214:H217" si="84">G214/C214*100</f>
        <v>100</v>
      </c>
      <c r="I214" s="134">
        <f t="shared" ref="I214:I217" si="85">(D214*H214)/100</f>
        <v>1.8102890823236593</v>
      </c>
      <c r="J214" s="6">
        <f t="shared" ref="J214:J218" si="86">G214-C214</f>
        <v>0</v>
      </c>
      <c r="K214" s="10"/>
    </row>
    <row r="215" spans="1:11" x14ac:dyDescent="0.25">
      <c r="A215" s="319" t="s">
        <v>59</v>
      </c>
      <c r="B215" s="707" t="s">
        <v>197</v>
      </c>
      <c r="C215" s="253">
        <v>1300000</v>
      </c>
      <c r="D215" s="134"/>
      <c r="E215" s="134"/>
      <c r="F215" s="134"/>
      <c r="G215" s="181">
        <f>1300000</f>
        <v>1300000</v>
      </c>
      <c r="H215" s="134"/>
      <c r="I215" s="134"/>
      <c r="J215" s="6">
        <f t="shared" si="86"/>
        <v>0</v>
      </c>
      <c r="K215" s="10"/>
    </row>
    <row r="216" spans="1:11" x14ac:dyDescent="0.25">
      <c r="A216" s="49" t="s">
        <v>148</v>
      </c>
      <c r="B216" s="133" t="s">
        <v>531</v>
      </c>
      <c r="C216" s="256">
        <f>1140000000</f>
        <v>1140000000</v>
      </c>
      <c r="D216" s="134">
        <f>C216/C213*100</f>
        <v>69.720593035438228</v>
      </c>
      <c r="E216" s="134">
        <f t="shared" si="82"/>
        <v>42.987157894736846</v>
      </c>
      <c r="F216" s="134">
        <f t="shared" si="83"/>
        <v>29.970901413290729</v>
      </c>
      <c r="G216" s="181">
        <f>17750000+472303600</f>
        <v>490053600</v>
      </c>
      <c r="H216" s="134">
        <f t="shared" si="84"/>
        <v>42.987157894736846</v>
      </c>
      <c r="I216" s="134">
        <f t="shared" si="85"/>
        <v>29.970901413290729</v>
      </c>
      <c r="J216" s="6">
        <f t="shared" si="86"/>
        <v>-649946400</v>
      </c>
      <c r="K216" s="10"/>
    </row>
    <row r="217" spans="1:11" s="84" customFormat="1" ht="25.5" x14ac:dyDescent="0.2">
      <c r="A217" s="49" t="s">
        <v>152</v>
      </c>
      <c r="B217" s="133" t="s">
        <v>153</v>
      </c>
      <c r="C217" s="256">
        <v>456000000</v>
      </c>
      <c r="D217" s="134">
        <f>C217/C213*100</f>
        <v>27.888237214175295</v>
      </c>
      <c r="E217" s="134">
        <f t="shared" si="82"/>
        <v>50</v>
      </c>
      <c r="F217" s="134">
        <f t="shared" si="83"/>
        <v>13.944118607087649</v>
      </c>
      <c r="G217" s="181">
        <f>228000000</f>
        <v>228000000</v>
      </c>
      <c r="H217" s="134">
        <f t="shared" si="84"/>
        <v>50</v>
      </c>
      <c r="I217" s="134">
        <f t="shared" si="85"/>
        <v>13.944118607087649</v>
      </c>
      <c r="J217" s="6">
        <f t="shared" si="86"/>
        <v>-228000000</v>
      </c>
      <c r="K217" s="38"/>
    </row>
    <row r="218" spans="1:11" s="84" customFormat="1" x14ac:dyDescent="0.2">
      <c r="A218" s="749" t="s">
        <v>234</v>
      </c>
      <c r="B218" s="133" t="s">
        <v>522</v>
      </c>
      <c r="C218" s="256">
        <v>8197968</v>
      </c>
      <c r="D218" s="804"/>
      <c r="E218" s="134"/>
      <c r="F218" s="134"/>
      <c r="G218" s="181">
        <f>8197968</f>
        <v>8197968</v>
      </c>
      <c r="H218" s="134"/>
      <c r="I218" s="134"/>
      <c r="J218" s="6">
        <f t="shared" si="86"/>
        <v>0</v>
      </c>
      <c r="K218" s="805"/>
    </row>
    <row r="219" spans="1:11" x14ac:dyDescent="0.25">
      <c r="A219" s="70"/>
      <c r="B219" s="129" t="s">
        <v>95</v>
      </c>
      <c r="C219" s="807">
        <f>SUM(C214:C218)</f>
        <v>1635097968</v>
      </c>
      <c r="D219" s="271">
        <f>SUM(D214:D217)</f>
        <v>99.419119331937182</v>
      </c>
      <c r="E219" s="134"/>
      <c r="F219" s="134"/>
      <c r="G219" s="181">
        <f>SUM(G214:G218)</f>
        <v>757151568</v>
      </c>
      <c r="H219" s="134"/>
      <c r="I219" s="134"/>
      <c r="J219" s="56">
        <v>0</v>
      </c>
      <c r="K219" s="130"/>
    </row>
    <row r="220" spans="1:11" x14ac:dyDescent="0.25">
      <c r="A220" s="186"/>
      <c r="B220" s="2"/>
      <c r="C220" s="187"/>
      <c r="D220" s="188"/>
      <c r="E220" s="183"/>
      <c r="F220" s="183"/>
      <c r="G220" s="184"/>
      <c r="H220" s="183"/>
      <c r="I220" s="183"/>
      <c r="J220" s="189"/>
      <c r="K220" s="53"/>
    </row>
    <row r="221" spans="1:11" x14ac:dyDescent="0.25">
      <c r="A221" s="50"/>
      <c r="B221" s="5"/>
      <c r="C221" s="50"/>
      <c r="D221" s="9"/>
      <c r="E221" s="23"/>
      <c r="F221" s="23"/>
      <c r="G221" s="11"/>
      <c r="H221" s="23"/>
      <c r="I221" s="23"/>
      <c r="J221" s="9"/>
      <c r="K221" s="9"/>
    </row>
    <row r="222" spans="1:11" x14ac:dyDescent="0.25">
      <c r="A222" s="1088" t="s">
        <v>2</v>
      </c>
      <c r="B222" s="1094" t="s">
        <v>133</v>
      </c>
      <c r="C222" s="876"/>
      <c r="D222" s="1097" t="s">
        <v>5</v>
      </c>
      <c r="E222" s="1098"/>
      <c r="F222" s="1099"/>
      <c r="G222" s="1100" t="s">
        <v>6</v>
      </c>
      <c r="H222" s="1101"/>
      <c r="I222" s="1102"/>
      <c r="J222" s="1088" t="s">
        <v>7</v>
      </c>
      <c r="K222" s="108" t="s">
        <v>8</v>
      </c>
    </row>
    <row r="223" spans="1:11" x14ac:dyDescent="0.25">
      <c r="A223" s="1092"/>
      <c r="B223" s="1095"/>
      <c r="C223" s="877" t="s">
        <v>4</v>
      </c>
      <c r="D223" s="109" t="s">
        <v>9</v>
      </c>
      <c r="E223" s="110" t="s">
        <v>10</v>
      </c>
      <c r="F223" s="110" t="s">
        <v>11</v>
      </c>
      <c r="G223" s="111" t="s">
        <v>12</v>
      </c>
      <c r="H223" s="110" t="s">
        <v>13</v>
      </c>
      <c r="I223" s="110" t="s">
        <v>11</v>
      </c>
      <c r="J223" s="1092"/>
      <c r="K223" s="109"/>
    </row>
    <row r="224" spans="1:11" x14ac:dyDescent="0.25">
      <c r="A224" s="1093"/>
      <c r="B224" s="1096"/>
      <c r="C224" s="878"/>
      <c r="D224" s="112" t="s">
        <v>14</v>
      </c>
      <c r="E224" s="113" t="s">
        <v>14</v>
      </c>
      <c r="F224" s="113" t="s">
        <v>14</v>
      </c>
      <c r="G224" s="114" t="s">
        <v>15</v>
      </c>
      <c r="H224" s="113" t="s">
        <v>14</v>
      </c>
      <c r="I224" s="113" t="s">
        <v>14</v>
      </c>
      <c r="J224" s="112" t="s">
        <v>15</v>
      </c>
      <c r="K224" s="112"/>
    </row>
    <row r="225" spans="1:11" ht="25.5" x14ac:dyDescent="0.25">
      <c r="A225" s="79" t="s">
        <v>180</v>
      </c>
      <c r="B225" s="696" t="s">
        <v>379</v>
      </c>
      <c r="C225" s="291"/>
      <c r="D225" s="10"/>
      <c r="E225" s="34"/>
      <c r="F225" s="34"/>
      <c r="G225" s="6"/>
      <c r="H225" s="34"/>
      <c r="I225" s="34"/>
      <c r="J225" s="10"/>
      <c r="K225" s="10"/>
    </row>
    <row r="226" spans="1:11" ht="25.5" x14ac:dyDescent="0.25">
      <c r="A226" s="125" t="s">
        <v>181</v>
      </c>
      <c r="B226" s="697" t="s">
        <v>380</v>
      </c>
      <c r="C226" s="87">
        <f>SUM(C227:C238)</f>
        <v>185000000</v>
      </c>
      <c r="D226" s="10"/>
      <c r="E226" s="34"/>
      <c r="F226" s="34"/>
      <c r="G226" s="6"/>
      <c r="H226" s="34"/>
      <c r="I226" s="34"/>
      <c r="J226" s="10"/>
      <c r="K226" s="10"/>
    </row>
    <row r="227" spans="1:11" ht="25.5" x14ac:dyDescent="0.25">
      <c r="A227" s="49" t="s">
        <v>44</v>
      </c>
      <c r="B227" s="707" t="s">
        <v>384</v>
      </c>
      <c r="C227" s="172">
        <v>8580000</v>
      </c>
      <c r="D227" s="134">
        <f>C227/C226*100</f>
        <v>4.6378378378378375</v>
      </c>
      <c r="E227" s="134">
        <f t="shared" ref="E227:E236" si="87">G227/C227*100</f>
        <v>100</v>
      </c>
      <c r="F227" s="134">
        <f t="shared" ref="F227:F236" si="88">(D227*E227)/100</f>
        <v>4.6378378378378375</v>
      </c>
      <c r="G227" s="181">
        <f>8580000</f>
        <v>8580000</v>
      </c>
      <c r="H227" s="134">
        <f t="shared" ref="H227:H236" si="89">G227/C227*100</f>
        <v>100</v>
      </c>
      <c r="I227" s="134">
        <f t="shared" ref="I227:I236" si="90">(D227*H227)/100</f>
        <v>4.6378378378378375</v>
      </c>
      <c r="J227" s="6">
        <f t="shared" ref="J227:J238" si="91">G227-C227</f>
        <v>0</v>
      </c>
      <c r="K227" s="10"/>
    </row>
    <row r="228" spans="1:11" x14ac:dyDescent="0.25">
      <c r="A228" s="49" t="s">
        <v>59</v>
      </c>
      <c r="B228" s="707" t="s">
        <v>197</v>
      </c>
      <c r="C228" s="256">
        <v>9515700</v>
      </c>
      <c r="D228" s="134">
        <f>C228/C226*100</f>
        <v>5.1436216216216222</v>
      </c>
      <c r="E228" s="134">
        <f t="shared" si="87"/>
        <v>73.49012684300682</v>
      </c>
      <c r="F228" s="134">
        <f t="shared" si="88"/>
        <v>3.7800540540540544</v>
      </c>
      <c r="G228" s="181">
        <f>6993100</f>
        <v>6993100</v>
      </c>
      <c r="H228" s="134">
        <f t="shared" si="89"/>
        <v>73.49012684300682</v>
      </c>
      <c r="I228" s="134">
        <f t="shared" si="90"/>
        <v>3.7800540540540544</v>
      </c>
      <c r="J228" s="6">
        <f t="shared" si="91"/>
        <v>-2522600</v>
      </c>
      <c r="K228" s="10"/>
    </row>
    <row r="229" spans="1:11" x14ac:dyDescent="0.25">
      <c r="A229" s="49" t="s">
        <v>62</v>
      </c>
      <c r="B229" s="707" t="s">
        <v>334</v>
      </c>
      <c r="C229" s="256">
        <v>4450000</v>
      </c>
      <c r="D229" s="134">
        <f>C229/C226*100</f>
        <v>2.4054054054054053</v>
      </c>
      <c r="E229" s="134">
        <f t="shared" si="87"/>
        <v>100</v>
      </c>
      <c r="F229" s="134">
        <f t="shared" si="88"/>
        <v>2.4054054054054053</v>
      </c>
      <c r="G229" s="181">
        <f>4450000</f>
        <v>4450000</v>
      </c>
      <c r="H229" s="134">
        <f t="shared" si="89"/>
        <v>100</v>
      </c>
      <c r="I229" s="134">
        <f t="shared" si="90"/>
        <v>2.4054054054054053</v>
      </c>
      <c r="J229" s="6">
        <f t="shared" si="91"/>
        <v>0</v>
      </c>
      <c r="K229" s="10"/>
    </row>
    <row r="230" spans="1:11" ht="25.5" x14ac:dyDescent="0.25">
      <c r="A230" s="49"/>
      <c r="B230" s="707" t="s">
        <v>532</v>
      </c>
      <c r="C230" s="256">
        <v>3500000</v>
      </c>
      <c r="D230" s="134"/>
      <c r="E230" s="134"/>
      <c r="F230" s="134"/>
      <c r="G230" s="181">
        <f>3500000</f>
        <v>3500000</v>
      </c>
      <c r="H230" s="134"/>
      <c r="I230" s="134"/>
      <c r="J230" s="6">
        <f t="shared" si="91"/>
        <v>0</v>
      </c>
      <c r="K230" s="10"/>
    </row>
    <row r="231" spans="1:11" x14ac:dyDescent="0.25">
      <c r="A231" s="49" t="s">
        <v>77</v>
      </c>
      <c r="B231" s="49" t="s">
        <v>135</v>
      </c>
      <c r="C231" s="174">
        <v>73080000</v>
      </c>
      <c r="D231" s="134">
        <f>C231/C226*100</f>
        <v>39.502702702702699</v>
      </c>
      <c r="E231" s="134">
        <f t="shared" si="87"/>
        <v>23.604269293924464</v>
      </c>
      <c r="F231" s="134">
        <f t="shared" si="88"/>
        <v>9.3243243243243228</v>
      </c>
      <c r="G231" s="181">
        <f>17250000</f>
        <v>17250000</v>
      </c>
      <c r="H231" s="134">
        <f t="shared" si="89"/>
        <v>23.604269293924464</v>
      </c>
      <c r="I231" s="134">
        <f t="shared" si="90"/>
        <v>9.3243243243243228</v>
      </c>
      <c r="J231" s="6">
        <f t="shared" si="91"/>
        <v>-55830000</v>
      </c>
      <c r="K231" s="10"/>
    </row>
    <row r="232" spans="1:11" x14ac:dyDescent="0.25">
      <c r="A232" s="49"/>
      <c r="B232" s="170" t="s">
        <v>178</v>
      </c>
      <c r="C232" s="174">
        <v>5125000</v>
      </c>
      <c r="D232" s="134"/>
      <c r="E232" s="134"/>
      <c r="F232" s="134"/>
      <c r="G232" s="181"/>
      <c r="H232" s="134"/>
      <c r="I232" s="134"/>
      <c r="J232" s="6">
        <f t="shared" si="91"/>
        <v>-5125000</v>
      </c>
      <c r="K232" s="10"/>
    </row>
    <row r="233" spans="1:11" x14ac:dyDescent="0.25">
      <c r="A233" s="49" t="s">
        <v>104</v>
      </c>
      <c r="B233" s="170" t="s">
        <v>179</v>
      </c>
      <c r="C233" s="172">
        <v>33400000</v>
      </c>
      <c r="D233" s="134">
        <f>C233/C226*100</f>
        <v>18.054054054054053</v>
      </c>
      <c r="E233" s="134">
        <f t="shared" si="87"/>
        <v>100</v>
      </c>
      <c r="F233" s="134">
        <f t="shared" si="88"/>
        <v>18.054054054054053</v>
      </c>
      <c r="G233" s="181">
        <f>33400000</f>
        <v>33400000</v>
      </c>
      <c r="H233" s="134">
        <f t="shared" si="89"/>
        <v>100</v>
      </c>
      <c r="I233" s="134">
        <f t="shared" si="90"/>
        <v>18.054054054054053</v>
      </c>
      <c r="J233" s="6">
        <f t="shared" si="91"/>
        <v>0</v>
      </c>
      <c r="K233" s="10"/>
    </row>
    <row r="234" spans="1:11" ht="25.5" x14ac:dyDescent="0.25">
      <c r="A234" s="49" t="s">
        <v>106</v>
      </c>
      <c r="B234" s="316" t="s">
        <v>375</v>
      </c>
      <c r="C234" s="178">
        <v>16500000</v>
      </c>
      <c r="D234" s="134">
        <f>C234/C226*100</f>
        <v>8.9189189189189193</v>
      </c>
      <c r="E234" s="134">
        <f t="shared" si="87"/>
        <v>74.545454545454547</v>
      </c>
      <c r="F234" s="134">
        <f t="shared" si="88"/>
        <v>6.6486486486486491</v>
      </c>
      <c r="G234" s="181">
        <f>12300000</f>
        <v>12300000</v>
      </c>
      <c r="H234" s="134">
        <f t="shared" si="89"/>
        <v>74.545454545454547</v>
      </c>
      <c r="I234" s="134">
        <f t="shared" si="90"/>
        <v>6.6486486486486491</v>
      </c>
      <c r="J234" s="6">
        <f t="shared" si="91"/>
        <v>-4200000</v>
      </c>
      <c r="K234" s="10"/>
    </row>
    <row r="235" spans="1:11" x14ac:dyDescent="0.25">
      <c r="A235" s="49"/>
      <c r="B235" s="316" t="s">
        <v>533</v>
      </c>
      <c r="C235" s="178">
        <v>2500000</v>
      </c>
      <c r="D235" s="134"/>
      <c r="E235" s="134"/>
      <c r="F235" s="134"/>
      <c r="G235" s="181">
        <f>2500000</f>
        <v>2500000</v>
      </c>
      <c r="H235" s="134"/>
      <c r="I235" s="134"/>
      <c r="J235" s="6">
        <f t="shared" si="91"/>
        <v>0</v>
      </c>
      <c r="K235" s="10"/>
    </row>
    <row r="236" spans="1:11" ht="25.5" x14ac:dyDescent="0.25">
      <c r="A236" s="49" t="s">
        <v>116</v>
      </c>
      <c r="B236" s="133" t="s">
        <v>371</v>
      </c>
      <c r="C236" s="178">
        <v>4824300</v>
      </c>
      <c r="D236" s="134">
        <f>C236/C226*100</f>
        <v>2.6077297297297299</v>
      </c>
      <c r="E236" s="134">
        <f t="shared" si="87"/>
        <v>62.181041809174388</v>
      </c>
      <c r="F236" s="134">
        <f t="shared" si="88"/>
        <v>1.6215135135135137</v>
      </c>
      <c r="G236" s="181">
        <v>2999800</v>
      </c>
      <c r="H236" s="134">
        <f t="shared" si="89"/>
        <v>62.181041809174388</v>
      </c>
      <c r="I236" s="134">
        <f t="shared" si="90"/>
        <v>1.6215135135135137</v>
      </c>
      <c r="J236" s="6">
        <f t="shared" si="91"/>
        <v>-1824500</v>
      </c>
      <c r="K236" s="10"/>
    </row>
    <row r="237" spans="1:11" x14ac:dyDescent="0.25">
      <c r="A237" s="749" t="s">
        <v>121</v>
      </c>
      <c r="B237" s="315" t="s">
        <v>191</v>
      </c>
      <c r="C237" s="178">
        <v>19400000</v>
      </c>
      <c r="D237" s="134"/>
      <c r="E237" s="134"/>
      <c r="F237" s="134"/>
      <c r="G237" s="181">
        <f>19400000</f>
        <v>19400000</v>
      </c>
      <c r="H237" s="134"/>
      <c r="I237" s="134"/>
      <c r="J237" s="6">
        <f t="shared" si="91"/>
        <v>0</v>
      </c>
      <c r="K237" s="10"/>
    </row>
    <row r="238" spans="1:11" x14ac:dyDescent="0.25">
      <c r="A238" s="749" t="s">
        <v>407</v>
      </c>
      <c r="B238" s="133" t="s">
        <v>424</v>
      </c>
      <c r="C238" s="178">
        <v>4125000</v>
      </c>
      <c r="D238" s="134"/>
      <c r="E238" s="134"/>
      <c r="F238" s="134"/>
      <c r="G238" s="181">
        <v>4125000</v>
      </c>
      <c r="H238" s="134"/>
      <c r="I238" s="134"/>
      <c r="J238" s="6">
        <f t="shared" si="91"/>
        <v>0</v>
      </c>
      <c r="K238" s="10"/>
    </row>
    <row r="239" spans="1:11" x14ac:dyDescent="0.25">
      <c r="A239" s="70"/>
      <c r="B239" s="880" t="s">
        <v>136</v>
      </c>
      <c r="C239" s="43">
        <f>SUM(C227:C238)</f>
        <v>185000000</v>
      </c>
      <c r="D239" s="12">
        <f>SUM(D227:D236)</f>
        <v>81.27027027027026</v>
      </c>
      <c r="E239" s="134"/>
      <c r="F239" s="134"/>
      <c r="G239" s="837">
        <f>SUM(G227:G238)</f>
        <v>115497900</v>
      </c>
      <c r="H239" s="134"/>
      <c r="I239" s="134"/>
      <c r="J239" s="734"/>
      <c r="K239" s="3"/>
    </row>
    <row r="240" spans="1:11" x14ac:dyDescent="0.25">
      <c r="A240" s="53"/>
      <c r="B240" s="5"/>
      <c r="C240" s="189"/>
      <c r="D240" s="29"/>
      <c r="E240" s="30"/>
      <c r="F240" s="23"/>
      <c r="G240" s="11"/>
      <c r="H240" s="32"/>
      <c r="I240" s="23"/>
      <c r="J240" s="15"/>
      <c r="K240" s="37"/>
    </row>
    <row r="241" spans="1:14" ht="31.5" x14ac:dyDescent="0.25">
      <c r="A241" s="55"/>
      <c r="B241" s="46" t="s">
        <v>145</v>
      </c>
      <c r="C241" s="155"/>
      <c r="D241" s="44"/>
      <c r="E241" s="45"/>
      <c r="F241" s="45"/>
      <c r="G241" s="48"/>
      <c r="H241" s="45"/>
      <c r="I241" s="45"/>
      <c r="J241" s="44"/>
      <c r="K241" s="44"/>
      <c r="L241" s="1"/>
      <c r="M241" s="1"/>
      <c r="N241" s="1"/>
    </row>
    <row r="242" spans="1:14" x14ac:dyDescent="0.25">
      <c r="A242" s="1087" t="s">
        <v>2</v>
      </c>
      <c r="B242" s="1089" t="s">
        <v>169</v>
      </c>
      <c r="C242" s="1087" t="s">
        <v>4</v>
      </c>
      <c r="D242" s="1090" t="s">
        <v>5</v>
      </c>
      <c r="E242" s="1090"/>
      <c r="F242" s="1090"/>
      <c r="G242" s="1091" t="s">
        <v>6</v>
      </c>
      <c r="H242" s="1091"/>
      <c r="I242" s="1091"/>
      <c r="J242" s="1087" t="s">
        <v>7</v>
      </c>
      <c r="K242" s="108" t="s">
        <v>8</v>
      </c>
    </row>
    <row r="243" spans="1:14" x14ac:dyDescent="0.25">
      <c r="A243" s="1087"/>
      <c r="B243" s="1089"/>
      <c r="C243" s="1087"/>
      <c r="D243" s="108" t="s">
        <v>9</v>
      </c>
      <c r="E243" s="300" t="s">
        <v>10</v>
      </c>
      <c r="F243" s="300" t="s">
        <v>11</v>
      </c>
      <c r="G243" s="301" t="s">
        <v>12</v>
      </c>
      <c r="H243" s="300" t="s">
        <v>13</v>
      </c>
      <c r="I243" s="300" t="s">
        <v>11</v>
      </c>
      <c r="J243" s="1088"/>
      <c r="K243" s="109"/>
    </row>
    <row r="244" spans="1:14" x14ac:dyDescent="0.25">
      <c r="A244" s="1087"/>
      <c r="B244" s="1089"/>
      <c r="C244" s="1087"/>
      <c r="D244" s="112" t="s">
        <v>14</v>
      </c>
      <c r="E244" s="113" t="s">
        <v>14</v>
      </c>
      <c r="F244" s="113" t="s">
        <v>14</v>
      </c>
      <c r="G244" s="114" t="s">
        <v>15</v>
      </c>
      <c r="H244" s="113" t="s">
        <v>14</v>
      </c>
      <c r="I244" s="113" t="s">
        <v>14</v>
      </c>
      <c r="J244" s="112" t="s">
        <v>15</v>
      </c>
      <c r="K244" s="112"/>
    </row>
    <row r="245" spans="1:14" x14ac:dyDescent="0.25">
      <c r="A245" s="79" t="s">
        <v>185</v>
      </c>
      <c r="B245" s="199" t="s">
        <v>146</v>
      </c>
      <c r="C245" s="24"/>
      <c r="D245" s="10"/>
      <c r="E245" s="34"/>
      <c r="F245" s="34"/>
      <c r="G245" s="6"/>
      <c r="H245" s="34"/>
      <c r="I245" s="34"/>
      <c r="J245" s="10"/>
      <c r="K245" s="10"/>
    </row>
    <row r="246" spans="1:14" x14ac:dyDescent="0.25">
      <c r="A246" s="125" t="s">
        <v>184</v>
      </c>
      <c r="B246" s="280" t="s">
        <v>147</v>
      </c>
      <c r="C246" s="252">
        <f>SUM(C247:C248)</f>
        <v>2905640000</v>
      </c>
      <c r="D246" s="10"/>
      <c r="E246" s="34"/>
      <c r="F246" s="34"/>
      <c r="G246" s="6"/>
      <c r="H246" s="34"/>
      <c r="I246" s="34"/>
      <c r="J246" s="10"/>
      <c r="K246" s="10"/>
    </row>
    <row r="247" spans="1:14" ht="25.5" x14ac:dyDescent="0.25">
      <c r="A247" s="313" t="s">
        <v>44</v>
      </c>
      <c r="B247" s="707" t="s">
        <v>384</v>
      </c>
      <c r="C247" s="253">
        <v>35640000</v>
      </c>
      <c r="D247" s="134">
        <f>C247/C246*100</f>
        <v>1.2265800305612533</v>
      </c>
      <c r="E247" s="134">
        <f t="shared" ref="E247:E248" si="92">G247/C247*100</f>
        <v>50</v>
      </c>
      <c r="F247" s="134">
        <f t="shared" ref="F247:F248" si="93">(D247*E247)/100</f>
        <v>0.61329001528062665</v>
      </c>
      <c r="G247" s="181">
        <f>17820000</f>
        <v>17820000</v>
      </c>
      <c r="H247" s="134">
        <f t="shared" ref="H247:H248" si="94">G247/C247*100</f>
        <v>50</v>
      </c>
      <c r="I247" s="134">
        <f t="shared" ref="I247:I248" si="95">(D247*H247)/100</f>
        <v>0.61329001528062665</v>
      </c>
      <c r="J247" s="6">
        <f t="shared" ref="J247:J248" si="96">G247-C247</f>
        <v>-17820000</v>
      </c>
      <c r="K247" s="10"/>
    </row>
    <row r="248" spans="1:14" x14ac:dyDescent="0.25">
      <c r="A248" s="49" t="s">
        <v>148</v>
      </c>
      <c r="B248" s="133" t="s">
        <v>534</v>
      </c>
      <c r="C248" s="256">
        <v>2870000000</v>
      </c>
      <c r="D248" s="268">
        <f>C248/C246*100</f>
        <v>98.773419969438748</v>
      </c>
      <c r="E248" s="134">
        <f t="shared" si="92"/>
        <v>9.76376306620209</v>
      </c>
      <c r="F248" s="134">
        <f t="shared" si="93"/>
        <v>9.6440026982007403</v>
      </c>
      <c r="G248" s="181">
        <f>280220000</f>
        <v>280220000</v>
      </c>
      <c r="H248" s="134">
        <f t="shared" si="94"/>
        <v>9.76376306620209</v>
      </c>
      <c r="I248" s="134">
        <f t="shared" si="95"/>
        <v>9.6440026982007403</v>
      </c>
      <c r="J248" s="6">
        <f t="shared" si="96"/>
        <v>-2589780000</v>
      </c>
      <c r="K248" s="3"/>
    </row>
    <row r="249" spans="1:14" x14ac:dyDescent="0.25">
      <c r="A249" s="71"/>
      <c r="B249" s="76" t="s">
        <v>95</v>
      </c>
      <c r="C249" s="808">
        <f>SUM(C247:C248)</f>
        <v>2905640000</v>
      </c>
      <c r="D249" s="274">
        <f>SUM(D247:D248)</f>
        <v>100</v>
      </c>
      <c r="E249" s="134"/>
      <c r="F249" s="134"/>
      <c r="G249" s="181">
        <f>SUM(G247:G248)</f>
        <v>298040000</v>
      </c>
      <c r="H249" s="134"/>
      <c r="I249" s="134"/>
      <c r="J249" s="734"/>
      <c r="K249" s="40"/>
    </row>
    <row r="250" spans="1:14" x14ac:dyDescent="0.25">
      <c r="A250" s="53"/>
      <c r="B250" s="5"/>
      <c r="C250" s="189"/>
      <c r="D250" s="29"/>
      <c r="E250" s="30"/>
      <c r="F250" s="23"/>
      <c r="G250" s="11"/>
      <c r="H250" s="32"/>
      <c r="I250" s="23"/>
      <c r="J250" s="15"/>
      <c r="K250" s="37"/>
    </row>
    <row r="251" spans="1:14" x14ac:dyDescent="0.25">
      <c r="A251" s="1087" t="s">
        <v>2</v>
      </c>
      <c r="B251" s="1089" t="s">
        <v>169</v>
      </c>
      <c r="C251" s="1087" t="s">
        <v>4</v>
      </c>
      <c r="D251" s="1090" t="s">
        <v>5</v>
      </c>
      <c r="E251" s="1090"/>
      <c r="F251" s="1090"/>
      <c r="G251" s="1091" t="s">
        <v>6</v>
      </c>
      <c r="H251" s="1091"/>
      <c r="I251" s="1091"/>
      <c r="J251" s="1087" t="s">
        <v>7</v>
      </c>
      <c r="K251" s="108" t="s">
        <v>8</v>
      </c>
    </row>
    <row r="252" spans="1:14" x14ac:dyDescent="0.25">
      <c r="A252" s="1087"/>
      <c r="B252" s="1089"/>
      <c r="C252" s="1087"/>
      <c r="D252" s="108" t="s">
        <v>9</v>
      </c>
      <c r="E252" s="300" t="s">
        <v>10</v>
      </c>
      <c r="F252" s="300" t="s">
        <v>11</v>
      </c>
      <c r="G252" s="301" t="s">
        <v>12</v>
      </c>
      <c r="H252" s="300" t="s">
        <v>13</v>
      </c>
      <c r="I252" s="300" t="s">
        <v>11</v>
      </c>
      <c r="J252" s="1088"/>
      <c r="K252" s="109"/>
    </row>
    <row r="253" spans="1:14" x14ac:dyDescent="0.25">
      <c r="A253" s="1087"/>
      <c r="B253" s="1089"/>
      <c r="C253" s="1087"/>
      <c r="D253" s="112" t="s">
        <v>14</v>
      </c>
      <c r="E253" s="113" t="s">
        <v>14</v>
      </c>
      <c r="F253" s="113" t="s">
        <v>14</v>
      </c>
      <c r="G253" s="114" t="s">
        <v>15</v>
      </c>
      <c r="H253" s="113" t="s">
        <v>14</v>
      </c>
      <c r="I253" s="113" t="s">
        <v>14</v>
      </c>
      <c r="J253" s="112" t="s">
        <v>15</v>
      </c>
      <c r="K253" s="112"/>
    </row>
    <row r="254" spans="1:14" x14ac:dyDescent="0.25">
      <c r="A254" s="79" t="s">
        <v>185</v>
      </c>
      <c r="B254" s="199" t="s">
        <v>146</v>
      </c>
      <c r="C254" s="24"/>
      <c r="D254" s="10"/>
      <c r="E254" s="34"/>
      <c r="F254" s="34"/>
      <c r="G254" s="6"/>
      <c r="H254" s="34"/>
      <c r="I254" s="34"/>
      <c r="J254" s="10"/>
      <c r="K254" s="10"/>
    </row>
    <row r="255" spans="1:14" x14ac:dyDescent="0.25">
      <c r="A255" s="125" t="s">
        <v>187</v>
      </c>
      <c r="B255" s="280" t="s">
        <v>150</v>
      </c>
      <c r="C255" s="252">
        <f>SUM(C256:C260)</f>
        <v>1761745176</v>
      </c>
      <c r="D255" s="10"/>
      <c r="E255" s="34"/>
      <c r="F255" s="34"/>
      <c r="G255" s="6"/>
      <c r="H255" s="34"/>
      <c r="I255" s="34"/>
      <c r="J255" s="10"/>
      <c r="K255" s="10"/>
    </row>
    <row r="256" spans="1:14" ht="25.5" x14ac:dyDescent="0.25">
      <c r="A256" s="313" t="s">
        <v>44</v>
      </c>
      <c r="B256" s="707" t="s">
        <v>384</v>
      </c>
      <c r="C256" s="253">
        <v>30210000</v>
      </c>
      <c r="D256" s="134">
        <f>C256/C255*100</f>
        <v>1.7147769388868757</v>
      </c>
      <c r="E256" s="134">
        <f t="shared" ref="E256:E259" si="97">G256/C256*100</f>
        <v>0</v>
      </c>
      <c r="F256" s="134">
        <f t="shared" ref="F256:F259" si="98">(D256*E256)/100</f>
        <v>0</v>
      </c>
      <c r="G256" s="181">
        <v>0</v>
      </c>
      <c r="H256" s="134">
        <f t="shared" ref="H256:H259" si="99">G256/C256*100</f>
        <v>0</v>
      </c>
      <c r="I256" s="134">
        <f t="shared" ref="I256:I259" si="100">(D256*H256)/100</f>
        <v>0</v>
      </c>
      <c r="J256" s="6">
        <f t="shared" ref="J256:J260" si="101">G256-C256</f>
        <v>-30210000</v>
      </c>
      <c r="K256" s="10"/>
    </row>
    <row r="257" spans="1:11" x14ac:dyDescent="0.25">
      <c r="A257" s="313" t="s">
        <v>59</v>
      </c>
      <c r="B257" s="707" t="s">
        <v>197</v>
      </c>
      <c r="C257" s="253">
        <v>690000</v>
      </c>
      <c r="D257" s="134">
        <f>C257/C255*100</f>
        <v>3.9165709627009077E-2</v>
      </c>
      <c r="E257" s="134">
        <f t="shared" si="97"/>
        <v>100</v>
      </c>
      <c r="F257" s="134">
        <f t="shared" si="98"/>
        <v>3.9165709627009077E-2</v>
      </c>
      <c r="G257" s="181">
        <f>690000</f>
        <v>690000</v>
      </c>
      <c r="H257" s="134">
        <f t="shared" si="99"/>
        <v>100</v>
      </c>
      <c r="I257" s="134">
        <f t="shared" si="100"/>
        <v>3.9165709627009077E-2</v>
      </c>
      <c r="J257" s="6">
        <f t="shared" si="101"/>
        <v>0</v>
      </c>
      <c r="K257" s="10"/>
    </row>
    <row r="258" spans="1:11" x14ac:dyDescent="0.25">
      <c r="A258" s="312" t="s">
        <v>157</v>
      </c>
      <c r="B258" s="133" t="s">
        <v>534</v>
      </c>
      <c r="C258" s="256">
        <v>1230000000</v>
      </c>
      <c r="D258" s="134">
        <f>C258/C255*100</f>
        <v>69.817134552494437</v>
      </c>
      <c r="E258" s="134">
        <f t="shared" si="97"/>
        <v>15.979674796747966</v>
      </c>
      <c r="F258" s="134">
        <f t="shared" si="98"/>
        <v>11.156551053896569</v>
      </c>
      <c r="G258" s="181">
        <f>4000000+192550000</f>
        <v>196550000</v>
      </c>
      <c r="H258" s="134">
        <f t="shared" si="99"/>
        <v>15.979674796747966</v>
      </c>
      <c r="I258" s="134">
        <f t="shared" si="100"/>
        <v>11.156551053896569</v>
      </c>
      <c r="J258" s="6">
        <f t="shared" si="101"/>
        <v>-1033450000</v>
      </c>
      <c r="K258" s="10"/>
    </row>
    <row r="259" spans="1:11" s="84" customFormat="1" ht="25.5" x14ac:dyDescent="0.2">
      <c r="A259" s="312" t="s">
        <v>152</v>
      </c>
      <c r="B259" s="133" t="s">
        <v>159</v>
      </c>
      <c r="C259" s="256">
        <v>492000000</v>
      </c>
      <c r="D259" s="134">
        <f>C259/C255*100</f>
        <v>27.926853820997778</v>
      </c>
      <c r="E259" s="134">
        <f t="shared" si="97"/>
        <v>41.666666666666671</v>
      </c>
      <c r="F259" s="134">
        <f t="shared" si="98"/>
        <v>11.636189092082409</v>
      </c>
      <c r="G259" s="181">
        <f>205000000</f>
        <v>205000000</v>
      </c>
      <c r="H259" s="134">
        <f t="shared" si="99"/>
        <v>41.666666666666671</v>
      </c>
      <c r="I259" s="134">
        <f t="shared" si="100"/>
        <v>11.636189092082409</v>
      </c>
      <c r="J259" s="6">
        <f t="shared" si="101"/>
        <v>-287000000</v>
      </c>
      <c r="K259" s="38"/>
    </row>
    <row r="260" spans="1:11" s="84" customFormat="1" x14ac:dyDescent="0.2">
      <c r="A260" s="749" t="s">
        <v>234</v>
      </c>
      <c r="B260" s="133" t="s">
        <v>522</v>
      </c>
      <c r="C260" s="256">
        <v>8845176</v>
      </c>
      <c r="D260" s="804"/>
      <c r="E260" s="134"/>
      <c r="F260" s="134"/>
      <c r="G260" s="181">
        <f>8197968</f>
        <v>8197968</v>
      </c>
      <c r="H260" s="134"/>
      <c r="I260" s="134"/>
      <c r="J260" s="6">
        <f t="shared" si="101"/>
        <v>-647208</v>
      </c>
      <c r="K260" s="805"/>
    </row>
    <row r="261" spans="1:11" x14ac:dyDescent="0.25">
      <c r="A261" s="70"/>
      <c r="B261" s="129" t="s">
        <v>95</v>
      </c>
      <c r="C261" s="807">
        <f>SUM(C256:C260)</f>
        <v>1761745176</v>
      </c>
      <c r="D261" s="271">
        <f>SUM(D256:D259)</f>
        <v>99.4979310220061</v>
      </c>
      <c r="E261" s="134"/>
      <c r="F261" s="134"/>
      <c r="G261" s="181">
        <f>SUM(G256:G260)</f>
        <v>410437968</v>
      </c>
      <c r="H261" s="134"/>
      <c r="I261" s="134"/>
      <c r="J261" s="56">
        <v>0</v>
      </c>
      <c r="K261" s="130"/>
    </row>
    <row r="262" spans="1:11" x14ac:dyDescent="0.25">
      <c r="A262" s="53"/>
      <c r="B262" s="5"/>
      <c r="C262" s="189"/>
      <c r="D262" s="29"/>
      <c r="E262" s="30"/>
      <c r="F262" s="23"/>
      <c r="G262" s="11"/>
      <c r="H262" s="32"/>
      <c r="I262" s="23"/>
      <c r="J262" s="15"/>
      <c r="K262" s="37"/>
    </row>
    <row r="263" spans="1:11" x14ac:dyDescent="0.25">
      <c r="A263" s="50"/>
      <c r="B263" s="5"/>
      <c r="C263" s="50"/>
      <c r="D263" s="9"/>
      <c r="E263" s="23"/>
      <c r="F263" s="23"/>
      <c r="G263" s="11"/>
      <c r="H263" s="23"/>
      <c r="I263" s="23"/>
      <c r="J263" s="9"/>
      <c r="K263" s="9"/>
    </row>
    <row r="264" spans="1:11" x14ac:dyDescent="0.25">
      <c r="A264" s="50"/>
      <c r="B264" s="5"/>
      <c r="C264" s="50"/>
      <c r="D264" s="9"/>
      <c r="E264" s="23"/>
      <c r="F264" s="23"/>
      <c r="G264" s="11"/>
      <c r="H264" s="23"/>
      <c r="I264" s="23"/>
      <c r="J264" s="9"/>
      <c r="K264" s="9"/>
    </row>
    <row r="265" spans="1:11" x14ac:dyDescent="0.25">
      <c r="A265" s="1103" t="s">
        <v>2</v>
      </c>
      <c r="B265" s="1116" t="s">
        <v>137</v>
      </c>
      <c r="C265" s="1103" t="s">
        <v>4</v>
      </c>
      <c r="D265" s="1105" t="s">
        <v>5</v>
      </c>
      <c r="E265" s="1106"/>
      <c r="F265" s="1106"/>
      <c r="G265" s="1107" t="s">
        <v>6</v>
      </c>
      <c r="H265" s="1106"/>
      <c r="I265" s="1106"/>
      <c r="J265" s="1108" t="s">
        <v>7</v>
      </c>
      <c r="K265" s="1108" t="s">
        <v>8</v>
      </c>
    </row>
    <row r="266" spans="1:11" x14ac:dyDescent="0.25">
      <c r="A266" s="1103"/>
      <c r="B266" s="1117"/>
      <c r="C266" s="1103"/>
      <c r="D266" s="102" t="s">
        <v>9</v>
      </c>
      <c r="E266" s="103" t="s">
        <v>10</v>
      </c>
      <c r="F266" s="103" t="s">
        <v>11</v>
      </c>
      <c r="G266" s="104" t="s">
        <v>12</v>
      </c>
      <c r="H266" s="103" t="s">
        <v>13</v>
      </c>
      <c r="I266" s="103" t="s">
        <v>11</v>
      </c>
      <c r="J266" s="1109"/>
      <c r="K266" s="1109"/>
    </row>
    <row r="267" spans="1:11" x14ac:dyDescent="0.25">
      <c r="A267" s="1103"/>
      <c r="B267" s="1118"/>
      <c r="C267" s="1103"/>
      <c r="D267" s="105" t="s">
        <v>14</v>
      </c>
      <c r="E267" s="106" t="s">
        <v>14</v>
      </c>
      <c r="F267" s="106" t="s">
        <v>14</v>
      </c>
      <c r="G267" s="107" t="s">
        <v>15</v>
      </c>
      <c r="H267" s="106" t="s">
        <v>14</v>
      </c>
      <c r="I267" s="106" t="s">
        <v>14</v>
      </c>
      <c r="J267" s="105" t="s">
        <v>15</v>
      </c>
      <c r="K267" s="1110"/>
    </row>
    <row r="268" spans="1:11" ht="25.5" x14ac:dyDescent="0.25">
      <c r="A268" s="79" t="s">
        <v>180</v>
      </c>
      <c r="B268" s="696" t="s">
        <v>379</v>
      </c>
      <c r="C268" s="64"/>
      <c r="D268" s="10"/>
      <c r="E268" s="34"/>
      <c r="F268" s="34"/>
      <c r="G268" s="6"/>
      <c r="H268" s="34"/>
      <c r="I268" s="34"/>
      <c r="J268" s="10"/>
      <c r="K268" s="10"/>
    </row>
    <row r="269" spans="1:11" ht="25.5" x14ac:dyDescent="0.25">
      <c r="A269" s="140" t="s">
        <v>181</v>
      </c>
      <c r="B269" s="697" t="s">
        <v>380</v>
      </c>
      <c r="C269" s="86">
        <f>SUM(C270:C282)</f>
        <v>185000000</v>
      </c>
      <c r="D269" s="179"/>
      <c r="E269" s="168"/>
      <c r="F269" s="168"/>
      <c r="G269" s="169"/>
      <c r="H269" s="168"/>
      <c r="I269" s="168"/>
      <c r="J269" s="167"/>
      <c r="K269" s="167"/>
    </row>
    <row r="270" spans="1:11" ht="25.5" x14ac:dyDescent="0.25">
      <c r="A270" s="170" t="s">
        <v>44</v>
      </c>
      <c r="B270" s="707" t="s">
        <v>384</v>
      </c>
      <c r="C270" s="58">
        <v>8580000</v>
      </c>
      <c r="D270" s="180">
        <f>C270/C269*100</f>
        <v>4.6378378378378375</v>
      </c>
      <c r="E270" s="134">
        <f t="shared" ref="E270:E281" si="102">G270/C270*100</f>
        <v>89.16083916083916</v>
      </c>
      <c r="F270" s="134">
        <f t="shared" ref="F270:F281" si="103">(D270*E270)/100</f>
        <v>4.1351351351351351</v>
      </c>
      <c r="G270" s="181">
        <f>7650000</f>
        <v>7650000</v>
      </c>
      <c r="H270" s="134">
        <f t="shared" ref="H270:H281" si="104">G270/C270*100</f>
        <v>89.16083916083916</v>
      </c>
      <c r="I270" s="134">
        <f t="shared" ref="I270:I281" si="105">(D270*H270)/100</f>
        <v>4.1351351351351351</v>
      </c>
      <c r="J270" s="6">
        <f t="shared" ref="J270:J282" si="106">G270-C270</f>
        <v>-930000</v>
      </c>
      <c r="K270" s="167"/>
    </row>
    <row r="271" spans="1:11" x14ac:dyDescent="0.25">
      <c r="A271" s="170" t="s">
        <v>221</v>
      </c>
      <c r="B271" s="707" t="s">
        <v>530</v>
      </c>
      <c r="C271" s="58">
        <v>1350000</v>
      </c>
      <c r="D271" s="180"/>
      <c r="E271" s="134"/>
      <c r="F271" s="134"/>
      <c r="G271" s="181">
        <f>1350000</f>
        <v>1350000</v>
      </c>
      <c r="H271" s="134"/>
      <c r="I271" s="134"/>
      <c r="J271" s="6">
        <f t="shared" si="106"/>
        <v>0</v>
      </c>
      <c r="K271" s="167"/>
    </row>
    <row r="272" spans="1:11" x14ac:dyDescent="0.25">
      <c r="A272" s="170" t="s">
        <v>59</v>
      </c>
      <c r="B272" s="707" t="s">
        <v>197</v>
      </c>
      <c r="C272" s="58">
        <v>14728000</v>
      </c>
      <c r="D272" s="729">
        <f>C272/C269*100</f>
        <v>7.9610810810810815</v>
      </c>
      <c r="E272" s="134">
        <f t="shared" si="102"/>
        <v>54.318305268875612</v>
      </c>
      <c r="F272" s="134">
        <f t="shared" si="103"/>
        <v>4.3243243243243246</v>
      </c>
      <c r="G272" s="181">
        <f>8000000</f>
        <v>8000000</v>
      </c>
      <c r="H272" s="134">
        <f t="shared" si="104"/>
        <v>54.318305268875612</v>
      </c>
      <c r="I272" s="134">
        <f t="shared" si="105"/>
        <v>4.3243243243243246</v>
      </c>
      <c r="J272" s="6">
        <f t="shared" si="106"/>
        <v>-6728000</v>
      </c>
      <c r="K272" s="167"/>
    </row>
    <row r="273" spans="1:14" x14ac:dyDescent="0.25">
      <c r="A273" s="170" t="s">
        <v>62</v>
      </c>
      <c r="B273" s="707" t="s">
        <v>334</v>
      </c>
      <c r="C273" s="58">
        <v>8500000</v>
      </c>
      <c r="D273" s="729">
        <f>C273/C269*100</f>
        <v>4.5945945945945947</v>
      </c>
      <c r="E273" s="134">
        <f t="shared" si="102"/>
        <v>58.82352941176471</v>
      </c>
      <c r="F273" s="134">
        <f t="shared" si="103"/>
        <v>2.7027027027027031</v>
      </c>
      <c r="G273" s="181">
        <f>5000000</f>
        <v>5000000</v>
      </c>
      <c r="H273" s="134">
        <f t="shared" si="104"/>
        <v>58.82352941176471</v>
      </c>
      <c r="I273" s="134">
        <f t="shared" si="105"/>
        <v>2.7027027027027031</v>
      </c>
      <c r="J273" s="6">
        <f t="shared" si="106"/>
        <v>-3500000</v>
      </c>
      <c r="K273" s="167"/>
    </row>
    <row r="274" spans="1:14" x14ac:dyDescent="0.25">
      <c r="A274" s="49" t="s">
        <v>148</v>
      </c>
      <c r="B274" s="133" t="s">
        <v>534</v>
      </c>
      <c r="C274" s="58">
        <v>10500000</v>
      </c>
      <c r="D274" s="729"/>
      <c r="E274" s="134"/>
      <c r="F274" s="134"/>
      <c r="G274" s="181">
        <f>10500000</f>
        <v>10500000</v>
      </c>
      <c r="H274" s="134"/>
      <c r="I274" s="134"/>
      <c r="J274" s="6">
        <f t="shared" si="106"/>
        <v>0</v>
      </c>
      <c r="K274" s="167"/>
    </row>
    <row r="275" spans="1:14" x14ac:dyDescent="0.25">
      <c r="A275" s="170" t="s">
        <v>77</v>
      </c>
      <c r="B275" s="49" t="s">
        <v>135</v>
      </c>
      <c r="C275" s="58">
        <v>72860000</v>
      </c>
      <c r="D275" s="729">
        <f>C275/C269*100</f>
        <v>39.383783783783784</v>
      </c>
      <c r="E275" s="134">
        <f t="shared" si="102"/>
        <v>49.220422728520454</v>
      </c>
      <c r="F275" s="134">
        <f t="shared" si="103"/>
        <v>19.384864864864866</v>
      </c>
      <c r="G275" s="181">
        <f>35862000</f>
        <v>35862000</v>
      </c>
      <c r="H275" s="134">
        <f t="shared" si="104"/>
        <v>49.220422728520454</v>
      </c>
      <c r="I275" s="134">
        <f t="shared" si="105"/>
        <v>19.384864864864866</v>
      </c>
      <c r="J275" s="6">
        <f t="shared" si="106"/>
        <v>-36998000</v>
      </c>
      <c r="K275" s="167"/>
    </row>
    <row r="276" spans="1:14" x14ac:dyDescent="0.25">
      <c r="A276" s="170" t="s">
        <v>104</v>
      </c>
      <c r="B276" s="170" t="s">
        <v>179</v>
      </c>
      <c r="C276" s="58">
        <v>34200000</v>
      </c>
      <c r="D276" s="729">
        <f>C276/C269*100</f>
        <v>18.486486486486488</v>
      </c>
      <c r="E276" s="134">
        <f t="shared" si="102"/>
        <v>100</v>
      </c>
      <c r="F276" s="134">
        <f t="shared" si="103"/>
        <v>18.486486486486488</v>
      </c>
      <c r="G276" s="181">
        <f>34200000</f>
        <v>34200000</v>
      </c>
      <c r="H276" s="134">
        <f t="shared" si="104"/>
        <v>100</v>
      </c>
      <c r="I276" s="134">
        <f t="shared" si="105"/>
        <v>18.486486486486488</v>
      </c>
      <c r="J276" s="6">
        <f t="shared" si="106"/>
        <v>0</v>
      </c>
      <c r="K276" s="167"/>
    </row>
    <row r="277" spans="1:14" x14ac:dyDescent="0.25">
      <c r="A277" s="170" t="s">
        <v>130</v>
      </c>
      <c r="B277" s="170" t="s">
        <v>131</v>
      </c>
      <c r="C277" s="58">
        <v>3000000</v>
      </c>
      <c r="D277" s="729">
        <f>C277/C269*100</f>
        <v>1.6216216216216217</v>
      </c>
      <c r="E277" s="134">
        <f t="shared" si="102"/>
        <v>0</v>
      </c>
      <c r="F277" s="134">
        <f t="shared" si="103"/>
        <v>0</v>
      </c>
      <c r="G277" s="181">
        <v>0</v>
      </c>
      <c r="H277" s="134">
        <f t="shared" si="104"/>
        <v>0</v>
      </c>
      <c r="I277" s="134">
        <f t="shared" si="105"/>
        <v>0</v>
      </c>
      <c r="J277" s="6">
        <f t="shared" si="106"/>
        <v>-3000000</v>
      </c>
      <c r="K277" s="167"/>
    </row>
    <row r="278" spans="1:14" ht="25.5" x14ac:dyDescent="0.25">
      <c r="A278" s="170" t="s">
        <v>106</v>
      </c>
      <c r="B278" s="316" t="s">
        <v>375</v>
      </c>
      <c r="C278" s="58">
        <v>13950000</v>
      </c>
      <c r="D278" s="180">
        <f>C278/C269*100</f>
        <v>7.5405405405405395</v>
      </c>
      <c r="E278" s="134">
        <f t="shared" si="102"/>
        <v>61.29032258064516</v>
      </c>
      <c r="F278" s="134">
        <f t="shared" si="103"/>
        <v>4.621621621621621</v>
      </c>
      <c r="G278" s="181">
        <f>8550000</f>
        <v>8550000</v>
      </c>
      <c r="H278" s="134">
        <f t="shared" si="104"/>
        <v>61.29032258064516</v>
      </c>
      <c r="I278" s="134">
        <f t="shared" si="105"/>
        <v>4.621621621621621</v>
      </c>
      <c r="J278" s="6">
        <f t="shared" si="106"/>
        <v>-5400000</v>
      </c>
      <c r="K278" s="167"/>
    </row>
    <row r="279" spans="1:14" x14ac:dyDescent="0.25">
      <c r="A279" s="170" t="s">
        <v>162</v>
      </c>
      <c r="B279" s="170" t="s">
        <v>535</v>
      </c>
      <c r="C279" s="178">
        <v>2800000</v>
      </c>
      <c r="D279" s="729">
        <f>C279/C269*100</f>
        <v>1.5135135135135136</v>
      </c>
      <c r="E279" s="134">
        <f t="shared" si="102"/>
        <v>100</v>
      </c>
      <c r="F279" s="134">
        <f t="shared" si="103"/>
        <v>1.5135135135135136</v>
      </c>
      <c r="G279" s="181">
        <f>2800000</f>
        <v>2800000</v>
      </c>
      <c r="H279" s="134">
        <f t="shared" si="104"/>
        <v>100</v>
      </c>
      <c r="I279" s="134">
        <f t="shared" si="105"/>
        <v>1.5135135135135136</v>
      </c>
      <c r="J279" s="6">
        <f t="shared" si="106"/>
        <v>0</v>
      </c>
      <c r="K279" s="167"/>
    </row>
    <row r="280" spans="1:14" ht="25.5" x14ac:dyDescent="0.25">
      <c r="A280" s="170" t="s">
        <v>116</v>
      </c>
      <c r="B280" s="750" t="s">
        <v>420</v>
      </c>
      <c r="C280" s="178">
        <v>1057000</v>
      </c>
      <c r="D280" s="729">
        <f>C280/C270*100</f>
        <v>12.319347319347319</v>
      </c>
      <c r="E280" s="134"/>
      <c r="F280" s="134"/>
      <c r="G280" s="181">
        <f>1057000</f>
        <v>1057000</v>
      </c>
      <c r="H280" s="134"/>
      <c r="I280" s="134"/>
      <c r="J280" s="6">
        <f t="shared" si="106"/>
        <v>0</v>
      </c>
      <c r="K280" s="167"/>
    </row>
    <row r="281" spans="1:14" x14ac:dyDescent="0.25">
      <c r="A281" s="170" t="s">
        <v>65</v>
      </c>
      <c r="B281" s="170" t="s">
        <v>190</v>
      </c>
      <c r="C281" s="178">
        <v>7000000</v>
      </c>
      <c r="D281" s="729">
        <f>C281/C269*100</f>
        <v>3.7837837837837842</v>
      </c>
      <c r="E281" s="134">
        <f t="shared" si="102"/>
        <v>99.033714285714282</v>
      </c>
      <c r="F281" s="134">
        <f t="shared" si="103"/>
        <v>3.7472216216216219</v>
      </c>
      <c r="G281" s="181">
        <f>6932360</f>
        <v>6932360</v>
      </c>
      <c r="H281" s="134">
        <f t="shared" si="104"/>
        <v>99.033714285714282</v>
      </c>
      <c r="I281" s="134">
        <f t="shared" si="105"/>
        <v>3.7472216216216219</v>
      </c>
      <c r="J281" s="6">
        <f t="shared" si="106"/>
        <v>-67640</v>
      </c>
      <c r="K281" s="167"/>
    </row>
    <row r="282" spans="1:14" x14ac:dyDescent="0.25">
      <c r="A282" s="68" t="s">
        <v>301</v>
      </c>
      <c r="B282" s="170" t="s">
        <v>409</v>
      </c>
      <c r="C282" s="58">
        <v>6475000</v>
      </c>
      <c r="D282" s="269"/>
      <c r="E282" s="134"/>
      <c r="F282" s="134"/>
      <c r="G282" s="181">
        <f>6475000</f>
        <v>6475000</v>
      </c>
      <c r="H282" s="134"/>
      <c r="I282" s="134"/>
      <c r="J282" s="6">
        <f t="shared" si="106"/>
        <v>0</v>
      </c>
      <c r="K282" s="167"/>
    </row>
    <row r="283" spans="1:14" x14ac:dyDescent="0.25">
      <c r="A283" s="68"/>
      <c r="B283" s="67" t="s">
        <v>128</v>
      </c>
      <c r="C283" s="60">
        <f>SUM(C270:C282)</f>
        <v>185000000</v>
      </c>
      <c r="D283" s="270">
        <f>SUM(D270:D281)</f>
        <v>101.84259056259057</v>
      </c>
      <c r="E283" s="134"/>
      <c r="F283" s="134"/>
      <c r="G283" s="837">
        <f>SUM(G270:G282)</f>
        <v>128376360</v>
      </c>
      <c r="H283" s="134"/>
      <c r="I283" s="134"/>
      <c r="J283" s="56">
        <v>0</v>
      </c>
      <c r="K283" s="3"/>
    </row>
    <row r="284" spans="1:14" x14ac:dyDescent="0.25">
      <c r="A284" s="190"/>
      <c r="B284" s="2"/>
      <c r="C284" s="59"/>
      <c r="D284" s="41"/>
      <c r="E284" s="31"/>
      <c r="F284" s="31"/>
      <c r="G284" s="36"/>
      <c r="H284" s="31"/>
      <c r="I284" s="31"/>
      <c r="J284" s="33"/>
      <c r="K284" s="37"/>
    </row>
    <row r="285" spans="1:14" ht="31.5" x14ac:dyDescent="0.25">
      <c r="A285" s="55"/>
      <c r="B285" s="46" t="s">
        <v>145</v>
      </c>
      <c r="C285" s="155"/>
      <c r="D285" s="44"/>
      <c r="E285" s="45"/>
      <c r="F285" s="45"/>
      <c r="G285" s="48"/>
      <c r="H285" s="45"/>
      <c r="I285" s="45"/>
      <c r="J285" s="44"/>
      <c r="K285" s="44"/>
      <c r="L285" s="1"/>
      <c r="M285" s="1"/>
      <c r="N285" s="1"/>
    </row>
    <row r="286" spans="1:14" x14ac:dyDescent="0.25">
      <c r="A286" s="1111" t="s">
        <v>2</v>
      </c>
      <c r="B286" s="1104" t="s">
        <v>170</v>
      </c>
      <c r="C286" s="1111" t="s">
        <v>4</v>
      </c>
      <c r="D286" s="1112" t="s">
        <v>5</v>
      </c>
      <c r="E286" s="1113"/>
      <c r="F286" s="1113"/>
      <c r="G286" s="1114" t="s">
        <v>6</v>
      </c>
      <c r="H286" s="1113"/>
      <c r="I286" s="1113"/>
      <c r="J286" s="1111" t="s">
        <v>7</v>
      </c>
      <c r="K286" s="285" t="s">
        <v>8</v>
      </c>
    </row>
    <row r="287" spans="1:14" x14ac:dyDescent="0.25">
      <c r="A287" s="1111"/>
      <c r="B287" s="1104"/>
      <c r="C287" s="1111"/>
      <c r="D287" s="285" t="s">
        <v>9</v>
      </c>
      <c r="E287" s="304" t="s">
        <v>10</v>
      </c>
      <c r="F287" s="304" t="s">
        <v>11</v>
      </c>
      <c r="G287" s="305" t="s">
        <v>12</v>
      </c>
      <c r="H287" s="304" t="s">
        <v>13</v>
      </c>
      <c r="I287" s="304" t="s">
        <v>11</v>
      </c>
      <c r="J287" s="1115"/>
      <c r="K287" s="287"/>
    </row>
    <row r="288" spans="1:14" x14ac:dyDescent="0.25">
      <c r="A288" s="1111"/>
      <c r="B288" s="1104"/>
      <c r="C288" s="1111"/>
      <c r="D288" s="286" t="s">
        <v>14</v>
      </c>
      <c r="E288" s="302" t="s">
        <v>14</v>
      </c>
      <c r="F288" s="302" t="s">
        <v>14</v>
      </c>
      <c r="G288" s="303" t="s">
        <v>15</v>
      </c>
      <c r="H288" s="302" t="s">
        <v>14</v>
      </c>
      <c r="I288" s="302" t="s">
        <v>14</v>
      </c>
      <c r="J288" s="286" t="s">
        <v>15</v>
      </c>
      <c r="K288" s="286"/>
    </row>
    <row r="289" spans="1:11" x14ac:dyDescent="0.25">
      <c r="A289" s="144" t="s">
        <v>185</v>
      </c>
      <c r="B289" s="199" t="s">
        <v>146</v>
      </c>
      <c r="C289" s="145"/>
      <c r="D289" s="146"/>
      <c r="E289" s="147"/>
      <c r="F289" s="147"/>
      <c r="G289" s="148"/>
      <c r="H289" s="147"/>
      <c r="I289" s="147"/>
      <c r="J289" s="146"/>
      <c r="K289" s="146"/>
    </row>
    <row r="290" spans="1:11" x14ac:dyDescent="0.25">
      <c r="A290" s="318" t="s">
        <v>184</v>
      </c>
      <c r="B290" s="280" t="s">
        <v>147</v>
      </c>
      <c r="C290" s="257">
        <f>SUM(C291:C292)</f>
        <v>2480900000</v>
      </c>
      <c r="D290" s="146"/>
      <c r="E290" s="147"/>
      <c r="F290" s="147"/>
      <c r="G290" s="148"/>
      <c r="H290" s="147"/>
      <c r="I290" s="147"/>
      <c r="J290" s="146"/>
      <c r="K290" s="146"/>
    </row>
    <row r="291" spans="1:11" ht="25.5" x14ac:dyDescent="0.25">
      <c r="A291" s="319" t="s">
        <v>44</v>
      </c>
      <c r="B291" s="707" t="s">
        <v>384</v>
      </c>
      <c r="C291" s="149">
        <v>30900000</v>
      </c>
      <c r="D291" s="267">
        <f>C291/C290*100</f>
        <v>1.2455157402555526</v>
      </c>
      <c r="E291" s="134">
        <f t="shared" ref="E291:E292" si="107">G291/C291*100</f>
        <v>41.666666666666671</v>
      </c>
      <c r="F291" s="134">
        <f t="shared" ref="F291:F292" si="108">(D291*E291)/100</f>
        <v>0.51896489177314697</v>
      </c>
      <c r="G291" s="181">
        <f>12875000</f>
        <v>12875000</v>
      </c>
      <c r="H291" s="134">
        <f t="shared" ref="H291:H292" si="109">G291/C291*100</f>
        <v>41.666666666666671</v>
      </c>
      <c r="I291" s="134">
        <f t="shared" ref="I291:I292" si="110">(D291*H291)/100</f>
        <v>0.51896489177314697</v>
      </c>
      <c r="J291" s="6">
        <f t="shared" ref="J291:J292" si="111">G291-C291</f>
        <v>-18025000</v>
      </c>
      <c r="K291" s="146"/>
    </row>
    <row r="292" spans="1:11" x14ac:dyDescent="0.25">
      <c r="A292" s="49" t="s">
        <v>148</v>
      </c>
      <c r="B292" s="133" t="s">
        <v>534</v>
      </c>
      <c r="C292" s="149">
        <v>2450000000</v>
      </c>
      <c r="D292" s="267">
        <f>C292/C290*100</f>
        <v>98.754484259744444</v>
      </c>
      <c r="E292" s="134">
        <f t="shared" si="107"/>
        <v>63.404081632653067</v>
      </c>
      <c r="F292" s="134">
        <f t="shared" si="108"/>
        <v>62.614373815953897</v>
      </c>
      <c r="G292" s="181">
        <f>129000000+1424400000</f>
        <v>1553400000</v>
      </c>
      <c r="H292" s="134">
        <f t="shared" si="109"/>
        <v>63.404081632653067</v>
      </c>
      <c r="I292" s="134">
        <f t="shared" si="110"/>
        <v>62.614373815953897</v>
      </c>
      <c r="J292" s="6">
        <f t="shared" si="111"/>
        <v>-896600000</v>
      </c>
      <c r="K292" s="146"/>
    </row>
    <row r="293" spans="1:11" x14ac:dyDescent="0.25">
      <c r="A293" s="71"/>
      <c r="B293" s="76" t="s">
        <v>95</v>
      </c>
      <c r="C293" s="809">
        <f>SUM(C291:C292)</f>
        <v>2480900000</v>
      </c>
      <c r="D293" s="141">
        <f>SUM(D291:D292)</f>
        <v>100</v>
      </c>
      <c r="E293" s="134"/>
      <c r="F293" s="134"/>
      <c r="G293" s="181">
        <f>SUM(G291:G292)</f>
        <v>1566275000</v>
      </c>
      <c r="H293" s="134"/>
      <c r="I293" s="134"/>
      <c r="J293" s="56">
        <v>0</v>
      </c>
      <c r="K293" s="143"/>
    </row>
    <row r="294" spans="1:11" x14ac:dyDescent="0.25">
      <c r="A294" s="190"/>
      <c r="B294" s="2"/>
      <c r="C294" s="59"/>
      <c r="D294" s="41"/>
      <c r="E294" s="31"/>
      <c r="F294" s="31"/>
      <c r="G294" s="36"/>
      <c r="H294" s="31"/>
      <c r="I294" s="31"/>
      <c r="J294" s="33"/>
      <c r="K294" s="37"/>
    </row>
    <row r="295" spans="1:11" x14ac:dyDescent="0.25">
      <c r="A295" s="1103" t="s">
        <v>2</v>
      </c>
      <c r="B295" s="1104" t="s">
        <v>170</v>
      </c>
      <c r="C295" s="1103" t="s">
        <v>4</v>
      </c>
      <c r="D295" s="1105" t="s">
        <v>5</v>
      </c>
      <c r="E295" s="1106"/>
      <c r="F295" s="1106"/>
      <c r="G295" s="1107" t="s">
        <v>6</v>
      </c>
      <c r="H295" s="1106"/>
      <c r="I295" s="1106"/>
      <c r="J295" s="1103" t="s">
        <v>7</v>
      </c>
      <c r="K295" s="288" t="s">
        <v>8</v>
      </c>
    </row>
    <row r="296" spans="1:11" x14ac:dyDescent="0.25">
      <c r="A296" s="1103"/>
      <c r="B296" s="1104"/>
      <c r="C296" s="1103"/>
      <c r="D296" s="288" t="s">
        <v>9</v>
      </c>
      <c r="E296" s="306" t="s">
        <v>10</v>
      </c>
      <c r="F296" s="306" t="s">
        <v>11</v>
      </c>
      <c r="G296" s="307" t="s">
        <v>12</v>
      </c>
      <c r="H296" s="306" t="s">
        <v>13</v>
      </c>
      <c r="I296" s="306" t="s">
        <v>11</v>
      </c>
      <c r="J296" s="1108"/>
      <c r="K296" s="102"/>
    </row>
    <row r="297" spans="1:11" x14ac:dyDescent="0.25">
      <c r="A297" s="1103"/>
      <c r="B297" s="1104"/>
      <c r="C297" s="1103"/>
      <c r="D297" s="105" t="s">
        <v>14</v>
      </c>
      <c r="E297" s="106" t="s">
        <v>14</v>
      </c>
      <c r="F297" s="106" t="s">
        <v>14</v>
      </c>
      <c r="G297" s="107" t="s">
        <v>15</v>
      </c>
      <c r="H297" s="106" t="s">
        <v>14</v>
      </c>
      <c r="I297" s="106" t="s">
        <v>14</v>
      </c>
      <c r="J297" s="105" t="s">
        <v>15</v>
      </c>
      <c r="K297" s="105"/>
    </row>
    <row r="298" spans="1:11" x14ac:dyDescent="0.25">
      <c r="A298" s="79" t="s">
        <v>185</v>
      </c>
      <c r="B298" s="199" t="s">
        <v>146</v>
      </c>
      <c r="C298" s="24"/>
      <c r="D298" s="10"/>
      <c r="E298" s="34"/>
      <c r="F298" s="34"/>
      <c r="G298" s="6"/>
      <c r="H298" s="34"/>
      <c r="I298" s="34"/>
      <c r="J298" s="10"/>
      <c r="K298" s="10"/>
    </row>
    <row r="299" spans="1:11" x14ac:dyDescent="0.25">
      <c r="A299" s="125" t="s">
        <v>187</v>
      </c>
      <c r="B299" s="280" t="s">
        <v>150</v>
      </c>
      <c r="C299" s="131">
        <f>SUM(C300:C303)</f>
        <v>1508450760</v>
      </c>
      <c r="D299" s="10"/>
      <c r="E299" s="34"/>
      <c r="F299" s="34"/>
      <c r="G299" s="6"/>
      <c r="H299" s="34"/>
      <c r="I299" s="34"/>
      <c r="J299" s="10"/>
      <c r="K299" s="10"/>
    </row>
    <row r="300" spans="1:11" ht="25.5" x14ac:dyDescent="0.25">
      <c r="A300" s="124" t="s">
        <v>44</v>
      </c>
      <c r="B300" s="707" t="s">
        <v>384</v>
      </c>
      <c r="C300" s="253">
        <v>30900000</v>
      </c>
      <c r="D300" s="134">
        <f>C300/C299*100</f>
        <v>2.0484593080121489</v>
      </c>
      <c r="E300" s="134">
        <f t="shared" ref="E300:E302" si="112">G300/C300*100</f>
        <v>41.666666666666671</v>
      </c>
      <c r="F300" s="134">
        <f t="shared" ref="F300:F302" si="113">(D300*E300)/100</f>
        <v>0.85352471167172883</v>
      </c>
      <c r="G300" s="181">
        <f>12875000</f>
        <v>12875000</v>
      </c>
      <c r="H300" s="134">
        <f t="shared" ref="H300:H302" si="114">G300/C300*100</f>
        <v>41.666666666666671</v>
      </c>
      <c r="I300" s="134">
        <f t="shared" ref="I300:I302" si="115">(D300*H300)/100</f>
        <v>0.85352471167172883</v>
      </c>
      <c r="J300" s="6">
        <f t="shared" ref="J300:J303" si="116">G300-C300</f>
        <v>-18025000</v>
      </c>
      <c r="K300" s="10"/>
    </row>
    <row r="301" spans="1:11" x14ac:dyDescent="0.25">
      <c r="A301" s="49" t="s">
        <v>148</v>
      </c>
      <c r="B301" s="133" t="s">
        <v>534</v>
      </c>
      <c r="C301" s="256">
        <v>1050000000</v>
      </c>
      <c r="D301" s="134">
        <f>C301/C299*100</f>
        <v>69.607840563519616</v>
      </c>
      <c r="E301" s="134">
        <f t="shared" si="112"/>
        <v>55.500590476190482</v>
      </c>
      <c r="F301" s="134">
        <f t="shared" si="113"/>
        <v>38.632762530478622</v>
      </c>
      <c r="G301" s="181">
        <f>31899200+2900000+513607000+34350000</f>
        <v>582756200</v>
      </c>
      <c r="H301" s="134">
        <f t="shared" si="114"/>
        <v>55.500590476190482</v>
      </c>
      <c r="I301" s="134">
        <f t="shared" si="115"/>
        <v>38.632762530478622</v>
      </c>
      <c r="J301" s="6">
        <f t="shared" si="116"/>
        <v>-467243800</v>
      </c>
      <c r="K301" s="10"/>
    </row>
    <row r="302" spans="1:11" s="84" customFormat="1" ht="25.5" x14ac:dyDescent="0.2">
      <c r="A302" s="49" t="s">
        <v>152</v>
      </c>
      <c r="B302" s="133" t="s">
        <v>153</v>
      </c>
      <c r="C302" s="256">
        <v>420000000</v>
      </c>
      <c r="D302" s="134">
        <f>C302/C299*100</f>
        <v>27.84313622540785</v>
      </c>
      <c r="E302" s="134">
        <f t="shared" si="112"/>
        <v>41.666666666666671</v>
      </c>
      <c r="F302" s="134">
        <f t="shared" si="113"/>
        <v>11.601306760586606</v>
      </c>
      <c r="G302" s="181">
        <f>175000000</f>
        <v>175000000</v>
      </c>
      <c r="H302" s="134">
        <f t="shared" si="114"/>
        <v>41.666666666666671</v>
      </c>
      <c r="I302" s="134">
        <f t="shared" si="115"/>
        <v>11.601306760586606</v>
      </c>
      <c r="J302" s="6">
        <f t="shared" si="116"/>
        <v>-245000000</v>
      </c>
      <c r="K302" s="38"/>
    </row>
    <row r="303" spans="1:11" s="84" customFormat="1" x14ac:dyDescent="0.2">
      <c r="A303" s="749" t="s">
        <v>234</v>
      </c>
      <c r="B303" s="133" t="s">
        <v>522</v>
      </c>
      <c r="C303" s="256">
        <v>7550760</v>
      </c>
      <c r="D303" s="804"/>
      <c r="E303" s="134"/>
      <c r="F303" s="134"/>
      <c r="G303" s="181"/>
      <c r="H303" s="134"/>
      <c r="I303" s="134"/>
      <c r="J303" s="6">
        <f t="shared" si="116"/>
        <v>-7550760</v>
      </c>
      <c r="K303" s="805"/>
    </row>
    <row r="304" spans="1:11" x14ac:dyDescent="0.25">
      <c r="A304" s="70"/>
      <c r="B304" s="129" t="s">
        <v>95</v>
      </c>
      <c r="C304" s="807">
        <f>SUM(C300:C303)</f>
        <v>1508450760</v>
      </c>
      <c r="D304" s="271">
        <f>SUM(D300:D302)</f>
        <v>99.499436096939618</v>
      </c>
      <c r="E304" s="134"/>
      <c r="F304" s="134"/>
      <c r="G304" s="181">
        <f>SUM(G300:G303)</f>
        <v>770631200</v>
      </c>
      <c r="H304" s="134"/>
      <c r="I304" s="134"/>
      <c r="J304" s="56">
        <v>0</v>
      </c>
      <c r="K304" s="130"/>
    </row>
    <row r="305" spans="1:15" x14ac:dyDescent="0.25">
      <c r="A305" s="190"/>
      <c r="B305" s="2"/>
      <c r="C305" s="59"/>
      <c r="D305" s="41"/>
      <c r="E305" s="31"/>
      <c r="F305" s="31"/>
      <c r="G305" s="36"/>
      <c r="H305" s="31"/>
      <c r="I305" s="31"/>
      <c r="J305" s="33"/>
      <c r="K305" s="37"/>
    </row>
    <row r="306" spans="1:15" x14ac:dyDescent="0.25">
      <c r="A306" s="50"/>
      <c r="B306" s="5"/>
      <c r="C306" s="50"/>
      <c r="D306" s="9"/>
      <c r="E306" s="23"/>
      <c r="F306" s="23"/>
      <c r="G306" s="11"/>
      <c r="H306" s="23"/>
      <c r="I306" s="23"/>
      <c r="J306" s="9"/>
      <c r="K306" s="9"/>
    </row>
    <row r="307" spans="1:15" x14ac:dyDescent="0.25">
      <c r="A307" s="1123" t="s">
        <v>2</v>
      </c>
      <c r="B307" s="1126" t="s">
        <v>138</v>
      </c>
      <c r="C307" s="1129" t="s">
        <v>4</v>
      </c>
      <c r="D307" s="1121" t="s">
        <v>5</v>
      </c>
      <c r="E307" s="1132"/>
      <c r="F307" s="1132"/>
      <c r="G307" s="1122" t="s">
        <v>6</v>
      </c>
      <c r="H307" s="1132"/>
      <c r="I307" s="1132"/>
      <c r="J307" s="1123" t="s">
        <v>7</v>
      </c>
      <c r="K307" s="1123" t="s">
        <v>8</v>
      </c>
    </row>
    <row r="308" spans="1:15" x14ac:dyDescent="0.25">
      <c r="A308" s="1124"/>
      <c r="B308" s="1127"/>
      <c r="C308" s="1130"/>
      <c r="D308" s="289" t="s">
        <v>9</v>
      </c>
      <c r="E308" s="308" t="s">
        <v>10</v>
      </c>
      <c r="F308" s="308" t="s">
        <v>11</v>
      </c>
      <c r="G308" s="117" t="s">
        <v>12</v>
      </c>
      <c r="H308" s="116" t="s">
        <v>13</v>
      </c>
      <c r="I308" s="116" t="s">
        <v>11</v>
      </c>
      <c r="J308" s="1124"/>
      <c r="K308" s="1124"/>
    </row>
    <row r="309" spans="1:15" x14ac:dyDescent="0.25">
      <c r="A309" s="1125"/>
      <c r="B309" s="1128"/>
      <c r="C309" s="1131"/>
      <c r="D309" s="115" t="s">
        <v>14</v>
      </c>
      <c r="E309" s="119" t="s">
        <v>14</v>
      </c>
      <c r="F309" s="119" t="s">
        <v>14</v>
      </c>
      <c r="G309" s="120" t="s">
        <v>15</v>
      </c>
      <c r="H309" s="119" t="s">
        <v>14</v>
      </c>
      <c r="I309" s="119" t="s">
        <v>14</v>
      </c>
      <c r="J309" s="118" t="s">
        <v>15</v>
      </c>
      <c r="K309" s="1125"/>
    </row>
    <row r="310" spans="1:15" ht="25.5" x14ac:dyDescent="0.25">
      <c r="A310" s="79" t="s">
        <v>180</v>
      </c>
      <c r="B310" s="696" t="s">
        <v>379</v>
      </c>
      <c r="C310" s="127"/>
      <c r="D310" s="121"/>
      <c r="E310" s="34"/>
      <c r="F310" s="34"/>
      <c r="G310" s="6"/>
      <c r="H310" s="34"/>
      <c r="I310" s="34"/>
      <c r="J310" s="10"/>
      <c r="K310" s="85"/>
    </row>
    <row r="311" spans="1:15" ht="25.5" x14ac:dyDescent="0.25">
      <c r="A311" s="125" t="s">
        <v>181</v>
      </c>
      <c r="B311" s="697" t="s">
        <v>380</v>
      </c>
      <c r="C311" s="88">
        <f>SUM(C312:C329)</f>
        <v>185000000</v>
      </c>
      <c r="D311" s="121"/>
      <c r="E311" s="34"/>
      <c r="F311" s="34"/>
      <c r="G311" s="6"/>
      <c r="H311" s="34"/>
      <c r="I311" s="34"/>
      <c r="J311" s="10"/>
      <c r="K311" s="156"/>
    </row>
    <row r="312" spans="1:15" ht="25.5" x14ac:dyDescent="0.25">
      <c r="A312" s="49" t="s">
        <v>44</v>
      </c>
      <c r="B312" s="707" t="s">
        <v>384</v>
      </c>
      <c r="C312" s="39">
        <v>8730000</v>
      </c>
      <c r="D312" s="727">
        <f>C312/C311*100</f>
        <v>4.7189189189189191</v>
      </c>
      <c r="E312" s="134">
        <f t="shared" ref="E312:E320" si="117">G312/C312*100</f>
        <v>100</v>
      </c>
      <c r="F312" s="134">
        <f t="shared" ref="F312:F320" si="118">(D312*E312)/100</f>
        <v>4.7189189189189191</v>
      </c>
      <c r="G312" s="181">
        <f>8730000</f>
        <v>8730000</v>
      </c>
      <c r="H312" s="134">
        <f t="shared" ref="H312:H320" si="119">G312/C312*100</f>
        <v>100</v>
      </c>
      <c r="I312" s="134">
        <f t="shared" ref="I312:I320" si="120">(D312*H312)/100</f>
        <v>4.7189189189189191</v>
      </c>
      <c r="J312" s="6">
        <f t="shared" ref="J312:J329" si="121">G312-C312</f>
        <v>0</v>
      </c>
      <c r="K312" s="10"/>
      <c r="O312" s="717"/>
    </row>
    <row r="313" spans="1:15" x14ac:dyDescent="0.25">
      <c r="A313" s="49" t="s">
        <v>59</v>
      </c>
      <c r="B313" s="707" t="s">
        <v>197</v>
      </c>
      <c r="C313" s="39">
        <v>13887500</v>
      </c>
      <c r="D313" s="727">
        <f>C313/C311*100</f>
        <v>7.5067567567567561</v>
      </c>
      <c r="E313" s="134">
        <f t="shared" si="117"/>
        <v>57.605760576057605</v>
      </c>
      <c r="F313" s="134">
        <f t="shared" si="118"/>
        <v>4.3243243243243237</v>
      </c>
      <c r="G313" s="181">
        <f>8000000</f>
        <v>8000000</v>
      </c>
      <c r="H313" s="134">
        <f t="shared" si="119"/>
        <v>57.605760576057605</v>
      </c>
      <c r="I313" s="134">
        <f t="shared" si="120"/>
        <v>4.3243243243243237</v>
      </c>
      <c r="J313" s="6">
        <f t="shared" si="121"/>
        <v>-5887500</v>
      </c>
      <c r="K313" s="10"/>
    </row>
    <row r="314" spans="1:15" x14ac:dyDescent="0.25">
      <c r="A314" s="49" t="s">
        <v>62</v>
      </c>
      <c r="B314" s="707" t="s">
        <v>414</v>
      </c>
      <c r="C314" s="39">
        <v>7970500</v>
      </c>
      <c r="D314" s="727"/>
      <c r="E314" s="134"/>
      <c r="F314" s="134"/>
      <c r="G314" s="181">
        <f>1485000</f>
        <v>1485000</v>
      </c>
      <c r="H314" s="134"/>
      <c r="I314" s="134"/>
      <c r="J314" s="6">
        <f t="shared" si="121"/>
        <v>-6485500</v>
      </c>
      <c r="K314" s="10"/>
    </row>
    <row r="315" spans="1:15" x14ac:dyDescent="0.25">
      <c r="A315" s="49" t="s">
        <v>54</v>
      </c>
      <c r="B315" s="707" t="s">
        <v>536</v>
      </c>
      <c r="C315" s="39">
        <v>800000</v>
      </c>
      <c r="D315" s="727"/>
      <c r="E315" s="134"/>
      <c r="F315" s="134"/>
      <c r="G315" s="181">
        <f>800000</f>
        <v>800000</v>
      </c>
      <c r="H315" s="134"/>
      <c r="I315" s="134"/>
      <c r="J315" s="6">
        <f t="shared" si="121"/>
        <v>0</v>
      </c>
      <c r="K315" s="10"/>
    </row>
    <row r="316" spans="1:15" ht="25.5" x14ac:dyDescent="0.25">
      <c r="A316" s="49" t="s">
        <v>193</v>
      </c>
      <c r="B316" s="707" t="s">
        <v>537</v>
      </c>
      <c r="C316" s="39">
        <v>8750000</v>
      </c>
      <c r="D316" s="727"/>
      <c r="E316" s="134"/>
      <c r="F316" s="134"/>
      <c r="G316" s="181">
        <f>8750000</f>
        <v>8750000</v>
      </c>
      <c r="H316" s="134"/>
      <c r="I316" s="134"/>
      <c r="J316" s="6">
        <f t="shared" si="121"/>
        <v>0</v>
      </c>
      <c r="K316" s="10"/>
    </row>
    <row r="317" spans="1:15" x14ac:dyDescent="0.25">
      <c r="A317" s="49" t="s">
        <v>148</v>
      </c>
      <c r="B317" s="133" t="s">
        <v>534</v>
      </c>
      <c r="C317" s="39">
        <v>10000000</v>
      </c>
      <c r="D317" s="727"/>
      <c r="E317" s="134"/>
      <c r="F317" s="134"/>
      <c r="G317" s="181">
        <f>10000000</f>
        <v>10000000</v>
      </c>
      <c r="H317" s="134"/>
      <c r="I317" s="134"/>
      <c r="J317" s="6">
        <f t="shared" si="121"/>
        <v>0</v>
      </c>
      <c r="K317" s="10"/>
    </row>
    <row r="318" spans="1:15" x14ac:dyDescent="0.25">
      <c r="A318" s="49" t="s">
        <v>77</v>
      </c>
      <c r="B318" s="49" t="s">
        <v>139</v>
      </c>
      <c r="C318" s="39">
        <v>82680000</v>
      </c>
      <c r="D318" s="727">
        <f>C318/C311*100</f>
        <v>44.691891891891892</v>
      </c>
      <c r="E318" s="134">
        <f t="shared" si="117"/>
        <v>56.204644412191584</v>
      </c>
      <c r="F318" s="134">
        <f t="shared" si="118"/>
        <v>25.118918918918922</v>
      </c>
      <c r="G318" s="181">
        <f>46470000</f>
        <v>46470000</v>
      </c>
      <c r="H318" s="134">
        <f t="shared" si="119"/>
        <v>56.204644412191584</v>
      </c>
      <c r="I318" s="134">
        <f t="shared" si="120"/>
        <v>25.118918918918922</v>
      </c>
      <c r="J318" s="6">
        <f t="shared" si="121"/>
        <v>-36210000</v>
      </c>
      <c r="K318" s="10"/>
    </row>
    <row r="319" spans="1:15" x14ac:dyDescent="0.25">
      <c r="A319" s="49" t="s">
        <v>104</v>
      </c>
      <c r="B319" s="170" t="s">
        <v>418</v>
      </c>
      <c r="C319" s="39">
        <v>7300000</v>
      </c>
      <c r="D319" s="727">
        <f>C319/C311*100</f>
        <v>3.9459459459459461</v>
      </c>
      <c r="E319" s="134">
        <f t="shared" si="117"/>
        <v>100</v>
      </c>
      <c r="F319" s="134">
        <f t="shared" si="118"/>
        <v>3.9459459459459456</v>
      </c>
      <c r="G319" s="181">
        <f>7300000</f>
        <v>7300000</v>
      </c>
      <c r="H319" s="134">
        <f t="shared" si="119"/>
        <v>100</v>
      </c>
      <c r="I319" s="134">
        <f t="shared" si="120"/>
        <v>3.9459459459459456</v>
      </c>
      <c r="J319" s="6">
        <f t="shared" si="121"/>
        <v>0</v>
      </c>
      <c r="K319" s="10"/>
    </row>
    <row r="320" spans="1:15" ht="25.5" x14ac:dyDescent="0.25">
      <c r="A320" s="49" t="s">
        <v>192</v>
      </c>
      <c r="B320" s="316" t="s">
        <v>375</v>
      </c>
      <c r="C320" s="39">
        <v>13050000</v>
      </c>
      <c r="D320" s="727">
        <f>C320/C311*100</f>
        <v>7.0540540540540544</v>
      </c>
      <c r="E320" s="134">
        <f t="shared" si="117"/>
        <v>55.172413793103445</v>
      </c>
      <c r="F320" s="134">
        <f t="shared" si="118"/>
        <v>3.8918918918918917</v>
      </c>
      <c r="G320" s="181">
        <f>7200000</f>
        <v>7200000</v>
      </c>
      <c r="H320" s="134">
        <f t="shared" si="119"/>
        <v>55.172413793103445</v>
      </c>
      <c r="I320" s="134">
        <f t="shared" si="120"/>
        <v>3.8918918918918917</v>
      </c>
      <c r="J320" s="6">
        <f t="shared" si="121"/>
        <v>-5850000</v>
      </c>
      <c r="K320" s="10"/>
    </row>
    <row r="321" spans="1:14" x14ac:dyDescent="0.25">
      <c r="A321" s="749" t="s">
        <v>162</v>
      </c>
      <c r="B321" s="316" t="s">
        <v>538</v>
      </c>
      <c r="C321" s="751">
        <v>2000000</v>
      </c>
      <c r="D321" s="727"/>
      <c r="E321" s="134"/>
      <c r="F321" s="134"/>
      <c r="G321" s="181">
        <f>2000000</f>
        <v>2000000</v>
      </c>
      <c r="H321" s="134"/>
      <c r="I321" s="134"/>
      <c r="J321" s="6">
        <f t="shared" si="121"/>
        <v>0</v>
      </c>
      <c r="K321" s="130"/>
    </row>
    <row r="322" spans="1:14" x14ac:dyDescent="0.25">
      <c r="A322" s="749" t="s">
        <v>527</v>
      </c>
      <c r="B322" s="316" t="s">
        <v>523</v>
      </c>
      <c r="C322" s="751">
        <v>1150000</v>
      </c>
      <c r="D322" s="727"/>
      <c r="E322" s="134"/>
      <c r="F322" s="134"/>
      <c r="G322" s="181">
        <f>1150000</f>
        <v>1150000</v>
      </c>
      <c r="H322" s="134"/>
      <c r="I322" s="134"/>
      <c r="J322" s="6">
        <f t="shared" si="121"/>
        <v>0</v>
      </c>
      <c r="K322" s="130"/>
    </row>
    <row r="323" spans="1:14" x14ac:dyDescent="0.25">
      <c r="A323" s="749" t="s">
        <v>112</v>
      </c>
      <c r="B323" s="316" t="s">
        <v>525</v>
      </c>
      <c r="C323" s="751">
        <v>800000</v>
      </c>
      <c r="D323" s="727"/>
      <c r="E323" s="134"/>
      <c r="F323" s="134"/>
      <c r="G323" s="181">
        <f>800000</f>
        <v>800000</v>
      </c>
      <c r="H323" s="134"/>
      <c r="I323" s="134"/>
      <c r="J323" s="6">
        <f t="shared" si="121"/>
        <v>0</v>
      </c>
      <c r="K323" s="130"/>
    </row>
    <row r="324" spans="1:14" x14ac:dyDescent="0.25">
      <c r="A324" s="749" t="s">
        <v>521</v>
      </c>
      <c r="B324" s="316" t="s">
        <v>539</v>
      </c>
      <c r="C324" s="751">
        <v>1000000</v>
      </c>
      <c r="D324" s="727"/>
      <c r="E324" s="134"/>
      <c r="F324" s="134"/>
      <c r="G324" s="181">
        <f>1000000</f>
        <v>1000000</v>
      </c>
      <c r="H324" s="134"/>
      <c r="I324" s="134"/>
      <c r="J324" s="6">
        <f t="shared" si="121"/>
        <v>0</v>
      </c>
      <c r="K324" s="130"/>
    </row>
    <row r="325" spans="1:14" ht="25.5" x14ac:dyDescent="0.25">
      <c r="A325" s="749" t="s">
        <v>116</v>
      </c>
      <c r="B325" s="316" t="s">
        <v>420</v>
      </c>
      <c r="C325" s="751">
        <v>1382000</v>
      </c>
      <c r="D325" s="727">
        <f>C325/C312*100</f>
        <v>15.830469644902633</v>
      </c>
      <c r="E325" s="134"/>
      <c r="F325" s="134"/>
      <c r="G325" s="181">
        <f>1382000</f>
        <v>1382000</v>
      </c>
      <c r="H325" s="134"/>
      <c r="I325" s="134"/>
      <c r="J325" s="6">
        <f t="shared" si="121"/>
        <v>0</v>
      </c>
      <c r="K325" s="130"/>
    </row>
    <row r="326" spans="1:14" x14ac:dyDescent="0.25">
      <c r="A326" s="749" t="s">
        <v>65</v>
      </c>
      <c r="B326" s="754" t="s">
        <v>190</v>
      </c>
      <c r="C326" s="751">
        <v>7000000</v>
      </c>
      <c r="D326" s="727" t="e">
        <f>C326/#REF!*100</f>
        <v>#REF!</v>
      </c>
      <c r="E326" s="134"/>
      <c r="F326" s="134"/>
      <c r="G326" s="181">
        <f>6932360</f>
        <v>6932360</v>
      </c>
      <c r="H326" s="134"/>
      <c r="I326" s="134"/>
      <c r="J326" s="6">
        <f t="shared" si="121"/>
        <v>-67640</v>
      </c>
      <c r="K326" s="130"/>
    </row>
    <row r="327" spans="1:14" x14ac:dyDescent="0.25">
      <c r="A327" s="749" t="s">
        <v>541</v>
      </c>
      <c r="B327" s="754" t="s">
        <v>401</v>
      </c>
      <c r="C327" s="751">
        <v>3900000</v>
      </c>
      <c r="D327" s="727" t="e">
        <f>C327/#REF!*100</f>
        <v>#REF!</v>
      </c>
      <c r="E327" s="134"/>
      <c r="F327" s="134"/>
      <c r="G327" s="181">
        <f>3900000</f>
        <v>3900000</v>
      </c>
      <c r="H327" s="134"/>
      <c r="I327" s="134"/>
      <c r="J327" s="6">
        <f t="shared" si="121"/>
        <v>0</v>
      </c>
      <c r="K327" s="130"/>
    </row>
    <row r="328" spans="1:14" x14ac:dyDescent="0.25">
      <c r="A328" s="749" t="s">
        <v>275</v>
      </c>
      <c r="B328" s="754" t="s">
        <v>421</v>
      </c>
      <c r="C328" s="751">
        <v>5000000</v>
      </c>
      <c r="D328" s="727" t="e">
        <f>C328/#REF!*100</f>
        <v>#REF!</v>
      </c>
      <c r="E328" s="134"/>
      <c r="F328" s="134"/>
      <c r="G328" s="181">
        <f>5000000</f>
        <v>5000000</v>
      </c>
      <c r="H328" s="134"/>
      <c r="I328" s="134"/>
      <c r="J328" s="6">
        <f t="shared" si="121"/>
        <v>0</v>
      </c>
      <c r="K328" s="130"/>
    </row>
    <row r="329" spans="1:14" x14ac:dyDescent="0.25">
      <c r="A329" s="749" t="s">
        <v>542</v>
      </c>
      <c r="B329" s="316" t="s">
        <v>540</v>
      </c>
      <c r="C329" s="751">
        <v>9600000</v>
      </c>
      <c r="D329" s="752"/>
      <c r="E329" s="134"/>
      <c r="F329" s="134"/>
      <c r="G329" s="181"/>
      <c r="H329" s="134"/>
      <c r="I329" s="134"/>
      <c r="J329" s="6">
        <f t="shared" si="121"/>
        <v>-9600000</v>
      </c>
      <c r="K329" s="130"/>
    </row>
    <row r="330" spans="1:14" x14ac:dyDescent="0.25">
      <c r="A330" s="70"/>
      <c r="B330" s="164" t="s">
        <v>140</v>
      </c>
      <c r="C330" s="165">
        <f>SUM(C312:C329)</f>
        <v>185000000</v>
      </c>
      <c r="D330" s="166">
        <f>SUM(D312:D320)</f>
        <v>67.917567567567559</v>
      </c>
      <c r="E330" s="134"/>
      <c r="F330" s="134"/>
      <c r="G330" s="837">
        <f>SUM(G312:G329)</f>
        <v>120899360</v>
      </c>
      <c r="H330" s="134"/>
      <c r="I330" s="134"/>
      <c r="J330" s="734"/>
      <c r="K330" s="40"/>
    </row>
    <row r="331" spans="1:14" x14ac:dyDescent="0.25">
      <c r="A331" s="53"/>
      <c r="B331" s="5"/>
      <c r="C331" s="191"/>
      <c r="D331" s="41"/>
      <c r="E331" s="30"/>
      <c r="F331" s="31"/>
      <c r="G331" s="36"/>
      <c r="H331" s="23"/>
      <c r="I331" s="23"/>
      <c r="J331" s="33"/>
      <c r="K331" s="37"/>
    </row>
    <row r="332" spans="1:14" ht="31.5" x14ac:dyDescent="0.25">
      <c r="A332" s="55"/>
      <c r="B332" s="46" t="s">
        <v>145</v>
      </c>
      <c r="C332" s="155"/>
      <c r="D332" s="44"/>
      <c r="E332" s="45"/>
      <c r="F332" s="45"/>
      <c r="G332" s="48"/>
      <c r="H332" s="45"/>
      <c r="I332" s="45"/>
      <c r="J332" s="44"/>
      <c r="K332" s="44"/>
      <c r="L332" s="1"/>
      <c r="M332" s="1"/>
      <c r="N332" s="1"/>
    </row>
    <row r="333" spans="1:14" x14ac:dyDescent="0.25">
      <c r="A333" s="1119" t="s">
        <v>2</v>
      </c>
      <c r="B333" s="1120" t="s">
        <v>177</v>
      </c>
      <c r="C333" s="1119" t="s">
        <v>4</v>
      </c>
      <c r="D333" s="1121" t="s">
        <v>5</v>
      </c>
      <c r="E333" s="1121"/>
      <c r="F333" s="1121"/>
      <c r="G333" s="1122" t="s">
        <v>6</v>
      </c>
      <c r="H333" s="1122"/>
      <c r="I333" s="1122"/>
      <c r="J333" s="1119" t="s">
        <v>7</v>
      </c>
      <c r="K333" s="289" t="s">
        <v>8</v>
      </c>
    </row>
    <row r="334" spans="1:14" x14ac:dyDescent="0.25">
      <c r="A334" s="1119"/>
      <c r="B334" s="1120"/>
      <c r="C334" s="1119"/>
      <c r="D334" s="289" t="s">
        <v>9</v>
      </c>
      <c r="E334" s="308" t="s">
        <v>10</v>
      </c>
      <c r="F334" s="308" t="s">
        <v>11</v>
      </c>
      <c r="G334" s="309" t="s">
        <v>12</v>
      </c>
      <c r="H334" s="308" t="s">
        <v>13</v>
      </c>
      <c r="I334" s="308" t="s">
        <v>11</v>
      </c>
      <c r="J334" s="1123"/>
      <c r="K334" s="115"/>
    </row>
    <row r="335" spans="1:14" x14ac:dyDescent="0.25">
      <c r="A335" s="1119"/>
      <c r="B335" s="1120"/>
      <c r="C335" s="1119"/>
      <c r="D335" s="118" t="s">
        <v>14</v>
      </c>
      <c r="E335" s="119" t="s">
        <v>14</v>
      </c>
      <c r="F335" s="119" t="s">
        <v>14</v>
      </c>
      <c r="G335" s="120" t="s">
        <v>15</v>
      </c>
      <c r="H335" s="119" t="s">
        <v>14</v>
      </c>
      <c r="I335" s="119" t="s">
        <v>14</v>
      </c>
      <c r="J335" s="118" t="s">
        <v>15</v>
      </c>
      <c r="K335" s="118"/>
    </row>
    <row r="336" spans="1:14" x14ac:dyDescent="0.25">
      <c r="A336" s="79" t="s">
        <v>185</v>
      </c>
      <c r="B336" s="199" t="s">
        <v>146</v>
      </c>
      <c r="C336" s="260"/>
      <c r="D336" s="10"/>
      <c r="E336" s="34"/>
      <c r="F336" s="34"/>
      <c r="G336" s="6"/>
      <c r="H336" s="34"/>
      <c r="I336" s="34"/>
      <c r="J336" s="10"/>
      <c r="K336" s="10"/>
    </row>
    <row r="337" spans="1:11" x14ac:dyDescent="0.25">
      <c r="A337" s="125" t="s">
        <v>184</v>
      </c>
      <c r="B337" s="280" t="s">
        <v>147</v>
      </c>
      <c r="C337" s="131">
        <f>SUM(C338:C339)</f>
        <v>3395640000</v>
      </c>
      <c r="D337" s="10"/>
      <c r="E337" s="34"/>
      <c r="F337" s="34"/>
      <c r="G337" s="6"/>
      <c r="H337" s="34"/>
      <c r="I337" s="34"/>
      <c r="J337" s="10"/>
      <c r="K337" s="10"/>
    </row>
    <row r="338" spans="1:11" ht="25.5" x14ac:dyDescent="0.25">
      <c r="A338" s="313" t="s">
        <v>44</v>
      </c>
      <c r="B338" s="707" t="s">
        <v>384</v>
      </c>
      <c r="C338" s="253">
        <v>35640000</v>
      </c>
      <c r="D338" s="134">
        <f>C338/C337*100</f>
        <v>1.0495812276919816</v>
      </c>
      <c r="E338" s="134">
        <f t="shared" ref="E338:E339" si="122">G338/C338*100</f>
        <v>50</v>
      </c>
      <c r="F338" s="134">
        <f t="shared" ref="F338:F339" si="123">(D338*E338)/100</f>
        <v>0.52479061384599079</v>
      </c>
      <c r="G338" s="181">
        <f>17820000</f>
        <v>17820000</v>
      </c>
      <c r="H338" s="134">
        <f t="shared" ref="H338:H339" si="124">G338/C338*100</f>
        <v>50</v>
      </c>
      <c r="I338" s="134">
        <f t="shared" ref="I338:I339" si="125">(D338*H338)/100</f>
        <v>0.52479061384599079</v>
      </c>
      <c r="J338" s="6">
        <f t="shared" ref="J338:J339" si="126">G338-C338</f>
        <v>-17820000</v>
      </c>
      <c r="K338" s="10"/>
    </row>
    <row r="339" spans="1:11" x14ac:dyDescent="0.25">
      <c r="A339" s="49" t="s">
        <v>148</v>
      </c>
      <c r="B339" s="133" t="s">
        <v>534</v>
      </c>
      <c r="C339" s="256">
        <v>3360000000</v>
      </c>
      <c r="D339" s="134">
        <f>C339/C337*100</f>
        <v>98.950418772308012</v>
      </c>
      <c r="E339" s="134">
        <f t="shared" si="122"/>
        <v>0</v>
      </c>
      <c r="F339" s="134">
        <f t="shared" si="123"/>
        <v>0</v>
      </c>
      <c r="G339" s="181"/>
      <c r="H339" s="134">
        <f t="shared" si="124"/>
        <v>0</v>
      </c>
      <c r="I339" s="134">
        <f t="shared" si="125"/>
        <v>0</v>
      </c>
      <c r="J339" s="6">
        <f t="shared" si="126"/>
        <v>-3360000000</v>
      </c>
      <c r="K339" s="10"/>
    </row>
    <row r="340" spans="1:11" x14ac:dyDescent="0.25">
      <c r="A340" s="70"/>
      <c r="B340" s="129" t="s">
        <v>95</v>
      </c>
      <c r="C340" s="807">
        <f>SUM(C338:C339)</f>
        <v>3395640000</v>
      </c>
      <c r="D340" s="271">
        <f>SUM(D338:D339)</f>
        <v>100</v>
      </c>
      <c r="E340" s="134"/>
      <c r="F340" s="134"/>
      <c r="G340" s="181">
        <f>SUM(G338:G339)</f>
        <v>17820000</v>
      </c>
      <c r="H340" s="134"/>
      <c r="I340" s="134"/>
      <c r="J340" s="734"/>
      <c r="K340" s="130"/>
    </row>
    <row r="341" spans="1:11" x14ac:dyDescent="0.25">
      <c r="A341" s="230"/>
      <c r="B341" s="231"/>
      <c r="C341" s="232"/>
      <c r="D341" s="23"/>
      <c r="E341" s="23"/>
      <c r="F341" s="23"/>
      <c r="G341" s="11"/>
      <c r="H341" s="23"/>
      <c r="I341" s="23"/>
      <c r="J341" s="9"/>
      <c r="K341" s="9"/>
    </row>
    <row r="342" spans="1:11" x14ac:dyDescent="0.25">
      <c r="A342" s="1119" t="s">
        <v>2</v>
      </c>
      <c r="B342" s="1120" t="s">
        <v>177</v>
      </c>
      <c r="C342" s="1119" t="s">
        <v>4</v>
      </c>
      <c r="D342" s="1121" t="s">
        <v>5</v>
      </c>
      <c r="E342" s="1121"/>
      <c r="F342" s="1121"/>
      <c r="G342" s="1122" t="s">
        <v>6</v>
      </c>
      <c r="H342" s="1122"/>
      <c r="I342" s="1122"/>
      <c r="J342" s="1119" t="s">
        <v>7</v>
      </c>
      <c r="K342" s="289" t="s">
        <v>8</v>
      </c>
    </row>
    <row r="343" spans="1:11" x14ac:dyDescent="0.25">
      <c r="A343" s="1119"/>
      <c r="B343" s="1120"/>
      <c r="C343" s="1119"/>
      <c r="D343" s="289" t="s">
        <v>9</v>
      </c>
      <c r="E343" s="308" t="s">
        <v>10</v>
      </c>
      <c r="F343" s="308" t="s">
        <v>11</v>
      </c>
      <c r="G343" s="309" t="s">
        <v>12</v>
      </c>
      <c r="H343" s="308" t="s">
        <v>13</v>
      </c>
      <c r="I343" s="308" t="s">
        <v>11</v>
      </c>
      <c r="J343" s="1123"/>
      <c r="K343" s="115"/>
    </row>
    <row r="344" spans="1:11" x14ac:dyDescent="0.25">
      <c r="A344" s="1119"/>
      <c r="B344" s="1120"/>
      <c r="C344" s="1119"/>
      <c r="D344" s="118" t="s">
        <v>14</v>
      </c>
      <c r="E344" s="119" t="s">
        <v>14</v>
      </c>
      <c r="F344" s="119" t="s">
        <v>14</v>
      </c>
      <c r="G344" s="120" t="s">
        <v>15</v>
      </c>
      <c r="H344" s="119" t="s">
        <v>14</v>
      </c>
      <c r="I344" s="119" t="s">
        <v>14</v>
      </c>
      <c r="J344" s="118" t="s">
        <v>15</v>
      </c>
      <c r="K344" s="118"/>
    </row>
    <row r="345" spans="1:11" x14ac:dyDescent="0.25">
      <c r="A345" s="139" t="s">
        <v>185</v>
      </c>
      <c r="B345" s="199" t="s">
        <v>146</v>
      </c>
      <c r="C345" s="24"/>
      <c r="D345" s="10"/>
      <c r="E345" s="34"/>
      <c r="F345" s="34"/>
      <c r="G345" s="6"/>
      <c r="H345" s="34"/>
      <c r="I345" s="34"/>
      <c r="J345" s="10"/>
      <c r="K345" s="10"/>
    </row>
    <row r="346" spans="1:11" x14ac:dyDescent="0.25">
      <c r="A346" s="140" t="s">
        <v>187</v>
      </c>
      <c r="B346" s="280" t="s">
        <v>150</v>
      </c>
      <c r="C346" s="252">
        <f>SUM(C347:C351)</f>
        <v>2057255328</v>
      </c>
      <c r="D346" s="10"/>
      <c r="E346" s="34"/>
      <c r="F346" s="34"/>
      <c r="G346" s="6"/>
      <c r="H346" s="34"/>
      <c r="I346" s="34"/>
      <c r="J346" s="10"/>
      <c r="K346" s="10"/>
    </row>
    <row r="347" spans="1:11" ht="25.5" x14ac:dyDescent="0.25">
      <c r="A347" s="159" t="s">
        <v>44</v>
      </c>
      <c r="B347" s="707" t="s">
        <v>384</v>
      </c>
      <c r="C347" s="253">
        <v>30210000</v>
      </c>
      <c r="D347" s="134">
        <f>C347/C346*100</f>
        <v>1.4684613809880966</v>
      </c>
      <c r="E347" s="134">
        <f t="shared" ref="E347:E350" si="127">G347/C347*100</f>
        <v>50.794438927507443</v>
      </c>
      <c r="F347" s="134">
        <f t="shared" ref="F347:F350" si="128">(D347*E347)/100</f>
        <v>0.74589671934003121</v>
      </c>
      <c r="G347" s="181">
        <f>15345000</f>
        <v>15345000</v>
      </c>
      <c r="H347" s="134">
        <f t="shared" ref="H347:H350" si="129">G347/C347*100</f>
        <v>50.794438927507443</v>
      </c>
      <c r="I347" s="134">
        <f t="shared" ref="I347:I350" si="130">(D347*H347)/100</f>
        <v>0.74589671934003121</v>
      </c>
      <c r="J347" s="6">
        <f t="shared" ref="J347:J351" si="131">G347-C347</f>
        <v>-14865000</v>
      </c>
      <c r="K347" s="10"/>
    </row>
    <row r="348" spans="1:11" x14ac:dyDescent="0.25">
      <c r="A348" s="313" t="s">
        <v>59</v>
      </c>
      <c r="B348" s="707" t="s">
        <v>197</v>
      </c>
      <c r="C348" s="253">
        <v>690000</v>
      </c>
      <c r="D348" s="134">
        <f>C348/C346*100</f>
        <v>3.3539832932200815E-2</v>
      </c>
      <c r="E348" s="134">
        <f t="shared" si="127"/>
        <v>0</v>
      </c>
      <c r="F348" s="134">
        <f t="shared" si="128"/>
        <v>0</v>
      </c>
      <c r="G348" s="181">
        <v>0</v>
      </c>
      <c r="H348" s="134">
        <f t="shared" si="129"/>
        <v>0</v>
      </c>
      <c r="I348" s="134">
        <f t="shared" si="130"/>
        <v>0</v>
      </c>
      <c r="J348" s="6">
        <f t="shared" si="131"/>
        <v>-690000</v>
      </c>
      <c r="K348" s="10"/>
    </row>
    <row r="349" spans="1:11" x14ac:dyDescent="0.25">
      <c r="A349" s="313" t="s">
        <v>62</v>
      </c>
      <c r="B349" s="133" t="s">
        <v>534</v>
      </c>
      <c r="C349" s="253">
        <v>1440000000</v>
      </c>
      <c r="D349" s="134">
        <f>C349/C346*100</f>
        <v>69.99617307589736</v>
      </c>
      <c r="E349" s="134">
        <f t="shared" si="127"/>
        <v>6.5</v>
      </c>
      <c r="F349" s="134">
        <f t="shared" si="128"/>
        <v>4.5497512499333279</v>
      </c>
      <c r="G349" s="181">
        <f>3900000+89700000</f>
        <v>93600000</v>
      </c>
      <c r="H349" s="134">
        <f t="shared" si="129"/>
        <v>6.5</v>
      </c>
      <c r="I349" s="134">
        <f t="shared" si="130"/>
        <v>4.5497512499333279</v>
      </c>
      <c r="J349" s="6">
        <f t="shared" si="131"/>
        <v>-1346400000</v>
      </c>
      <c r="K349" s="10"/>
    </row>
    <row r="350" spans="1:11" s="725" customFormat="1" ht="25.5" x14ac:dyDescent="0.2">
      <c r="A350" s="723" t="s">
        <v>152</v>
      </c>
      <c r="B350" s="133" t="s">
        <v>153</v>
      </c>
      <c r="C350" s="724">
        <v>576000000</v>
      </c>
      <c r="D350" s="728">
        <f>C350/C346*100</f>
        <v>27.998469230358946</v>
      </c>
      <c r="E350" s="728">
        <f t="shared" si="127"/>
        <v>50</v>
      </c>
      <c r="F350" s="728">
        <f t="shared" si="128"/>
        <v>13.999234615179473</v>
      </c>
      <c r="G350" s="181">
        <f>288000000</f>
        <v>288000000</v>
      </c>
      <c r="H350" s="728">
        <f t="shared" si="129"/>
        <v>50</v>
      </c>
      <c r="I350" s="728">
        <f t="shared" si="130"/>
        <v>13.999234615179473</v>
      </c>
      <c r="J350" s="6">
        <f t="shared" si="131"/>
        <v>-288000000</v>
      </c>
      <c r="K350" s="313"/>
    </row>
    <row r="351" spans="1:11" s="725" customFormat="1" x14ac:dyDescent="0.2">
      <c r="A351" s="749" t="s">
        <v>234</v>
      </c>
      <c r="B351" s="133" t="s">
        <v>522</v>
      </c>
      <c r="C351" s="724">
        <v>10355328</v>
      </c>
      <c r="D351" s="820"/>
      <c r="E351" s="728"/>
      <c r="F351" s="728"/>
      <c r="G351" s="181">
        <f>10085658</f>
        <v>10085658</v>
      </c>
      <c r="H351" s="728"/>
      <c r="I351" s="728"/>
      <c r="J351" s="6">
        <f t="shared" si="131"/>
        <v>-269670</v>
      </c>
      <c r="K351" s="821"/>
    </row>
    <row r="352" spans="1:11" x14ac:dyDescent="0.25">
      <c r="A352" s="70"/>
      <c r="B352" s="129" t="s">
        <v>95</v>
      </c>
      <c r="C352" s="807">
        <f>SUM(C347:C351)</f>
        <v>2057255328</v>
      </c>
      <c r="D352" s="271">
        <f>SUM(D347:D350)</f>
        <v>99.496643520176605</v>
      </c>
      <c r="E352" s="134"/>
      <c r="F352" s="134"/>
      <c r="G352" s="181">
        <f>SUM(G347:G351)</f>
        <v>407030658</v>
      </c>
      <c r="H352" s="134"/>
      <c r="I352" s="134"/>
      <c r="J352" s="734"/>
      <c r="K352" s="130"/>
    </row>
    <row r="353" spans="1:11" x14ac:dyDescent="0.25">
      <c r="A353" s="50"/>
      <c r="B353" s="5"/>
      <c r="C353" s="50"/>
      <c r="D353" s="9"/>
      <c r="E353" s="23"/>
      <c r="F353" s="23"/>
      <c r="G353" s="11"/>
      <c r="H353" s="23"/>
      <c r="I353" s="23"/>
      <c r="J353" s="9"/>
      <c r="K353" s="9"/>
    </row>
    <row r="354" spans="1:11" x14ac:dyDescent="0.25">
      <c r="A354" s="50"/>
      <c r="B354" s="5"/>
      <c r="C354" s="50"/>
      <c r="D354" s="9"/>
      <c r="E354" s="23"/>
      <c r="F354" s="23"/>
      <c r="G354" s="11"/>
      <c r="H354" s="23"/>
      <c r="I354" s="23"/>
      <c r="J354" s="9"/>
      <c r="K354" s="9"/>
    </row>
    <row r="355" spans="1:11" x14ac:dyDescent="0.25">
      <c r="A355" s="1139" t="s">
        <v>2</v>
      </c>
      <c r="B355" s="1142" t="s">
        <v>175</v>
      </c>
      <c r="C355" s="290"/>
      <c r="D355" s="1145" t="s">
        <v>5</v>
      </c>
      <c r="E355" s="1146"/>
      <c r="F355" s="1147"/>
      <c r="G355" s="1148" t="s">
        <v>6</v>
      </c>
      <c r="H355" s="1149"/>
      <c r="I355" s="1150"/>
      <c r="J355" s="1138" t="s">
        <v>7</v>
      </c>
      <c r="K355" s="198" t="s">
        <v>8</v>
      </c>
    </row>
    <row r="356" spans="1:11" x14ac:dyDescent="0.25">
      <c r="A356" s="1140"/>
      <c r="B356" s="1143"/>
      <c r="C356" s="879" t="s">
        <v>4</v>
      </c>
      <c r="D356" s="198" t="s">
        <v>9</v>
      </c>
      <c r="E356" s="310" t="s">
        <v>10</v>
      </c>
      <c r="F356" s="310" t="s">
        <v>11</v>
      </c>
      <c r="G356" s="194" t="s">
        <v>12</v>
      </c>
      <c r="H356" s="193" t="s">
        <v>13</v>
      </c>
      <c r="I356" s="193" t="s">
        <v>11</v>
      </c>
      <c r="J356" s="1151"/>
      <c r="K356" s="192"/>
    </row>
    <row r="357" spans="1:11" x14ac:dyDescent="0.25">
      <c r="A357" s="1141"/>
      <c r="B357" s="1144"/>
      <c r="C357" s="229"/>
      <c r="D357" s="197" t="s">
        <v>14</v>
      </c>
      <c r="E357" s="195" t="s">
        <v>14</v>
      </c>
      <c r="F357" s="195" t="s">
        <v>14</v>
      </c>
      <c r="G357" s="196" t="s">
        <v>15</v>
      </c>
      <c r="H357" s="195" t="s">
        <v>14</v>
      </c>
      <c r="I357" s="195" t="s">
        <v>14</v>
      </c>
      <c r="J357" s="197" t="s">
        <v>15</v>
      </c>
      <c r="K357" s="197"/>
    </row>
    <row r="358" spans="1:11" ht="25.5" x14ac:dyDescent="0.25">
      <c r="A358" s="321" t="s">
        <v>180</v>
      </c>
      <c r="B358" s="696" t="s">
        <v>379</v>
      </c>
      <c r="C358" s="291"/>
      <c r="D358" s="121"/>
      <c r="E358" s="122"/>
      <c r="F358" s="122"/>
      <c r="G358" s="123"/>
      <c r="H358" s="122"/>
      <c r="I358" s="122"/>
      <c r="J358" s="121"/>
      <c r="K358" s="121"/>
    </row>
    <row r="359" spans="1:11" ht="25.5" x14ac:dyDescent="0.25">
      <c r="A359" s="160" t="s">
        <v>181</v>
      </c>
      <c r="B359" s="697" t="s">
        <v>380</v>
      </c>
      <c r="C359" s="261">
        <f>SUM(C360:C375)</f>
        <v>185000000</v>
      </c>
      <c r="D359" s="161"/>
      <c r="E359" s="161"/>
      <c r="F359" s="161"/>
      <c r="G359" s="82"/>
      <c r="H359" s="161"/>
      <c r="I359" s="161"/>
      <c r="J359" s="162"/>
      <c r="K359" s="162"/>
    </row>
    <row r="360" spans="1:11" ht="25.5" x14ac:dyDescent="0.25">
      <c r="A360" s="314" t="s">
        <v>44</v>
      </c>
      <c r="B360" s="707" t="s">
        <v>384</v>
      </c>
      <c r="C360" s="262">
        <v>8580000</v>
      </c>
      <c r="D360" s="134">
        <f>C360/C359*100</f>
        <v>4.6378378378378375</v>
      </c>
      <c r="E360" s="134">
        <f t="shared" ref="E360:E368" si="132">G360/C360*100</f>
        <v>89.16083916083916</v>
      </c>
      <c r="F360" s="134">
        <f t="shared" ref="F360:F368" si="133">(D360*E360)/100</f>
        <v>4.1351351351351351</v>
      </c>
      <c r="G360" s="181">
        <f>7650000</f>
        <v>7650000</v>
      </c>
      <c r="H360" s="134">
        <f t="shared" ref="H360:H368" si="134">G360/C360*100</f>
        <v>89.16083916083916</v>
      </c>
      <c r="I360" s="134">
        <f t="shared" ref="I360:I368" si="135">(D360*H360)/100</f>
        <v>4.1351351351351351</v>
      </c>
      <c r="J360" s="6">
        <f t="shared" ref="J360:J375" si="136">G360-C360</f>
        <v>-930000</v>
      </c>
      <c r="K360" s="10"/>
    </row>
    <row r="361" spans="1:11" x14ac:dyDescent="0.25">
      <c r="A361" s="314" t="s">
        <v>59</v>
      </c>
      <c r="B361" s="707" t="s">
        <v>197</v>
      </c>
      <c r="C361" s="262">
        <v>12218350</v>
      </c>
      <c r="D361" s="134">
        <f>C361/C359*100</f>
        <v>6.6045135135135133</v>
      </c>
      <c r="E361" s="134">
        <f t="shared" si="132"/>
        <v>49.106466912471816</v>
      </c>
      <c r="F361" s="134">
        <f t="shared" si="133"/>
        <v>3.2432432432432434</v>
      </c>
      <c r="G361" s="181">
        <f>6000000</f>
        <v>6000000</v>
      </c>
      <c r="H361" s="134">
        <f t="shared" si="134"/>
        <v>49.106466912471816</v>
      </c>
      <c r="I361" s="134">
        <f t="shared" si="135"/>
        <v>3.2432432432432434</v>
      </c>
      <c r="J361" s="6">
        <f t="shared" si="136"/>
        <v>-6218350</v>
      </c>
      <c r="K361" s="10"/>
    </row>
    <row r="362" spans="1:11" x14ac:dyDescent="0.25">
      <c r="A362" s="314" t="s">
        <v>62</v>
      </c>
      <c r="B362" s="707" t="s">
        <v>334</v>
      </c>
      <c r="C362" s="262">
        <v>9787450</v>
      </c>
      <c r="D362" s="134">
        <f>C362/C359*100</f>
        <v>5.2905135135135142</v>
      </c>
      <c r="E362" s="134">
        <f t="shared" si="132"/>
        <v>0</v>
      </c>
      <c r="F362" s="134">
        <f t="shared" si="133"/>
        <v>0</v>
      </c>
      <c r="G362" s="181">
        <v>0</v>
      </c>
      <c r="H362" s="134">
        <f t="shared" si="134"/>
        <v>0</v>
      </c>
      <c r="I362" s="134">
        <f t="shared" si="135"/>
        <v>0</v>
      </c>
      <c r="J362" s="6">
        <f t="shared" si="136"/>
        <v>-9787450</v>
      </c>
      <c r="K362" s="10"/>
    </row>
    <row r="363" spans="1:11" x14ac:dyDescent="0.25">
      <c r="A363" s="314" t="s">
        <v>148</v>
      </c>
      <c r="B363" s="133" t="s">
        <v>534</v>
      </c>
      <c r="C363" s="262">
        <v>8000000</v>
      </c>
      <c r="D363" s="134"/>
      <c r="E363" s="134"/>
      <c r="F363" s="134"/>
      <c r="G363" s="181">
        <f>8000000</f>
        <v>8000000</v>
      </c>
      <c r="H363" s="134"/>
      <c r="I363" s="134"/>
      <c r="J363" s="6">
        <f t="shared" si="136"/>
        <v>0</v>
      </c>
      <c r="K363" s="10"/>
    </row>
    <row r="364" spans="1:11" x14ac:dyDescent="0.25">
      <c r="A364" s="314" t="s">
        <v>194</v>
      </c>
      <c r="B364" s="49" t="s">
        <v>139</v>
      </c>
      <c r="C364" s="263">
        <v>42400000</v>
      </c>
      <c r="D364" s="134">
        <f>C364/C359*100</f>
        <v>22.918918918918919</v>
      </c>
      <c r="E364" s="134">
        <f t="shared" si="132"/>
        <v>82.523584905660371</v>
      </c>
      <c r="F364" s="134">
        <f t="shared" si="133"/>
        <v>18.913513513513511</v>
      </c>
      <c r="G364" s="181">
        <f>34990000</f>
        <v>34990000</v>
      </c>
      <c r="H364" s="134">
        <f t="shared" si="134"/>
        <v>82.523584905660371</v>
      </c>
      <c r="I364" s="134">
        <f t="shared" si="135"/>
        <v>18.913513513513511</v>
      </c>
      <c r="J364" s="6">
        <f t="shared" si="136"/>
        <v>-7410000</v>
      </c>
      <c r="K364" s="10"/>
    </row>
    <row r="365" spans="1:11" x14ac:dyDescent="0.25">
      <c r="A365" s="314" t="s">
        <v>183</v>
      </c>
      <c r="B365" s="49" t="s">
        <v>417</v>
      </c>
      <c r="C365" s="263">
        <v>4500000</v>
      </c>
      <c r="D365" s="134"/>
      <c r="E365" s="134">
        <f t="shared" si="132"/>
        <v>100</v>
      </c>
      <c r="F365" s="134"/>
      <c r="G365" s="181">
        <f>4500000</f>
        <v>4500000</v>
      </c>
      <c r="H365" s="134">
        <f t="shared" si="134"/>
        <v>100</v>
      </c>
      <c r="I365" s="134"/>
      <c r="J365" s="6">
        <f t="shared" si="136"/>
        <v>0</v>
      </c>
      <c r="K365" s="10"/>
    </row>
    <row r="366" spans="1:11" x14ac:dyDescent="0.25">
      <c r="A366" s="322" t="s">
        <v>195</v>
      </c>
      <c r="B366" s="170" t="s">
        <v>179</v>
      </c>
      <c r="C366" s="178">
        <v>24500000</v>
      </c>
      <c r="D366" s="134">
        <f>C366/C359*100</f>
        <v>13.243243243243244</v>
      </c>
      <c r="E366" s="134">
        <f t="shared" si="132"/>
        <v>100</v>
      </c>
      <c r="F366" s="134">
        <f t="shared" si="133"/>
        <v>13.243243243243244</v>
      </c>
      <c r="G366" s="181">
        <f>24500000</f>
        <v>24500000</v>
      </c>
      <c r="H366" s="134">
        <f t="shared" si="134"/>
        <v>100</v>
      </c>
      <c r="I366" s="134">
        <f t="shared" si="135"/>
        <v>13.243243243243244</v>
      </c>
      <c r="J366" s="6">
        <f t="shared" si="136"/>
        <v>0</v>
      </c>
      <c r="K366" s="10"/>
    </row>
    <row r="367" spans="1:11" x14ac:dyDescent="0.25">
      <c r="A367" s="322" t="s">
        <v>62</v>
      </c>
      <c r="B367" s="170" t="s">
        <v>418</v>
      </c>
      <c r="C367" s="178">
        <v>7500000</v>
      </c>
      <c r="D367" s="134"/>
      <c r="E367" s="134"/>
      <c r="F367" s="134"/>
      <c r="G367" s="181">
        <v>0</v>
      </c>
      <c r="H367" s="134"/>
      <c r="I367" s="134"/>
      <c r="J367" s="6">
        <f t="shared" si="136"/>
        <v>-7500000</v>
      </c>
      <c r="K367" s="10"/>
    </row>
    <row r="368" spans="1:11" ht="25.5" x14ac:dyDescent="0.25">
      <c r="A368" s="314" t="s">
        <v>106</v>
      </c>
      <c r="B368" s="316" t="s">
        <v>375</v>
      </c>
      <c r="C368" s="263">
        <v>16650000</v>
      </c>
      <c r="D368" s="134">
        <f>C368/C359*100</f>
        <v>9</v>
      </c>
      <c r="E368" s="134">
        <f t="shared" si="132"/>
        <v>92.792792792792795</v>
      </c>
      <c r="F368" s="134">
        <f t="shared" si="133"/>
        <v>8.3513513513513526</v>
      </c>
      <c r="G368" s="181">
        <f>15450000</f>
        <v>15450000</v>
      </c>
      <c r="H368" s="134">
        <f t="shared" si="134"/>
        <v>92.792792792792795</v>
      </c>
      <c r="I368" s="134">
        <f t="shared" si="135"/>
        <v>8.3513513513513526</v>
      </c>
      <c r="J368" s="6">
        <f t="shared" si="136"/>
        <v>-1200000</v>
      </c>
      <c r="K368" s="10"/>
    </row>
    <row r="369" spans="1:14" x14ac:dyDescent="0.25">
      <c r="A369" s="745" t="s">
        <v>162</v>
      </c>
      <c r="B369" s="746" t="s">
        <v>538</v>
      </c>
      <c r="C369" s="263">
        <v>3000000</v>
      </c>
      <c r="D369" s="134"/>
      <c r="E369" s="134"/>
      <c r="F369" s="134"/>
      <c r="G369" s="181">
        <f>3000000</f>
        <v>3000000</v>
      </c>
      <c r="H369" s="134"/>
      <c r="I369" s="134"/>
      <c r="J369" s="6">
        <f t="shared" si="136"/>
        <v>0</v>
      </c>
      <c r="K369" s="10"/>
    </row>
    <row r="370" spans="1:14" x14ac:dyDescent="0.25">
      <c r="A370" s="745" t="s">
        <v>521</v>
      </c>
      <c r="B370" s="746" t="s">
        <v>539</v>
      </c>
      <c r="C370" s="263">
        <v>3000000</v>
      </c>
      <c r="D370" s="134"/>
      <c r="E370" s="134"/>
      <c r="F370" s="134"/>
      <c r="G370" s="181">
        <f>3000000</f>
        <v>3000000</v>
      </c>
      <c r="H370" s="134"/>
      <c r="I370" s="134"/>
      <c r="J370" s="6">
        <f t="shared" si="136"/>
        <v>0</v>
      </c>
      <c r="K370" s="10"/>
    </row>
    <row r="371" spans="1:14" ht="25.5" x14ac:dyDescent="0.25">
      <c r="A371" s="745" t="s">
        <v>116</v>
      </c>
      <c r="B371" s="316" t="s">
        <v>420</v>
      </c>
      <c r="C371" s="263">
        <v>5464200</v>
      </c>
      <c r="D371" s="134"/>
      <c r="E371" s="134"/>
      <c r="F371" s="134"/>
      <c r="G371" s="181">
        <f>3000000</f>
        <v>3000000</v>
      </c>
      <c r="H371" s="134"/>
      <c r="I371" s="134"/>
      <c r="J371" s="6">
        <f t="shared" si="136"/>
        <v>-2464200</v>
      </c>
      <c r="K371" s="10"/>
    </row>
    <row r="372" spans="1:14" x14ac:dyDescent="0.25">
      <c r="A372" s="745" t="s">
        <v>65</v>
      </c>
      <c r="B372" s="754" t="s">
        <v>190</v>
      </c>
      <c r="C372" s="263">
        <v>7000000</v>
      </c>
      <c r="D372" s="134"/>
      <c r="E372" s="134"/>
      <c r="F372" s="134"/>
      <c r="G372" s="181">
        <f>6932360</f>
        <v>6932360</v>
      </c>
      <c r="H372" s="134"/>
      <c r="I372" s="134"/>
      <c r="J372" s="6">
        <f t="shared" si="136"/>
        <v>-67640</v>
      </c>
      <c r="K372" s="10"/>
    </row>
    <row r="373" spans="1:14" x14ac:dyDescent="0.25">
      <c r="A373" s="745" t="s">
        <v>400</v>
      </c>
      <c r="B373" s="754" t="s">
        <v>401</v>
      </c>
      <c r="C373" s="263">
        <v>7000000</v>
      </c>
      <c r="D373" s="134"/>
      <c r="E373" s="134"/>
      <c r="F373" s="134"/>
      <c r="G373" s="181">
        <f>7000000</f>
        <v>7000000</v>
      </c>
      <c r="H373" s="134"/>
      <c r="I373" s="134"/>
      <c r="J373" s="6">
        <f t="shared" si="136"/>
        <v>0</v>
      </c>
      <c r="K373" s="10"/>
    </row>
    <row r="374" spans="1:14" x14ac:dyDescent="0.25">
      <c r="A374" s="745" t="s">
        <v>301</v>
      </c>
      <c r="B374" s="746" t="s">
        <v>409</v>
      </c>
      <c r="C374" s="263">
        <v>20400000</v>
      </c>
      <c r="D374" s="134">
        <f>C374/C360*100</f>
        <v>237.76223776223776</v>
      </c>
      <c r="E374" s="134"/>
      <c r="F374" s="134"/>
      <c r="G374" s="181">
        <f>20400000</f>
        <v>20400000</v>
      </c>
      <c r="H374" s="134"/>
      <c r="I374" s="134"/>
      <c r="J374" s="6">
        <f t="shared" si="136"/>
        <v>0</v>
      </c>
      <c r="K374" s="10"/>
    </row>
    <row r="375" spans="1:14" x14ac:dyDescent="0.25">
      <c r="A375" s="745" t="s">
        <v>275</v>
      </c>
      <c r="B375" s="316" t="s">
        <v>543</v>
      </c>
      <c r="C375" s="263">
        <v>5000000</v>
      </c>
      <c r="D375" s="134"/>
      <c r="E375" s="134"/>
      <c r="F375" s="134"/>
      <c r="G375" s="181">
        <f>5000000</f>
        <v>5000000</v>
      </c>
      <c r="H375" s="134"/>
      <c r="I375" s="134"/>
      <c r="J375" s="6">
        <f t="shared" si="136"/>
        <v>0</v>
      </c>
      <c r="K375" s="10"/>
    </row>
    <row r="376" spans="1:14" x14ac:dyDescent="0.25">
      <c r="A376" s="1152" t="s">
        <v>95</v>
      </c>
      <c r="B376" s="1154"/>
      <c r="C376" s="822">
        <f>SUM(C360:C375)</f>
        <v>185000000</v>
      </c>
      <c r="D376" s="12">
        <f>SUM(D360:D368)</f>
        <v>61.695027027027024</v>
      </c>
      <c r="E376" s="134"/>
      <c r="F376" s="134"/>
      <c r="G376" s="837">
        <f>SUM(G360:G375)</f>
        <v>149422360</v>
      </c>
      <c r="H376" s="134"/>
      <c r="I376" s="134"/>
      <c r="J376" s="56">
        <v>0</v>
      </c>
      <c r="K376" s="3">
        <v>0</v>
      </c>
    </row>
    <row r="377" spans="1:14" x14ac:dyDescent="0.25">
      <c r="A377" s="5"/>
      <c r="B377" s="5"/>
      <c r="C377" s="5"/>
      <c r="D377" s="29"/>
      <c r="E377" s="30"/>
      <c r="F377" s="31"/>
      <c r="G377" s="36"/>
      <c r="H377" s="32"/>
      <c r="I377" s="31"/>
      <c r="J377" s="36"/>
      <c r="K377" s="37"/>
    </row>
    <row r="378" spans="1:14" ht="31.5" x14ac:dyDescent="0.25">
      <c r="A378" s="55"/>
      <c r="B378" s="46" t="s">
        <v>145</v>
      </c>
      <c r="C378" s="155"/>
      <c r="D378" s="44"/>
      <c r="E378" s="45"/>
      <c r="F378" s="45"/>
      <c r="G378" s="48"/>
      <c r="H378" s="45"/>
      <c r="I378" s="45"/>
      <c r="J378" s="44"/>
      <c r="K378" s="44"/>
      <c r="L378" s="1"/>
      <c r="M378" s="1"/>
      <c r="N378" s="1"/>
    </row>
    <row r="379" spans="1:14" x14ac:dyDescent="0.25">
      <c r="A379" s="1133" t="s">
        <v>2</v>
      </c>
      <c r="B379" s="1134" t="s">
        <v>175</v>
      </c>
      <c r="C379" s="1133" t="s">
        <v>4</v>
      </c>
      <c r="D379" s="1135" t="s">
        <v>5</v>
      </c>
      <c r="E379" s="1136"/>
      <c r="F379" s="1136"/>
      <c r="G379" s="1137" t="s">
        <v>6</v>
      </c>
      <c r="H379" s="1136"/>
      <c r="I379" s="1136"/>
      <c r="J379" s="1133" t="s">
        <v>7</v>
      </c>
      <c r="K379" s="198" t="s">
        <v>8</v>
      </c>
    </row>
    <row r="380" spans="1:14" x14ac:dyDescent="0.25">
      <c r="A380" s="1133"/>
      <c r="B380" s="1134"/>
      <c r="C380" s="1133"/>
      <c r="D380" s="198" t="s">
        <v>9</v>
      </c>
      <c r="E380" s="310" t="s">
        <v>10</v>
      </c>
      <c r="F380" s="310" t="s">
        <v>11</v>
      </c>
      <c r="G380" s="311" t="s">
        <v>12</v>
      </c>
      <c r="H380" s="310" t="s">
        <v>13</v>
      </c>
      <c r="I380" s="310" t="s">
        <v>11</v>
      </c>
      <c r="J380" s="1138"/>
      <c r="K380" s="192"/>
    </row>
    <row r="381" spans="1:14" x14ac:dyDescent="0.25">
      <c r="A381" s="1133"/>
      <c r="B381" s="1134"/>
      <c r="C381" s="1133"/>
      <c r="D381" s="197" t="s">
        <v>14</v>
      </c>
      <c r="E381" s="195" t="s">
        <v>14</v>
      </c>
      <c r="F381" s="195" t="s">
        <v>14</v>
      </c>
      <c r="G381" s="196" t="s">
        <v>15</v>
      </c>
      <c r="H381" s="195" t="s">
        <v>14</v>
      </c>
      <c r="I381" s="195" t="s">
        <v>14</v>
      </c>
      <c r="J381" s="197" t="s">
        <v>15</v>
      </c>
      <c r="K381" s="197"/>
    </row>
    <row r="382" spans="1:14" x14ac:dyDescent="0.25">
      <c r="A382" s="79" t="s">
        <v>185</v>
      </c>
      <c r="B382" s="199" t="s">
        <v>146</v>
      </c>
      <c r="C382" s="24"/>
      <c r="D382" s="10"/>
      <c r="E382" s="34"/>
      <c r="F382" s="34"/>
      <c r="G382" s="6"/>
      <c r="H382" s="34"/>
      <c r="I382" s="34"/>
      <c r="J382" s="10"/>
      <c r="K382" s="10"/>
    </row>
    <row r="383" spans="1:14" x14ac:dyDescent="0.25">
      <c r="A383" s="125" t="s">
        <v>184</v>
      </c>
      <c r="B383" s="280" t="s">
        <v>147</v>
      </c>
      <c r="C383" s="252">
        <f>SUM(C384:C385)</f>
        <v>1430900000</v>
      </c>
      <c r="D383" s="10"/>
      <c r="E383" s="34"/>
      <c r="F383" s="34"/>
      <c r="G383" s="6"/>
      <c r="H383" s="34"/>
      <c r="I383" s="34"/>
      <c r="J383" s="10"/>
      <c r="K383" s="10"/>
    </row>
    <row r="384" spans="1:14" ht="25.5" x14ac:dyDescent="0.25">
      <c r="A384" s="154" t="s">
        <v>44</v>
      </c>
      <c r="B384" s="707" t="s">
        <v>384</v>
      </c>
      <c r="C384" s="253">
        <v>30900000</v>
      </c>
      <c r="D384" s="134">
        <f>C384/C383*100</f>
        <v>2.1594800475225382</v>
      </c>
      <c r="E384" s="134">
        <f t="shared" ref="E384:E385" si="137">G384/C384*100</f>
        <v>50</v>
      </c>
      <c r="F384" s="134">
        <f t="shared" ref="F384:F385" si="138">(D384*E384)/100</f>
        <v>1.0797400237612691</v>
      </c>
      <c r="G384" s="181">
        <f>15450000</f>
        <v>15450000</v>
      </c>
      <c r="H384" s="134">
        <f t="shared" ref="H384:H385" si="139">G384/C384*100</f>
        <v>50</v>
      </c>
      <c r="I384" s="134">
        <f t="shared" ref="I384:I385" si="140">(D384*H384)/100</f>
        <v>1.0797400237612691</v>
      </c>
      <c r="J384" s="6">
        <f t="shared" ref="J384:J385" si="141">G384-C384</f>
        <v>-15450000</v>
      </c>
      <c r="K384" s="10"/>
    </row>
    <row r="385" spans="1:11" x14ac:dyDescent="0.25">
      <c r="A385" s="124" t="s">
        <v>148</v>
      </c>
      <c r="B385" s="133" t="s">
        <v>534</v>
      </c>
      <c r="C385" s="256">
        <v>1400000000</v>
      </c>
      <c r="D385" s="134">
        <f>C385/C383*100</f>
        <v>97.840519952477464</v>
      </c>
      <c r="E385" s="134">
        <f t="shared" si="137"/>
        <v>14.712841571428573</v>
      </c>
      <c r="F385" s="134">
        <f t="shared" si="138"/>
        <v>14.395120693269972</v>
      </c>
      <c r="G385" s="181">
        <f>205979782</f>
        <v>205979782</v>
      </c>
      <c r="H385" s="134">
        <f t="shared" si="139"/>
        <v>14.712841571428573</v>
      </c>
      <c r="I385" s="134">
        <f t="shared" si="140"/>
        <v>14.395120693269972</v>
      </c>
      <c r="J385" s="6">
        <f t="shared" si="141"/>
        <v>-1194020218</v>
      </c>
      <c r="K385" s="10"/>
    </row>
    <row r="386" spans="1:11" x14ac:dyDescent="0.25">
      <c r="A386" s="70"/>
      <c r="B386" s="129" t="s">
        <v>95</v>
      </c>
      <c r="C386" s="807">
        <f>SUM(C384:C385)</f>
        <v>1430900000</v>
      </c>
      <c r="D386" s="271">
        <f>SUM(D384:D385)</f>
        <v>100</v>
      </c>
      <c r="E386" s="134"/>
      <c r="F386" s="134"/>
      <c r="G386" s="181">
        <f>SUM(G384:G385)</f>
        <v>221429782</v>
      </c>
      <c r="H386" s="134"/>
      <c r="I386" s="134"/>
      <c r="J386" s="56">
        <v>0</v>
      </c>
      <c r="K386" s="130"/>
    </row>
    <row r="387" spans="1:11" x14ac:dyDescent="0.25">
      <c r="A387" s="5"/>
      <c r="B387" s="5"/>
      <c r="C387" s="5"/>
      <c r="D387" s="29"/>
      <c r="E387" s="30"/>
      <c r="F387" s="31"/>
      <c r="G387" s="36"/>
      <c r="H387" s="32"/>
      <c r="I387" s="31"/>
      <c r="J387" s="36"/>
      <c r="K387" s="37"/>
    </row>
    <row r="388" spans="1:11" x14ac:dyDescent="0.25">
      <c r="A388" s="1133" t="s">
        <v>2</v>
      </c>
      <c r="B388" s="1134" t="s">
        <v>175</v>
      </c>
      <c r="C388" s="1133" t="s">
        <v>4</v>
      </c>
      <c r="D388" s="1135" t="s">
        <v>5</v>
      </c>
      <c r="E388" s="1136"/>
      <c r="F388" s="1136"/>
      <c r="G388" s="1137" t="s">
        <v>6</v>
      </c>
      <c r="H388" s="1136"/>
      <c r="I388" s="1136"/>
      <c r="J388" s="1133" t="s">
        <v>7</v>
      </c>
      <c r="K388" s="198" t="s">
        <v>8</v>
      </c>
    </row>
    <row r="389" spans="1:11" x14ac:dyDescent="0.25">
      <c r="A389" s="1133"/>
      <c r="B389" s="1134"/>
      <c r="C389" s="1133"/>
      <c r="D389" s="198" t="s">
        <v>9</v>
      </c>
      <c r="E389" s="310" t="s">
        <v>10</v>
      </c>
      <c r="F389" s="310" t="s">
        <v>11</v>
      </c>
      <c r="G389" s="311" t="s">
        <v>12</v>
      </c>
      <c r="H389" s="310" t="s">
        <v>13</v>
      </c>
      <c r="I389" s="310" t="s">
        <v>11</v>
      </c>
      <c r="J389" s="1138"/>
      <c r="K389" s="192"/>
    </row>
    <row r="390" spans="1:11" x14ac:dyDescent="0.25">
      <c r="A390" s="1133"/>
      <c r="B390" s="1134"/>
      <c r="C390" s="1133"/>
      <c r="D390" s="197" t="s">
        <v>14</v>
      </c>
      <c r="E390" s="195" t="s">
        <v>14</v>
      </c>
      <c r="F390" s="195" t="s">
        <v>14</v>
      </c>
      <c r="G390" s="196" t="s">
        <v>15</v>
      </c>
      <c r="H390" s="195" t="s">
        <v>14</v>
      </c>
      <c r="I390" s="195" t="s">
        <v>14</v>
      </c>
      <c r="J390" s="197" t="s">
        <v>15</v>
      </c>
      <c r="K390" s="197"/>
    </row>
    <row r="391" spans="1:11" x14ac:dyDescent="0.25">
      <c r="A391" s="79" t="s">
        <v>185</v>
      </c>
      <c r="B391" s="199" t="s">
        <v>146</v>
      </c>
      <c r="C391" s="24"/>
      <c r="D391" s="10"/>
      <c r="E391" s="34"/>
      <c r="F391" s="34"/>
      <c r="G391" s="6"/>
      <c r="H391" s="34"/>
      <c r="I391" s="34"/>
      <c r="J391" s="10"/>
      <c r="K391" s="10"/>
    </row>
    <row r="392" spans="1:11" x14ac:dyDescent="0.25">
      <c r="A392" s="125" t="s">
        <v>187</v>
      </c>
      <c r="B392" s="280" t="s">
        <v>156</v>
      </c>
      <c r="C392" s="252">
        <f>SUM(C393:C396)</f>
        <v>870474720</v>
      </c>
      <c r="D392" s="10"/>
      <c r="E392" s="14"/>
      <c r="F392" s="34"/>
      <c r="G392" s="6"/>
      <c r="H392" s="34"/>
      <c r="I392" s="34"/>
      <c r="J392" s="35"/>
      <c r="K392" s="10"/>
    </row>
    <row r="393" spans="1:11" ht="25.5" x14ac:dyDescent="0.25">
      <c r="A393" s="49" t="s">
        <v>59</v>
      </c>
      <c r="B393" s="707" t="s">
        <v>384</v>
      </c>
      <c r="C393" s="256">
        <v>26160000</v>
      </c>
      <c r="D393" s="34">
        <f>C393/C392*100</f>
        <v>3.0052567178516112</v>
      </c>
      <c r="E393" s="134">
        <f t="shared" ref="E393:E395" si="142">G393/C393*100</f>
        <v>50</v>
      </c>
      <c r="F393" s="134">
        <f t="shared" ref="F393:F395" si="143">(D393*E393)/100</f>
        <v>1.5026283589258056</v>
      </c>
      <c r="G393" s="181">
        <f>13080000</f>
        <v>13080000</v>
      </c>
      <c r="H393" s="134">
        <f t="shared" ref="H393:H395" si="144">G393/C393*100</f>
        <v>50</v>
      </c>
      <c r="I393" s="134">
        <f t="shared" ref="I393:I395" si="145">(D393*H393)/100</f>
        <v>1.5026283589258056</v>
      </c>
      <c r="J393" s="6">
        <f t="shared" ref="J393:J396" si="146">G393-C393</f>
        <v>-13080000</v>
      </c>
      <c r="K393" s="10"/>
    </row>
    <row r="394" spans="1:11" x14ac:dyDescent="0.25">
      <c r="A394" s="49" t="s">
        <v>148</v>
      </c>
      <c r="B394" s="133" t="s">
        <v>534</v>
      </c>
      <c r="C394" s="264">
        <v>600000000</v>
      </c>
      <c r="D394" s="134">
        <f>C394/C392*100</f>
        <v>68.927906372743365</v>
      </c>
      <c r="E394" s="134">
        <f t="shared" si="142"/>
        <v>52.712499999999999</v>
      </c>
      <c r="F394" s="134">
        <f t="shared" si="143"/>
        <v>36.333622646732344</v>
      </c>
      <c r="G394" s="181">
        <f>15335000+300940000</f>
        <v>316275000</v>
      </c>
      <c r="H394" s="134">
        <f t="shared" si="144"/>
        <v>52.712499999999999</v>
      </c>
      <c r="I394" s="134">
        <f t="shared" si="145"/>
        <v>36.333622646732344</v>
      </c>
      <c r="J394" s="6">
        <f t="shared" si="146"/>
        <v>-283725000</v>
      </c>
      <c r="K394" s="3"/>
    </row>
    <row r="395" spans="1:11" s="84" customFormat="1" ht="25.5" x14ac:dyDescent="0.2">
      <c r="A395" s="723" t="s">
        <v>152</v>
      </c>
      <c r="B395" s="133" t="s">
        <v>153</v>
      </c>
      <c r="C395" s="264">
        <v>240000000</v>
      </c>
      <c r="D395" s="134">
        <f>C395/C392*100</f>
        <v>27.571162549097352</v>
      </c>
      <c r="E395" s="134">
        <f t="shared" si="142"/>
        <v>41.666666666666671</v>
      </c>
      <c r="F395" s="134">
        <f t="shared" si="143"/>
        <v>11.48798439545723</v>
      </c>
      <c r="G395" s="181">
        <f>100000000</f>
        <v>100000000</v>
      </c>
      <c r="H395" s="134">
        <f t="shared" si="144"/>
        <v>41.666666666666671</v>
      </c>
      <c r="I395" s="134">
        <f t="shared" si="145"/>
        <v>11.48798439545723</v>
      </c>
      <c r="J395" s="6">
        <f t="shared" si="146"/>
        <v>-140000000</v>
      </c>
      <c r="K395" s="85"/>
    </row>
    <row r="396" spans="1:11" s="84" customFormat="1" x14ac:dyDescent="0.2">
      <c r="A396" s="749" t="s">
        <v>234</v>
      </c>
      <c r="B396" s="133" t="s">
        <v>522</v>
      </c>
      <c r="C396" s="264">
        <v>4314720</v>
      </c>
      <c r="D396" s="804"/>
      <c r="E396" s="134"/>
      <c r="F396" s="134"/>
      <c r="G396" s="181">
        <f>4314720</f>
        <v>4314720</v>
      </c>
      <c r="H396" s="134"/>
      <c r="I396" s="134"/>
      <c r="J396" s="6">
        <f t="shared" si="146"/>
        <v>0</v>
      </c>
      <c r="K396" s="823"/>
    </row>
    <row r="397" spans="1:11" x14ac:dyDescent="0.25">
      <c r="A397" s="73"/>
      <c r="B397" s="136" t="s">
        <v>154</v>
      </c>
      <c r="C397" s="824">
        <f>SUM(C393:C396)</f>
        <v>870474720</v>
      </c>
      <c r="D397" s="272">
        <f>SUM(D393:D395)</f>
        <v>99.504325639692325</v>
      </c>
      <c r="E397" s="134"/>
      <c r="F397" s="134"/>
      <c r="G397" s="181">
        <f>SUM(G393:G396)</f>
        <v>433669720</v>
      </c>
      <c r="H397" s="134"/>
      <c r="I397" s="134"/>
      <c r="J397" s="56">
        <v>0</v>
      </c>
      <c r="K397" s="40"/>
    </row>
    <row r="398" spans="1:11" x14ac:dyDescent="0.25">
      <c r="A398" s="50"/>
      <c r="B398" s="5"/>
      <c r="C398" s="50" t="s">
        <v>141</v>
      </c>
      <c r="D398" s="9"/>
      <c r="E398" s="23"/>
      <c r="F398" s="23"/>
      <c r="G398" s="11"/>
      <c r="H398" s="23"/>
      <c r="I398" s="23"/>
      <c r="J398" s="9"/>
      <c r="K398" s="9"/>
    </row>
    <row r="399" spans="1:11" x14ac:dyDescent="0.25">
      <c r="A399" s="50"/>
      <c r="B399" s="5"/>
      <c r="C399" s="50"/>
      <c r="D399" s="9"/>
      <c r="E399" s="23"/>
      <c r="F399" s="23"/>
      <c r="G399" s="11"/>
      <c r="H399" s="23"/>
      <c r="I399" s="23"/>
      <c r="J399" s="9"/>
      <c r="K399" s="9"/>
    </row>
    <row r="400" spans="1:11" x14ac:dyDescent="0.25">
      <c r="A400" s="1123" t="s">
        <v>2</v>
      </c>
      <c r="B400" s="1126" t="s">
        <v>171</v>
      </c>
      <c r="C400" s="1123" t="s">
        <v>4</v>
      </c>
      <c r="D400" s="1155" t="s">
        <v>5</v>
      </c>
      <c r="E400" s="1156"/>
      <c r="F400" s="1157"/>
      <c r="G400" s="1158" t="s">
        <v>6</v>
      </c>
      <c r="H400" s="1159"/>
      <c r="I400" s="1160"/>
      <c r="J400" s="1123" t="s">
        <v>7</v>
      </c>
      <c r="K400" s="289" t="s">
        <v>8</v>
      </c>
    </row>
    <row r="401" spans="1:14" x14ac:dyDescent="0.25">
      <c r="A401" s="1124"/>
      <c r="B401" s="1127"/>
      <c r="C401" s="1124"/>
      <c r="D401" s="289" t="s">
        <v>9</v>
      </c>
      <c r="E401" s="308" t="s">
        <v>10</v>
      </c>
      <c r="F401" s="308" t="s">
        <v>11</v>
      </c>
      <c r="G401" s="309" t="s">
        <v>12</v>
      </c>
      <c r="H401" s="308" t="s">
        <v>13</v>
      </c>
      <c r="I401" s="308" t="s">
        <v>11</v>
      </c>
      <c r="J401" s="1124"/>
      <c r="K401" s="115"/>
    </row>
    <row r="402" spans="1:14" x14ac:dyDescent="0.25">
      <c r="A402" s="1125"/>
      <c r="B402" s="1128"/>
      <c r="C402" s="1125"/>
      <c r="D402" s="118" t="s">
        <v>14</v>
      </c>
      <c r="E402" s="119" t="s">
        <v>14</v>
      </c>
      <c r="F402" s="119" t="s">
        <v>14</v>
      </c>
      <c r="G402" s="120" t="s">
        <v>15</v>
      </c>
      <c r="H402" s="119" t="s">
        <v>14</v>
      </c>
      <c r="I402" s="119" t="s">
        <v>14</v>
      </c>
      <c r="J402" s="118" t="s">
        <v>15</v>
      </c>
      <c r="K402" s="118"/>
    </row>
    <row r="403" spans="1:14" ht="25.5" x14ac:dyDescent="0.25">
      <c r="A403" s="79" t="s">
        <v>180</v>
      </c>
      <c r="B403" s="696" t="s">
        <v>379</v>
      </c>
      <c r="C403" s="128"/>
      <c r="D403" s="10"/>
      <c r="E403" s="34"/>
      <c r="F403" s="34"/>
      <c r="G403" s="6"/>
      <c r="H403" s="34"/>
      <c r="I403" s="34"/>
      <c r="J403" s="10"/>
      <c r="K403" s="10"/>
    </row>
    <row r="404" spans="1:14" ht="25.5" x14ac:dyDescent="0.25">
      <c r="A404" s="158" t="s">
        <v>181</v>
      </c>
      <c r="B404" s="697" t="s">
        <v>380</v>
      </c>
      <c r="C404" s="265">
        <f>SUM(C405:C416)</f>
        <v>185000000</v>
      </c>
      <c r="D404" s="10"/>
      <c r="E404" s="34"/>
      <c r="F404" s="34"/>
      <c r="G404" s="6"/>
      <c r="H404" s="34"/>
      <c r="I404" s="34"/>
      <c r="J404" s="10"/>
      <c r="K404" s="10"/>
    </row>
    <row r="405" spans="1:14" ht="25.5" x14ac:dyDescent="0.25">
      <c r="A405" s="74" t="s">
        <v>44</v>
      </c>
      <c r="B405" s="707" t="s">
        <v>384</v>
      </c>
      <c r="C405" s="266">
        <v>8580000</v>
      </c>
      <c r="D405" s="134">
        <f>C405/C404*100</f>
        <v>4.6378378378378375</v>
      </c>
      <c r="E405" s="134">
        <f t="shared" ref="E405:E413" si="147">G405/C405*100</f>
        <v>96.386946386946377</v>
      </c>
      <c r="F405" s="134">
        <f t="shared" ref="F405:F413" si="148">(D405*E405)/100</f>
        <v>4.4702702702702695</v>
      </c>
      <c r="G405" s="181">
        <f>8270000</f>
        <v>8270000</v>
      </c>
      <c r="H405" s="134">
        <f t="shared" ref="H405:H413" si="149">G405/C405*100</f>
        <v>96.386946386946377</v>
      </c>
      <c r="I405" s="134">
        <f t="shared" ref="I405:I413" si="150">(D405*H405)/100</f>
        <v>4.4702702702702695</v>
      </c>
      <c r="J405" s="6">
        <f t="shared" ref="J405:J416" si="151">G405-C405</f>
        <v>-310000</v>
      </c>
      <c r="K405" s="10"/>
      <c r="L405" s="1"/>
      <c r="M405" s="1"/>
      <c r="N405" s="25"/>
    </row>
    <row r="406" spans="1:14" x14ac:dyDescent="0.25">
      <c r="A406" s="74" t="s">
        <v>59</v>
      </c>
      <c r="B406" s="707" t="s">
        <v>197</v>
      </c>
      <c r="C406" s="266">
        <v>12180000</v>
      </c>
      <c r="D406" s="134">
        <f>C406/C404*100</f>
        <v>6.583783783783784</v>
      </c>
      <c r="E406" s="134">
        <f t="shared" si="147"/>
        <v>53.362479474548444</v>
      </c>
      <c r="F406" s="134">
        <f t="shared" si="148"/>
        <v>3.5132702702702705</v>
      </c>
      <c r="G406" s="181">
        <f>6499550</f>
        <v>6499550</v>
      </c>
      <c r="H406" s="134">
        <f t="shared" si="149"/>
        <v>53.362479474548444</v>
      </c>
      <c r="I406" s="134">
        <f t="shared" si="150"/>
        <v>3.5132702702702705</v>
      </c>
      <c r="J406" s="6">
        <f t="shared" si="151"/>
        <v>-5680450</v>
      </c>
      <c r="K406" s="10"/>
      <c r="L406" s="1"/>
      <c r="M406" s="1"/>
      <c r="N406" s="1"/>
    </row>
    <row r="407" spans="1:14" x14ac:dyDescent="0.25">
      <c r="A407" s="74" t="s">
        <v>62</v>
      </c>
      <c r="B407" s="707" t="s">
        <v>334</v>
      </c>
      <c r="C407" s="266">
        <v>9590000</v>
      </c>
      <c r="D407" s="134">
        <f>C407/C404*100</f>
        <v>5.1837837837837837</v>
      </c>
      <c r="E407" s="134">
        <f t="shared" si="147"/>
        <v>40.667361835245046</v>
      </c>
      <c r="F407" s="134">
        <f t="shared" si="148"/>
        <v>2.1081081081081079</v>
      </c>
      <c r="G407" s="181">
        <f>3900000</f>
        <v>3900000</v>
      </c>
      <c r="H407" s="134">
        <f t="shared" si="149"/>
        <v>40.667361835245046</v>
      </c>
      <c r="I407" s="134">
        <f t="shared" si="150"/>
        <v>2.1081081081081079</v>
      </c>
      <c r="J407" s="6">
        <f t="shared" si="151"/>
        <v>-5690000</v>
      </c>
      <c r="K407" s="10"/>
      <c r="L407" s="1"/>
      <c r="M407" s="1"/>
      <c r="N407" s="1"/>
    </row>
    <row r="408" spans="1:14" ht="25.5" x14ac:dyDescent="0.25">
      <c r="A408" s="49" t="s">
        <v>193</v>
      </c>
      <c r="B408" s="707" t="s">
        <v>537</v>
      </c>
      <c r="C408" s="266">
        <v>5250000</v>
      </c>
      <c r="D408" s="134"/>
      <c r="E408" s="134"/>
      <c r="F408" s="134"/>
      <c r="G408" s="181">
        <f>5250000</f>
        <v>5250000</v>
      </c>
      <c r="H408" s="134"/>
      <c r="I408" s="134"/>
      <c r="J408" s="6">
        <f t="shared" si="151"/>
        <v>0</v>
      </c>
      <c r="K408" s="10"/>
      <c r="L408" s="1"/>
      <c r="M408" s="1"/>
      <c r="N408" s="1"/>
    </row>
    <row r="409" spans="1:14" x14ac:dyDescent="0.25">
      <c r="A409" s="49" t="s">
        <v>148</v>
      </c>
      <c r="B409" s="133" t="s">
        <v>534</v>
      </c>
      <c r="C409" s="266">
        <v>8000000</v>
      </c>
      <c r="D409" s="134"/>
      <c r="E409" s="134"/>
      <c r="F409" s="134"/>
      <c r="G409" s="181">
        <f>8000000</f>
        <v>8000000</v>
      </c>
      <c r="H409" s="134"/>
      <c r="I409" s="134"/>
      <c r="J409" s="6">
        <f t="shared" si="151"/>
        <v>0</v>
      </c>
      <c r="K409" s="10"/>
      <c r="L409" s="1"/>
      <c r="M409" s="1"/>
      <c r="N409" s="1"/>
    </row>
    <row r="410" spans="1:14" x14ac:dyDescent="0.25">
      <c r="A410" s="74" t="s">
        <v>77</v>
      </c>
      <c r="B410" s="49" t="s">
        <v>143</v>
      </c>
      <c r="C410" s="266">
        <v>69700000</v>
      </c>
      <c r="D410" s="134">
        <f>C410/C404*100</f>
        <v>37.675675675675677</v>
      </c>
      <c r="E410" s="134">
        <f t="shared" si="147"/>
        <v>29.404591104734578</v>
      </c>
      <c r="F410" s="134">
        <f t="shared" si="148"/>
        <v>11.07837837837838</v>
      </c>
      <c r="G410" s="181">
        <f>20495000</f>
        <v>20495000</v>
      </c>
      <c r="H410" s="134">
        <f t="shared" si="149"/>
        <v>29.404591104734578</v>
      </c>
      <c r="I410" s="134">
        <f t="shared" si="150"/>
        <v>11.07837837837838</v>
      </c>
      <c r="J410" s="6">
        <f t="shared" si="151"/>
        <v>-49205000</v>
      </c>
      <c r="K410" s="10"/>
      <c r="L410" s="1"/>
      <c r="M410" s="1"/>
      <c r="N410" s="1"/>
    </row>
    <row r="411" spans="1:14" x14ac:dyDescent="0.25">
      <c r="A411" s="314" t="s">
        <v>183</v>
      </c>
      <c r="B411" s="49" t="s">
        <v>417</v>
      </c>
      <c r="C411" s="266">
        <v>14400000</v>
      </c>
      <c r="D411" s="134"/>
      <c r="E411" s="134"/>
      <c r="F411" s="134"/>
      <c r="G411" s="181"/>
      <c r="H411" s="134"/>
      <c r="I411" s="134"/>
      <c r="J411" s="6">
        <f t="shared" si="151"/>
        <v>-14400000</v>
      </c>
      <c r="K411" s="10"/>
      <c r="L411" s="1"/>
      <c r="M411" s="1"/>
      <c r="N411" s="1"/>
    </row>
    <row r="412" spans="1:14" x14ac:dyDescent="0.25">
      <c r="A412" s="74" t="s">
        <v>186</v>
      </c>
      <c r="B412" s="170" t="s">
        <v>182</v>
      </c>
      <c r="C412" s="266">
        <v>31000000</v>
      </c>
      <c r="D412" s="134">
        <f>C412/C404*100</f>
        <v>16.756756756756758</v>
      </c>
      <c r="E412" s="134">
        <f t="shared" si="147"/>
        <v>100</v>
      </c>
      <c r="F412" s="134">
        <f t="shared" si="148"/>
        <v>16.756756756756758</v>
      </c>
      <c r="G412" s="181">
        <f>31000000</f>
        <v>31000000</v>
      </c>
      <c r="H412" s="134">
        <f t="shared" si="149"/>
        <v>100</v>
      </c>
      <c r="I412" s="134">
        <f t="shared" si="150"/>
        <v>16.756756756756758</v>
      </c>
      <c r="J412" s="6">
        <f t="shared" si="151"/>
        <v>0</v>
      </c>
      <c r="K412" s="10"/>
      <c r="L412" s="1"/>
      <c r="M412" s="1"/>
      <c r="N412" s="1"/>
    </row>
    <row r="413" spans="1:14" ht="25.5" x14ac:dyDescent="0.25">
      <c r="A413" s="74" t="s">
        <v>106</v>
      </c>
      <c r="B413" s="316" t="s">
        <v>375</v>
      </c>
      <c r="C413" s="266">
        <v>15300000</v>
      </c>
      <c r="D413" s="134">
        <f>C413/C404*100</f>
        <v>8.2702702702702702</v>
      </c>
      <c r="E413" s="134">
        <f t="shared" si="147"/>
        <v>76.470588235294116</v>
      </c>
      <c r="F413" s="134">
        <f t="shared" si="148"/>
        <v>6.3243243243243237</v>
      </c>
      <c r="G413" s="181">
        <f>11700000</f>
        <v>11700000</v>
      </c>
      <c r="H413" s="134">
        <f t="shared" si="149"/>
        <v>76.470588235294116</v>
      </c>
      <c r="I413" s="134">
        <f t="shared" si="150"/>
        <v>6.3243243243243237</v>
      </c>
      <c r="J413" s="6">
        <f t="shared" si="151"/>
        <v>-3600000</v>
      </c>
      <c r="K413" s="10"/>
      <c r="L413" s="1"/>
      <c r="M413" s="1"/>
      <c r="N413" s="1"/>
    </row>
    <row r="414" spans="1:14" x14ac:dyDescent="0.25">
      <c r="A414" s="755" t="s">
        <v>116</v>
      </c>
      <c r="B414" s="316" t="s">
        <v>538</v>
      </c>
      <c r="C414" s="266">
        <v>2000000</v>
      </c>
      <c r="D414" s="134">
        <f>C414/C405*100</f>
        <v>23.310023310023308</v>
      </c>
      <c r="E414" s="134"/>
      <c r="F414" s="134"/>
      <c r="G414" s="181">
        <f>2000000</f>
        <v>2000000</v>
      </c>
      <c r="H414" s="134"/>
      <c r="I414" s="134"/>
      <c r="J414" s="6">
        <f t="shared" si="151"/>
        <v>0</v>
      </c>
      <c r="K414" s="10"/>
      <c r="L414" s="1"/>
      <c r="M414" s="1"/>
      <c r="N414" s="1"/>
    </row>
    <row r="415" spans="1:14" x14ac:dyDescent="0.25">
      <c r="A415" s="755" t="s">
        <v>521</v>
      </c>
      <c r="B415" s="316" t="s">
        <v>539</v>
      </c>
      <c r="C415" s="266">
        <v>2000000</v>
      </c>
      <c r="D415" s="134"/>
      <c r="E415" s="134"/>
      <c r="F415" s="134"/>
      <c r="G415" s="181">
        <f>2000000</f>
        <v>2000000</v>
      </c>
      <c r="H415" s="134"/>
      <c r="I415" s="134"/>
      <c r="J415" s="6">
        <f t="shared" si="151"/>
        <v>0</v>
      </c>
      <c r="K415" s="10"/>
      <c r="L415" s="1"/>
      <c r="M415" s="1"/>
      <c r="N415" s="1"/>
    </row>
    <row r="416" spans="1:14" x14ac:dyDescent="0.25">
      <c r="A416" s="755" t="s">
        <v>65</v>
      </c>
      <c r="B416" s="316" t="s">
        <v>190</v>
      </c>
      <c r="C416" s="266">
        <v>7000000</v>
      </c>
      <c r="D416" s="134"/>
      <c r="E416" s="134"/>
      <c r="F416" s="134"/>
      <c r="G416" s="181"/>
      <c r="H416" s="134"/>
      <c r="I416" s="134"/>
      <c r="J416" s="6">
        <f t="shared" si="151"/>
        <v>-7000000</v>
      </c>
      <c r="K416" s="10"/>
      <c r="L416" s="1"/>
      <c r="M416" s="1"/>
      <c r="N416" s="1"/>
    </row>
    <row r="417" spans="1:14" x14ac:dyDescent="0.25">
      <c r="A417" s="1152" t="s">
        <v>128</v>
      </c>
      <c r="B417" s="1154"/>
      <c r="C417" s="57">
        <f>SUM(C405:C416)</f>
        <v>185000000</v>
      </c>
      <c r="D417" s="273">
        <f>SUM(D405:D413)</f>
        <v>79.108108108108112</v>
      </c>
      <c r="E417" s="134"/>
      <c r="F417" s="134"/>
      <c r="G417" s="13">
        <f>SUM(G405:G416)</f>
        <v>99114550</v>
      </c>
      <c r="H417" s="134"/>
      <c r="I417" s="134"/>
      <c r="J417" s="56">
        <v>0</v>
      </c>
      <c r="K417" s="12"/>
      <c r="L417" s="9"/>
      <c r="M417" s="9"/>
      <c r="N417" s="9"/>
    </row>
    <row r="418" spans="1:14" x14ac:dyDescent="0.25">
      <c r="A418" s="5"/>
      <c r="B418" s="5"/>
      <c r="C418" s="65"/>
      <c r="D418" s="66"/>
      <c r="E418" s="30"/>
      <c r="F418" s="31"/>
      <c r="G418" s="36"/>
      <c r="H418" s="30"/>
      <c r="I418" s="31"/>
      <c r="J418" s="33"/>
      <c r="K418" s="29"/>
      <c r="L418" s="9"/>
      <c r="M418" s="9"/>
      <c r="N418" s="9"/>
    </row>
    <row r="419" spans="1:14" ht="31.5" x14ac:dyDescent="0.25">
      <c r="A419" s="55"/>
      <c r="B419" s="46" t="s">
        <v>145</v>
      </c>
      <c r="C419" s="155"/>
      <c r="D419" s="44"/>
      <c r="E419" s="45"/>
      <c r="F419" s="45"/>
      <c r="G419" s="48"/>
      <c r="H419" s="45"/>
      <c r="I419" s="45"/>
      <c r="J419" s="44"/>
      <c r="K419" s="44"/>
      <c r="L419" s="1"/>
      <c r="M419" s="1"/>
      <c r="N419" s="1"/>
    </row>
    <row r="420" spans="1:14" x14ac:dyDescent="0.25">
      <c r="A420" s="1119" t="s">
        <v>2</v>
      </c>
      <c r="B420" s="1120" t="s">
        <v>171</v>
      </c>
      <c r="C420" s="1119" t="s">
        <v>4</v>
      </c>
      <c r="D420" s="1121" t="s">
        <v>5</v>
      </c>
      <c r="E420" s="1132"/>
      <c r="F420" s="1132"/>
      <c r="G420" s="1122" t="s">
        <v>6</v>
      </c>
      <c r="H420" s="1132"/>
      <c r="I420" s="1132"/>
      <c r="J420" s="1119" t="s">
        <v>7</v>
      </c>
      <c r="K420" s="289" t="s">
        <v>8</v>
      </c>
      <c r="L420" s="1"/>
      <c r="M420" s="1"/>
    </row>
    <row r="421" spans="1:14" x14ac:dyDescent="0.25">
      <c r="A421" s="1119"/>
      <c r="B421" s="1120"/>
      <c r="C421" s="1119"/>
      <c r="D421" s="289" t="s">
        <v>9</v>
      </c>
      <c r="E421" s="308" t="s">
        <v>10</v>
      </c>
      <c r="F421" s="308" t="s">
        <v>11</v>
      </c>
      <c r="G421" s="309" t="s">
        <v>12</v>
      </c>
      <c r="H421" s="308" t="s">
        <v>13</v>
      </c>
      <c r="I421" s="308" t="s">
        <v>11</v>
      </c>
      <c r="J421" s="1123"/>
      <c r="K421" s="115"/>
      <c r="L421" s="1"/>
      <c r="M421" s="1"/>
    </row>
    <row r="422" spans="1:14" x14ac:dyDescent="0.25">
      <c r="A422" s="1119"/>
      <c r="B422" s="1120"/>
      <c r="C422" s="1119"/>
      <c r="D422" s="118" t="s">
        <v>14</v>
      </c>
      <c r="E422" s="119" t="s">
        <v>14</v>
      </c>
      <c r="F422" s="119" t="s">
        <v>14</v>
      </c>
      <c r="G422" s="120" t="s">
        <v>15</v>
      </c>
      <c r="H422" s="119" t="s">
        <v>14</v>
      </c>
      <c r="I422" s="119" t="s">
        <v>14</v>
      </c>
      <c r="J422" s="118" t="s">
        <v>15</v>
      </c>
      <c r="K422" s="118"/>
      <c r="L422" s="1"/>
      <c r="M422" s="1"/>
    </row>
    <row r="423" spans="1:14" x14ac:dyDescent="0.25">
      <c r="A423" s="79" t="s">
        <v>185</v>
      </c>
      <c r="B423" s="199" t="s">
        <v>146</v>
      </c>
      <c r="C423" s="24"/>
      <c r="D423" s="10"/>
      <c r="E423" s="34"/>
      <c r="F423" s="34"/>
      <c r="G423" s="6"/>
      <c r="H423" s="34"/>
      <c r="I423" s="34"/>
      <c r="J423" s="10"/>
      <c r="K423" s="10"/>
      <c r="L423" s="1"/>
      <c r="M423" s="25"/>
    </row>
    <row r="424" spans="1:14" x14ac:dyDescent="0.25">
      <c r="A424" s="125" t="s">
        <v>184</v>
      </c>
      <c r="B424" s="280" t="s">
        <v>147</v>
      </c>
      <c r="C424" s="252">
        <f>SUM(C425:C426)</f>
        <v>5850440000</v>
      </c>
      <c r="D424" s="10"/>
      <c r="E424" s="34"/>
      <c r="F424" s="34"/>
      <c r="G424" s="6"/>
      <c r="H424" s="34"/>
      <c r="I424" s="34"/>
      <c r="J424" s="10"/>
      <c r="K424" s="10"/>
      <c r="L424" s="1"/>
      <c r="M424" s="1"/>
    </row>
    <row r="425" spans="1:14" x14ac:dyDescent="0.25">
      <c r="A425" s="154" t="s">
        <v>413</v>
      </c>
      <c r="B425" s="707" t="s">
        <v>414</v>
      </c>
      <c r="C425" s="253">
        <v>40440000</v>
      </c>
      <c r="D425" s="134" t="e">
        <f>C425/#REF!*100</f>
        <v>#REF!</v>
      </c>
      <c r="E425" s="134"/>
      <c r="F425" s="134"/>
      <c r="G425" s="181">
        <v>0</v>
      </c>
      <c r="H425" s="134"/>
      <c r="I425" s="134"/>
      <c r="J425" s="6">
        <f t="shared" ref="J425:J426" si="152">G425-C425</f>
        <v>-40440000</v>
      </c>
      <c r="K425" s="10"/>
      <c r="L425" s="1"/>
      <c r="M425" s="1"/>
    </row>
    <row r="426" spans="1:14" x14ac:dyDescent="0.25">
      <c r="A426" s="124" t="s">
        <v>148</v>
      </c>
      <c r="B426" s="133" t="s">
        <v>534</v>
      </c>
      <c r="C426" s="256">
        <v>5810000000</v>
      </c>
      <c r="D426" s="134">
        <f>C426/C424*100</f>
        <v>99.308769938671276</v>
      </c>
      <c r="E426" s="134">
        <f t="shared" ref="E426" si="153">G426/C426*100</f>
        <v>43.259896729776251</v>
      </c>
      <c r="F426" s="134">
        <f t="shared" ref="F426" si="154">(D426*E426)/100</f>
        <v>42.960871319080276</v>
      </c>
      <c r="G426" s="181">
        <f>172050000+2341350000</f>
        <v>2513400000</v>
      </c>
      <c r="H426" s="134">
        <f t="shared" ref="H426" si="155">G426/C426*100</f>
        <v>43.259896729776251</v>
      </c>
      <c r="I426" s="134">
        <f t="shared" ref="I426" si="156">(D426*H426)/100</f>
        <v>42.960871319080276</v>
      </c>
      <c r="J426" s="6">
        <f t="shared" si="152"/>
        <v>-3296600000</v>
      </c>
      <c r="K426" s="10"/>
      <c r="L426" s="1"/>
      <c r="M426" s="1"/>
    </row>
    <row r="427" spans="1:14" x14ac:dyDescent="0.25">
      <c r="A427" s="72"/>
      <c r="B427" s="136" t="s">
        <v>154</v>
      </c>
      <c r="C427" s="808">
        <f>SUM(C425:C426)</f>
        <v>5850440000</v>
      </c>
      <c r="D427" s="271" t="e">
        <f>SUM(D425:D426)</f>
        <v>#REF!</v>
      </c>
      <c r="E427" s="134"/>
      <c r="F427" s="134"/>
      <c r="G427" s="181">
        <f>SUM(G425:G426)</f>
        <v>2513400000</v>
      </c>
      <c r="H427" s="134"/>
      <c r="I427" s="134"/>
      <c r="J427" s="56">
        <v>0</v>
      </c>
      <c r="K427" s="130"/>
      <c r="L427" s="1"/>
      <c r="M427" s="1"/>
    </row>
    <row r="428" spans="1:14" x14ac:dyDescent="0.25">
      <c r="A428" s="5"/>
      <c r="B428" s="5"/>
      <c r="C428" s="65"/>
      <c r="D428" s="66"/>
      <c r="E428" s="30"/>
      <c r="F428" s="31"/>
      <c r="G428" s="36"/>
      <c r="H428" s="30"/>
      <c r="I428" s="31"/>
      <c r="J428" s="33"/>
      <c r="K428" s="29"/>
      <c r="L428" s="9"/>
      <c r="M428" s="9"/>
      <c r="N428" s="9"/>
    </row>
    <row r="429" spans="1:14" x14ac:dyDescent="0.25">
      <c r="A429" s="1119" t="s">
        <v>2</v>
      </c>
      <c r="B429" s="1120" t="s">
        <v>171</v>
      </c>
      <c r="C429" s="1119" t="s">
        <v>4</v>
      </c>
      <c r="D429" s="1121" t="s">
        <v>5</v>
      </c>
      <c r="E429" s="1132"/>
      <c r="F429" s="1132"/>
      <c r="G429" s="1122" t="s">
        <v>6</v>
      </c>
      <c r="H429" s="1132"/>
      <c r="I429" s="1132"/>
      <c r="J429" s="1119" t="s">
        <v>7</v>
      </c>
      <c r="K429" s="289" t="s">
        <v>8</v>
      </c>
      <c r="L429" s="1"/>
      <c r="M429" s="1"/>
    </row>
    <row r="430" spans="1:14" x14ac:dyDescent="0.25">
      <c r="A430" s="1119"/>
      <c r="B430" s="1120"/>
      <c r="C430" s="1119"/>
      <c r="D430" s="289" t="s">
        <v>9</v>
      </c>
      <c r="E430" s="308" t="s">
        <v>10</v>
      </c>
      <c r="F430" s="308" t="s">
        <v>11</v>
      </c>
      <c r="G430" s="309" t="s">
        <v>12</v>
      </c>
      <c r="H430" s="308" t="s">
        <v>13</v>
      </c>
      <c r="I430" s="308" t="s">
        <v>11</v>
      </c>
      <c r="J430" s="1123"/>
      <c r="K430" s="115"/>
      <c r="L430" s="1"/>
      <c r="M430" s="1"/>
    </row>
    <row r="431" spans="1:14" x14ac:dyDescent="0.25">
      <c r="A431" s="1119"/>
      <c r="B431" s="1120"/>
      <c r="C431" s="1119"/>
      <c r="D431" s="118" t="s">
        <v>14</v>
      </c>
      <c r="E431" s="119" t="s">
        <v>14</v>
      </c>
      <c r="F431" s="119" t="s">
        <v>14</v>
      </c>
      <c r="G431" s="120" t="s">
        <v>15</v>
      </c>
      <c r="H431" s="119" t="s">
        <v>14</v>
      </c>
      <c r="I431" s="119" t="s">
        <v>14</v>
      </c>
      <c r="J431" s="118" t="s">
        <v>15</v>
      </c>
      <c r="K431" s="118"/>
      <c r="L431" s="1"/>
      <c r="M431" s="1"/>
    </row>
    <row r="432" spans="1:14" x14ac:dyDescent="0.25">
      <c r="A432" s="79" t="s">
        <v>185</v>
      </c>
      <c r="B432" s="199" t="s">
        <v>146</v>
      </c>
      <c r="C432" s="24"/>
      <c r="D432" s="10"/>
      <c r="E432" s="34"/>
      <c r="F432" s="34"/>
      <c r="G432" s="6"/>
      <c r="H432" s="34"/>
      <c r="I432" s="34"/>
      <c r="J432" s="10"/>
      <c r="K432" s="10"/>
      <c r="L432" s="1"/>
      <c r="M432" s="1"/>
    </row>
    <row r="433" spans="1:13" x14ac:dyDescent="0.25">
      <c r="A433" s="125" t="s">
        <v>187</v>
      </c>
      <c r="B433" s="280" t="s">
        <v>164</v>
      </c>
      <c r="C433" s="252">
        <f>SUM(C434:C438)</f>
        <v>3539546088</v>
      </c>
      <c r="D433" s="10"/>
      <c r="E433" s="34"/>
      <c r="F433" s="34"/>
      <c r="G433" s="6"/>
      <c r="H433" s="34"/>
      <c r="I433" s="34"/>
      <c r="J433" s="10"/>
      <c r="K433" s="10"/>
      <c r="L433" s="1"/>
      <c r="M433" s="1"/>
    </row>
    <row r="434" spans="1:13" ht="25.5" x14ac:dyDescent="0.25">
      <c r="A434" s="154" t="s">
        <v>44</v>
      </c>
      <c r="B434" s="707" t="s">
        <v>384</v>
      </c>
      <c r="C434" s="253">
        <v>35255000</v>
      </c>
      <c r="D434" s="134">
        <f>C434/C433*100</f>
        <v>0.99603166969696488</v>
      </c>
      <c r="E434" s="134">
        <f t="shared" ref="E434:E437" si="157">G434/C434*100</f>
        <v>0</v>
      </c>
      <c r="F434" s="134">
        <f t="shared" ref="F434:F437" si="158">(D434*E434)/100</f>
        <v>0</v>
      </c>
      <c r="G434" s="181">
        <v>0</v>
      </c>
      <c r="H434" s="134">
        <f t="shared" ref="H434:H437" si="159">G434/C434*100</f>
        <v>0</v>
      </c>
      <c r="I434" s="134">
        <f t="shared" ref="I434:I437" si="160">(D434*H434)/100</f>
        <v>0</v>
      </c>
      <c r="J434" s="6">
        <f t="shared" ref="J434:J438" si="161">G434-C434</f>
        <v>-35255000</v>
      </c>
      <c r="K434" s="10"/>
      <c r="L434" s="1"/>
      <c r="M434" s="1"/>
    </row>
    <row r="435" spans="1:13" x14ac:dyDescent="0.25">
      <c r="A435" s="154" t="s">
        <v>413</v>
      </c>
      <c r="B435" s="707" t="s">
        <v>414</v>
      </c>
      <c r="C435" s="253">
        <v>385000</v>
      </c>
      <c r="D435" s="134"/>
      <c r="E435" s="134"/>
      <c r="F435" s="134"/>
      <c r="G435" s="181">
        <v>0</v>
      </c>
      <c r="H435" s="134"/>
      <c r="I435" s="134"/>
      <c r="J435" s="6">
        <f t="shared" si="161"/>
        <v>-385000</v>
      </c>
      <c r="K435" s="10"/>
      <c r="L435" s="1"/>
      <c r="M435" s="1"/>
    </row>
    <row r="436" spans="1:13" x14ac:dyDescent="0.25">
      <c r="A436" s="124" t="s">
        <v>148</v>
      </c>
      <c r="B436" s="133" t="s">
        <v>534</v>
      </c>
      <c r="C436" s="256">
        <v>2490000000</v>
      </c>
      <c r="D436" s="134">
        <f>C436/C433*100</f>
        <v>70.348003334149553</v>
      </c>
      <c r="E436" s="134">
        <f t="shared" si="157"/>
        <v>47.745751004016064</v>
      </c>
      <c r="F436" s="134">
        <f t="shared" si="158"/>
        <v>33.588182508219965</v>
      </c>
      <c r="G436" s="181">
        <f>235000000+953869200</f>
        <v>1188869200</v>
      </c>
      <c r="H436" s="134">
        <f t="shared" si="159"/>
        <v>47.745751004016064</v>
      </c>
      <c r="I436" s="134">
        <f t="shared" si="160"/>
        <v>33.588182508219965</v>
      </c>
      <c r="J436" s="6">
        <f t="shared" si="161"/>
        <v>-1301130800</v>
      </c>
      <c r="K436" s="10"/>
    </row>
    <row r="437" spans="1:13" s="84" customFormat="1" ht="25.5" x14ac:dyDescent="0.2">
      <c r="A437" s="124" t="s">
        <v>152</v>
      </c>
      <c r="B437" s="133" t="s">
        <v>166</v>
      </c>
      <c r="C437" s="256">
        <v>996000000</v>
      </c>
      <c r="D437" s="134">
        <f>C437/C433*100</f>
        <v>28.13920133365982</v>
      </c>
      <c r="E437" s="134">
        <f t="shared" si="157"/>
        <v>41.666666666666671</v>
      </c>
      <c r="F437" s="134">
        <f t="shared" si="158"/>
        <v>11.72466722235826</v>
      </c>
      <c r="G437" s="181">
        <f>415000000</f>
        <v>415000000</v>
      </c>
      <c r="H437" s="134">
        <f t="shared" si="159"/>
        <v>41.666666666666671</v>
      </c>
      <c r="I437" s="134">
        <f t="shared" si="160"/>
        <v>11.72466722235826</v>
      </c>
      <c r="J437" s="6">
        <f t="shared" si="161"/>
        <v>-581000000</v>
      </c>
      <c r="K437" s="38"/>
    </row>
    <row r="438" spans="1:13" s="84" customFormat="1" x14ac:dyDescent="0.2">
      <c r="A438" s="825" t="s">
        <v>234</v>
      </c>
      <c r="B438" s="133" t="s">
        <v>522</v>
      </c>
      <c r="C438" s="256">
        <v>17906088</v>
      </c>
      <c r="D438" s="804"/>
      <c r="E438" s="134"/>
      <c r="F438" s="134"/>
      <c r="G438" s="181">
        <f>17906088</f>
        <v>17906088</v>
      </c>
      <c r="H438" s="134"/>
      <c r="I438" s="134"/>
      <c r="J438" s="6">
        <f t="shared" si="161"/>
        <v>0</v>
      </c>
      <c r="K438" s="805"/>
    </row>
    <row r="439" spans="1:13" x14ac:dyDescent="0.25">
      <c r="A439" s="70"/>
      <c r="B439" s="129" t="s">
        <v>95</v>
      </c>
      <c r="C439" s="807">
        <f>SUM(C434:C438)</f>
        <v>3539546088</v>
      </c>
      <c r="D439" s="271">
        <f>SUM(D434:D437)</f>
        <v>99.483236337506327</v>
      </c>
      <c r="E439" s="134"/>
      <c r="F439" s="134"/>
      <c r="G439" s="181">
        <f>SUM(G434:G438)</f>
        <v>1621775288</v>
      </c>
      <c r="H439" s="134"/>
      <c r="I439" s="134"/>
      <c r="J439" s="780"/>
      <c r="K439" s="130"/>
    </row>
    <row r="440" spans="1:13" x14ac:dyDescent="0.25">
      <c r="J440" s="779"/>
    </row>
    <row r="442" spans="1:13" x14ac:dyDescent="0.25">
      <c r="A442" s="50"/>
      <c r="B442" s="5"/>
      <c r="C442" s="50"/>
      <c r="D442" s="29"/>
      <c r="E442" s="30"/>
      <c r="F442" s="31"/>
      <c r="G442" s="36"/>
      <c r="H442" s="32"/>
      <c r="I442" s="31"/>
      <c r="J442" s="36"/>
      <c r="K442" s="37"/>
    </row>
    <row r="443" spans="1:13" x14ac:dyDescent="0.25">
      <c r="A443" s="1"/>
      <c r="B443" s="16" t="s">
        <v>363</v>
      </c>
      <c r="C443" s="61"/>
      <c r="D443" s="1"/>
      <c r="E443" s="1"/>
      <c r="F443" s="1"/>
      <c r="G443" s="1"/>
      <c r="H443" s="1"/>
      <c r="I443" s="18" t="s">
        <v>558</v>
      </c>
      <c r="J443" s="17"/>
      <c r="K443" s="1"/>
    </row>
    <row r="444" spans="1:13" x14ac:dyDescent="0.25">
      <c r="A444" s="1"/>
      <c r="B444" s="19"/>
      <c r="C444" s="62"/>
      <c r="D444" s="1"/>
      <c r="E444" s="1"/>
      <c r="F444" s="1"/>
      <c r="G444" s="1"/>
      <c r="H444" s="1"/>
      <c r="I444" s="63"/>
      <c r="J444" s="16"/>
      <c r="K444" s="1"/>
    </row>
    <row r="445" spans="1:13" x14ac:dyDescent="0.25">
      <c r="A445" s="1"/>
      <c r="B445" s="19"/>
      <c r="C445" s="62"/>
      <c r="D445" s="1"/>
      <c r="E445" s="1"/>
      <c r="F445" s="1"/>
      <c r="G445" s="1"/>
      <c r="H445" s="1"/>
      <c r="I445" s="63"/>
      <c r="J445" s="16"/>
      <c r="K445" s="1"/>
    </row>
    <row r="446" spans="1:13" x14ac:dyDescent="0.25">
      <c r="A446" s="1"/>
      <c r="B446" s="19"/>
      <c r="C446" s="62"/>
      <c r="D446" s="1"/>
      <c r="E446" s="1"/>
      <c r="F446" s="1"/>
      <c r="G446" s="1"/>
      <c r="H446" s="1"/>
      <c r="I446" s="18"/>
      <c r="J446" s="19"/>
      <c r="K446" s="1"/>
    </row>
    <row r="447" spans="1:13" x14ac:dyDescent="0.25">
      <c r="A447" s="1"/>
      <c r="B447" s="75" t="s">
        <v>440</v>
      </c>
      <c r="C447" s="21"/>
      <c r="D447" s="1"/>
      <c r="E447" s="1"/>
      <c r="F447" s="1"/>
      <c r="G447" s="1"/>
      <c r="H447" s="1"/>
      <c r="I447" s="20"/>
      <c r="J447" s="21"/>
      <c r="K447" s="1"/>
    </row>
    <row r="448" spans="1:13" x14ac:dyDescent="0.25">
      <c r="A448" s="1"/>
      <c r="B448" s="739" t="s">
        <v>441</v>
      </c>
      <c r="C448" s="19"/>
      <c r="D448" s="1"/>
      <c r="E448" s="1"/>
      <c r="F448" s="1"/>
      <c r="G448" s="1"/>
      <c r="H448" s="1"/>
      <c r="I448" s="22"/>
      <c r="J448" s="19"/>
      <c r="K448" s="1"/>
    </row>
    <row r="449" spans="1:14" x14ac:dyDescent="0.25">
      <c r="A449" s="5"/>
      <c r="B449" s="5"/>
      <c r="C449" s="65"/>
      <c r="D449" s="66"/>
      <c r="E449" s="30"/>
      <c r="F449" s="31"/>
      <c r="G449" s="36"/>
      <c r="H449" s="30"/>
      <c r="I449" s="31"/>
      <c r="J449" s="33"/>
      <c r="K449" s="29"/>
      <c r="L449" s="9"/>
      <c r="M449" s="9"/>
      <c r="N449" s="9"/>
    </row>
  </sheetData>
  <mergeCells count="149">
    <mergeCell ref="A1:K1"/>
    <mergeCell ref="A2:K2"/>
    <mergeCell ref="A3:K3"/>
    <mergeCell ref="A5:A7"/>
    <mergeCell ref="B5:B7"/>
    <mergeCell ref="C5:C7"/>
    <mergeCell ref="D5:F5"/>
    <mergeCell ref="G5:I5"/>
    <mergeCell ref="J5:J6"/>
    <mergeCell ref="A96:C96"/>
    <mergeCell ref="A98:K98"/>
    <mergeCell ref="A99:K99"/>
    <mergeCell ref="A100:K100"/>
    <mergeCell ref="A101:A103"/>
    <mergeCell ref="B101:B103"/>
    <mergeCell ref="C101:C103"/>
    <mergeCell ref="D101:F101"/>
    <mergeCell ref="G101:I101"/>
    <mergeCell ref="J101:J102"/>
    <mergeCell ref="K132:K134"/>
    <mergeCell ref="A150:B150"/>
    <mergeCell ref="A153:A155"/>
    <mergeCell ref="B153:B155"/>
    <mergeCell ref="C153:C155"/>
    <mergeCell ref="D153:F153"/>
    <mergeCell ref="G153:I153"/>
    <mergeCell ref="J153:J154"/>
    <mergeCell ref="A129:C129"/>
    <mergeCell ref="A132:A134"/>
    <mergeCell ref="B132:B134"/>
    <mergeCell ref="D132:F132"/>
    <mergeCell ref="G132:I132"/>
    <mergeCell ref="J132:J133"/>
    <mergeCell ref="A175:A177"/>
    <mergeCell ref="B175:B177"/>
    <mergeCell ref="C175:C177"/>
    <mergeCell ref="D175:F175"/>
    <mergeCell ref="G175:I175"/>
    <mergeCell ref="J175:J176"/>
    <mergeCell ref="A163:A165"/>
    <mergeCell ref="B163:B165"/>
    <mergeCell ref="C163:C165"/>
    <mergeCell ref="D163:F163"/>
    <mergeCell ref="G163:I163"/>
    <mergeCell ref="J163:J164"/>
    <mergeCell ref="A209:A211"/>
    <mergeCell ref="B209:B211"/>
    <mergeCell ref="C209:C211"/>
    <mergeCell ref="D209:F209"/>
    <mergeCell ref="G209:I209"/>
    <mergeCell ref="J209:J210"/>
    <mergeCell ref="A199:A201"/>
    <mergeCell ref="B199:B201"/>
    <mergeCell ref="C199:C201"/>
    <mergeCell ref="D199:F199"/>
    <mergeCell ref="G199:I199"/>
    <mergeCell ref="J199:J200"/>
    <mergeCell ref="J242:J243"/>
    <mergeCell ref="A251:A253"/>
    <mergeCell ref="B251:B253"/>
    <mergeCell ref="C251:C253"/>
    <mergeCell ref="D251:F251"/>
    <mergeCell ref="G251:I251"/>
    <mergeCell ref="J251:J252"/>
    <mergeCell ref="A222:A224"/>
    <mergeCell ref="B222:B224"/>
    <mergeCell ref="D222:F222"/>
    <mergeCell ref="G222:I222"/>
    <mergeCell ref="J222:J223"/>
    <mergeCell ref="A242:A244"/>
    <mergeCell ref="B242:B244"/>
    <mergeCell ref="C242:C244"/>
    <mergeCell ref="D242:F242"/>
    <mergeCell ref="G242:I242"/>
    <mergeCell ref="A295:A297"/>
    <mergeCell ref="B295:B297"/>
    <mergeCell ref="C295:C297"/>
    <mergeCell ref="D295:F295"/>
    <mergeCell ref="G295:I295"/>
    <mergeCell ref="J295:J296"/>
    <mergeCell ref="K265:K267"/>
    <mergeCell ref="A286:A288"/>
    <mergeCell ref="B286:B288"/>
    <mergeCell ref="C286:C288"/>
    <mergeCell ref="D286:F286"/>
    <mergeCell ref="G286:I286"/>
    <mergeCell ref="J286:J287"/>
    <mergeCell ref="A265:A267"/>
    <mergeCell ref="B265:B267"/>
    <mergeCell ref="C265:C267"/>
    <mergeCell ref="D265:F265"/>
    <mergeCell ref="G265:I265"/>
    <mergeCell ref="J265:J266"/>
    <mergeCell ref="A342:A344"/>
    <mergeCell ref="B342:B344"/>
    <mergeCell ref="C342:C344"/>
    <mergeCell ref="D342:F342"/>
    <mergeCell ref="G342:I342"/>
    <mergeCell ref="J342:J343"/>
    <mergeCell ref="K307:K309"/>
    <mergeCell ref="A333:A335"/>
    <mergeCell ref="B333:B335"/>
    <mergeCell ref="C333:C335"/>
    <mergeCell ref="D333:F333"/>
    <mergeCell ref="G333:I333"/>
    <mergeCell ref="J333:J334"/>
    <mergeCell ref="A307:A309"/>
    <mergeCell ref="B307:B309"/>
    <mergeCell ref="C307:C309"/>
    <mergeCell ref="D307:F307"/>
    <mergeCell ref="G307:I307"/>
    <mergeCell ref="J307:J308"/>
    <mergeCell ref="A379:A381"/>
    <mergeCell ref="B379:B381"/>
    <mergeCell ref="C379:C381"/>
    <mergeCell ref="D379:F379"/>
    <mergeCell ref="G379:I379"/>
    <mergeCell ref="J379:J380"/>
    <mergeCell ref="A355:A357"/>
    <mergeCell ref="B355:B357"/>
    <mergeCell ref="D355:F355"/>
    <mergeCell ref="G355:I355"/>
    <mergeCell ref="J355:J356"/>
    <mergeCell ref="A376:B376"/>
    <mergeCell ref="A400:A402"/>
    <mergeCell ref="B400:B402"/>
    <mergeCell ref="C400:C402"/>
    <mergeCell ref="D400:F400"/>
    <mergeCell ref="G400:I400"/>
    <mergeCell ref="J400:J401"/>
    <mergeCell ref="A388:A390"/>
    <mergeCell ref="B388:B390"/>
    <mergeCell ref="C388:C390"/>
    <mergeCell ref="D388:F388"/>
    <mergeCell ref="G388:I388"/>
    <mergeCell ref="J388:J389"/>
    <mergeCell ref="J420:J421"/>
    <mergeCell ref="A429:A431"/>
    <mergeCell ref="B429:B431"/>
    <mergeCell ref="C429:C431"/>
    <mergeCell ref="D429:F429"/>
    <mergeCell ref="G429:I429"/>
    <mergeCell ref="J429:J430"/>
    <mergeCell ref="A417:B417"/>
    <mergeCell ref="A420:A422"/>
    <mergeCell ref="B420:B422"/>
    <mergeCell ref="C420:C422"/>
    <mergeCell ref="D420:F420"/>
    <mergeCell ref="G420:I4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2021</vt:lpstr>
      <vt:lpstr>KOMULATIF 2022</vt:lpstr>
      <vt:lpstr>JANUARI 2023</vt:lpstr>
      <vt:lpstr>FEBRUARI 2023</vt:lpstr>
      <vt:lpstr>MARET 2023</vt:lpstr>
      <vt:lpstr>APRIL 2023</vt:lpstr>
      <vt:lpstr>MEI 2023</vt:lpstr>
      <vt:lpstr>JUNI 2023</vt:lpstr>
      <vt:lpstr>JULI 2023</vt:lpstr>
      <vt:lpstr>AGUSTUS</vt:lpstr>
      <vt:lpstr>SEPTEMBER</vt:lpstr>
      <vt:lpstr>OKTOBER</vt:lpstr>
      <vt:lpstr>OKTOBER PERUBAHAN</vt:lpstr>
      <vt:lpstr>NOVEMBER</vt:lpstr>
      <vt:lpstr>DESEMBER</vt:lpstr>
      <vt:lpstr>'FEBRUARI 2023'!Print_Area</vt:lpstr>
      <vt:lpstr>'JANUARI 2023'!Print_Area</vt:lpstr>
      <vt:lpstr>'MARET 2023'!Print_Area</vt:lpstr>
      <vt:lpstr>'APRIL 2023'!Print_Titles</vt:lpstr>
      <vt:lpstr>'FEBRUARI 2023'!Print_Titles</vt:lpstr>
      <vt:lpstr>'JANUARI 2023'!Print_Titles</vt:lpstr>
      <vt:lpstr>'MARET 2023'!Print_Titles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2023-05-30T04:21:25Z</cp:lastPrinted>
  <dcterms:created xsi:type="dcterms:W3CDTF">2022-01-21T00:09:38Z</dcterms:created>
  <dcterms:modified xsi:type="dcterms:W3CDTF">2023-12-28T14:30:45Z</dcterms:modified>
</cp:coreProperties>
</file>