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autoCompressPictures="0"/>
  <bookViews>
    <workbookView xWindow="-105" yWindow="-105" windowWidth="19425" windowHeight="10425" tabRatio="867" activeTab="9"/>
  </bookViews>
  <sheets>
    <sheet name="10 Program Unggulan" sheetId="158" r:id="rId1"/>
    <sheet name="APRIL" sheetId="160" r:id="rId2"/>
    <sheet name="MEI" sheetId="161" r:id="rId3"/>
    <sheet name="JUNI" sheetId="162" r:id="rId4"/>
    <sheet name="JULI" sheetId="163" r:id="rId5"/>
    <sheet name="AGUSTUS" sheetId="164" r:id="rId6"/>
    <sheet name="SEPTEMBER" sheetId="165" r:id="rId7"/>
    <sheet name="OKTOBER PERUBAHAN" sheetId="166" r:id="rId8"/>
    <sheet name="NOVEMBER" sheetId="167" r:id="rId9"/>
    <sheet name="DESEMBER" sheetId="168" r:id="rId10"/>
  </sheets>
  <externalReferences>
    <externalReference r:id="rId11"/>
    <externalReference r:id="rId12"/>
    <externalReference r:id="rId13"/>
  </externalReferences>
  <definedNames>
    <definedName name="B_A_P_P_E_D_A">[1]BAPPEDA!$J$5</definedName>
    <definedName name="B_A_W_A_S_D_A">[1]BAWASDA!$J$5</definedName>
    <definedName name="BAGIAN_PEMBERDAYAAN_MASYARAKAT_DESA">[1]PMD!$J$5</definedName>
    <definedName name="Bidang">[2]Sheet3!$G$4:$G$9</definedName>
    <definedName name="DAK_Jenis">[2]Sheet3!$C$4:$C$6</definedName>
    <definedName name="DINAS_KEHUTANAN_PERKEBUNAN">[1]EKBANG!$J$4</definedName>
    <definedName name="DINAS_PENDAPATAN_DAERAH">[1]PMD!$J$5</definedName>
    <definedName name="DINAS_PERINDAGKOP_NAKERTRANS">[1]KESBANG!$J$5</definedName>
    <definedName name="DINAS_PERTAMBANGAN_DAN_LINGKUNGAN_HIDUP">[1]CAPIL!$J$5</definedName>
    <definedName name="DINAS_PU_DAN_PERHUBUNGAN">[1]TAPEM!$J$5</definedName>
    <definedName name="_xlnm.Print_Area" localSheetId="0">'10 Program Unggulan'!$A$1:$J$632</definedName>
    <definedName name="_xlnm.Print_Area" localSheetId="3">JUNI!$A$94:$J$134</definedName>
    <definedName name="_xlnm.Print_Area" localSheetId="7">'OKTOBER PERUBAHAN'!$A$51:$J$93</definedName>
    <definedName name="_xlnm.Print_Area" localSheetId="6">SEPTEMBER!$A$95:$J$134</definedName>
    <definedName name="_xlnm.Print_Titles" localSheetId="0">'10 Program Unggulan'!$6:$9</definedName>
    <definedName name="_xlnm.Print_Titles" localSheetId="3">JUNI!$98:$100</definedName>
    <definedName name="_xlnm.Print_Titles" localSheetId="7">'OKTOBER PERUBAHAN'!$57:$59</definedName>
    <definedName name="_xlnm.Print_Titles" localSheetId="6">SEPTEMBER!$99:$101</definedName>
    <definedName name="sssss">[3]DIKBUDPAR!$J$5</definedName>
    <definedName name="subbid">[2]Sheet3!$G$11:$G$16</definedName>
  </definedNames>
  <calcPr calcId="144525" calcMode="manual"/>
</workbook>
</file>

<file path=xl/calcChain.xml><?xml version="1.0" encoding="utf-8"?>
<calcChain xmlns="http://schemas.openxmlformats.org/spreadsheetml/2006/main">
  <c r="G129" i="168" l="1"/>
  <c r="G87" i="168"/>
  <c r="G41" i="168"/>
  <c r="G40" i="168"/>
  <c r="G133" i="168" l="1"/>
  <c r="G125" i="168"/>
  <c r="G121" i="168"/>
  <c r="G117" i="168"/>
  <c r="G113" i="168"/>
  <c r="G109" i="168"/>
  <c r="G83" i="168"/>
  <c r="G75" i="168"/>
  <c r="G46" i="168"/>
  <c r="G36" i="168"/>
  <c r="G35" i="168"/>
  <c r="G31" i="168"/>
  <c r="G26" i="168"/>
  <c r="G25" i="168"/>
  <c r="G21" i="168"/>
  <c r="G16" i="168"/>
  <c r="G91" i="168" l="1"/>
  <c r="G45" i="168"/>
  <c r="G79" i="168" l="1"/>
  <c r="G67" i="168"/>
  <c r="G30" i="168"/>
  <c r="H30" i="168" l="1"/>
  <c r="H16" i="168"/>
  <c r="G15" i="168"/>
  <c r="H133" i="168"/>
  <c r="F133" i="168"/>
  <c r="H129" i="168"/>
  <c r="H125" i="168"/>
  <c r="F125" i="168"/>
  <c r="H121" i="168"/>
  <c r="F121" i="168"/>
  <c r="H117" i="168"/>
  <c r="H113" i="168"/>
  <c r="F113" i="168"/>
  <c r="H109" i="168"/>
  <c r="E104" i="168"/>
  <c r="F103" i="168"/>
  <c r="E103" i="168"/>
  <c r="H91" i="168"/>
  <c r="F91" i="168"/>
  <c r="H87" i="168"/>
  <c r="H83" i="168"/>
  <c r="F83" i="168"/>
  <c r="H79" i="168"/>
  <c r="H75" i="168"/>
  <c r="F75" i="168"/>
  <c r="G71" i="168"/>
  <c r="H71" i="168" s="1"/>
  <c r="H67" i="168"/>
  <c r="F67" i="168"/>
  <c r="G62" i="168"/>
  <c r="H62" i="168" s="1"/>
  <c r="E62" i="168"/>
  <c r="E61" i="168"/>
  <c r="F61" i="168" s="1"/>
  <c r="H46" i="168"/>
  <c r="H45" i="168"/>
  <c r="F45" i="168"/>
  <c r="H41" i="168"/>
  <c r="H40" i="168"/>
  <c r="F40" i="168"/>
  <c r="H36" i="168"/>
  <c r="H35" i="168"/>
  <c r="F35" i="168"/>
  <c r="H31" i="168"/>
  <c r="F30" i="168"/>
  <c r="H26" i="168"/>
  <c r="H25" i="168"/>
  <c r="F25" i="168"/>
  <c r="H21" i="168"/>
  <c r="H20" i="168"/>
  <c r="G20" i="168"/>
  <c r="F20" i="168"/>
  <c r="H15" i="168"/>
  <c r="F15" i="168"/>
  <c r="K10" i="168"/>
  <c r="K9" i="168" s="1"/>
  <c r="E10" i="168"/>
  <c r="E9" i="168" s="1"/>
  <c r="Q10" i="168" s="1"/>
  <c r="G113" i="167"/>
  <c r="G21" i="167"/>
  <c r="G61" i="168" l="1"/>
  <c r="H61" i="168" s="1"/>
  <c r="G10" i="168"/>
  <c r="H10" i="168" s="1"/>
  <c r="F9" i="168"/>
  <c r="G9" i="168"/>
  <c r="H9" i="168" s="1"/>
  <c r="F16" i="168"/>
  <c r="F21" i="168"/>
  <c r="F26" i="168"/>
  <c r="F31" i="168"/>
  <c r="F36" i="168"/>
  <c r="F41" i="168"/>
  <c r="F46" i="168"/>
  <c r="F62" i="168"/>
  <c r="F71" i="168"/>
  <c r="F79" i="168"/>
  <c r="F87" i="168"/>
  <c r="G104" i="168"/>
  <c r="F109" i="168"/>
  <c r="F117" i="168"/>
  <c r="F129" i="168"/>
  <c r="G133" i="167"/>
  <c r="G129" i="167"/>
  <c r="G125" i="167"/>
  <c r="G79" i="167"/>
  <c r="G46" i="167"/>
  <c r="G41" i="167"/>
  <c r="G36" i="167"/>
  <c r="G30" i="167"/>
  <c r="F10" i="168" l="1"/>
  <c r="G103" i="168"/>
  <c r="H103" i="168" s="1"/>
  <c r="H104" i="168"/>
  <c r="F104" i="168"/>
  <c r="F125" i="167"/>
  <c r="G117" i="167"/>
  <c r="H113" i="167"/>
  <c r="G91" i="167"/>
  <c r="G83" i="167"/>
  <c r="H83" i="167" s="1"/>
  <c r="G75" i="167"/>
  <c r="G71" i="167"/>
  <c r="G45" i="167"/>
  <c r="F41" i="167"/>
  <c r="G35" i="167"/>
  <c r="H35" i="167" s="1"/>
  <c r="G31" i="167"/>
  <c r="G26" i="167"/>
  <c r="G25" i="167"/>
  <c r="H25" i="167" s="1"/>
  <c r="G20" i="167"/>
  <c r="H133" i="167"/>
  <c r="F133" i="167"/>
  <c r="H129" i="167"/>
  <c r="H125" i="167"/>
  <c r="H121" i="167"/>
  <c r="H117" i="167"/>
  <c r="F117" i="167"/>
  <c r="H109" i="167"/>
  <c r="G109" i="167"/>
  <c r="F109" i="167"/>
  <c r="E104" i="167"/>
  <c r="E103" i="167"/>
  <c r="F103" i="167" s="1"/>
  <c r="H91" i="167"/>
  <c r="H87" i="167"/>
  <c r="G87" i="167"/>
  <c r="F87" i="167"/>
  <c r="H79" i="167"/>
  <c r="F79" i="167"/>
  <c r="H75" i="167"/>
  <c r="H71" i="167"/>
  <c r="F71" i="167"/>
  <c r="G67" i="167"/>
  <c r="H67" i="167" s="1"/>
  <c r="E62" i="167"/>
  <c r="F61" i="167"/>
  <c r="E61" i="167"/>
  <c r="H46" i="167"/>
  <c r="F46" i="167"/>
  <c r="H45" i="167"/>
  <c r="H41" i="167"/>
  <c r="G40" i="167"/>
  <c r="H40" i="167" s="1"/>
  <c r="H36" i="167"/>
  <c r="F36" i="167"/>
  <c r="H31" i="167"/>
  <c r="F31" i="167"/>
  <c r="H30" i="167"/>
  <c r="H26" i="167"/>
  <c r="F26" i="167"/>
  <c r="H21" i="167"/>
  <c r="F21" i="167"/>
  <c r="H20" i="167"/>
  <c r="H16" i="167"/>
  <c r="G16" i="167"/>
  <c r="F16" i="167"/>
  <c r="G15" i="167"/>
  <c r="H15" i="167" s="1"/>
  <c r="K10" i="167"/>
  <c r="E10" i="167"/>
  <c r="K9" i="167"/>
  <c r="F9" i="167" s="1"/>
  <c r="E9" i="167"/>
  <c r="Q10" i="167" s="1"/>
  <c r="G104" i="167" l="1"/>
  <c r="G10" i="167"/>
  <c r="F15" i="167"/>
  <c r="F20" i="167"/>
  <c r="F25" i="167"/>
  <c r="F30" i="167"/>
  <c r="F35" i="167"/>
  <c r="F40" i="167"/>
  <c r="F45" i="167"/>
  <c r="G62" i="167"/>
  <c r="F67" i="167"/>
  <c r="F75" i="167"/>
  <c r="F83" i="167"/>
  <c r="F91" i="167"/>
  <c r="F104" i="167"/>
  <c r="F113" i="167"/>
  <c r="F121" i="167"/>
  <c r="F129" i="167"/>
  <c r="G133" i="166"/>
  <c r="G129" i="166"/>
  <c r="G125" i="166"/>
  <c r="G121" i="166"/>
  <c r="G117" i="166"/>
  <c r="G91" i="166"/>
  <c r="G79" i="166"/>
  <c r="G75" i="166"/>
  <c r="G71" i="166"/>
  <c r="G46" i="166"/>
  <c r="G45" i="166"/>
  <c r="G41" i="166"/>
  <c r="G40" i="166"/>
  <c r="G36" i="166"/>
  <c r="G35" i="166"/>
  <c r="G31" i="166"/>
  <c r="G30" i="166"/>
  <c r="G26" i="166"/>
  <c r="G25" i="166"/>
  <c r="G21" i="166"/>
  <c r="G20" i="166"/>
  <c r="G16" i="166"/>
  <c r="H104" i="167" l="1"/>
  <c r="G103" i="167"/>
  <c r="H103" i="167" s="1"/>
  <c r="G61" i="167"/>
  <c r="H61" i="167" s="1"/>
  <c r="H62" i="167"/>
  <c r="F62" i="167"/>
  <c r="H10" i="167"/>
  <c r="G9" i="167"/>
  <c r="H9" i="167" s="1"/>
  <c r="F10" i="167"/>
  <c r="G109" i="166"/>
  <c r="G87" i="166"/>
  <c r="G113" i="166" l="1"/>
  <c r="H133" i="166" l="1"/>
  <c r="F133" i="166"/>
  <c r="F129" i="166"/>
  <c r="H125" i="166"/>
  <c r="F125" i="166"/>
  <c r="H121" i="166"/>
  <c r="H117" i="166"/>
  <c r="F117" i="166"/>
  <c r="F113" i="166"/>
  <c r="H109" i="166"/>
  <c r="F109" i="166"/>
  <c r="G104" i="166"/>
  <c r="E104" i="166"/>
  <c r="E103" i="166" s="1"/>
  <c r="F103" i="166" s="1"/>
  <c r="H91" i="166"/>
  <c r="H87" i="166"/>
  <c r="F87" i="166"/>
  <c r="G83" i="166"/>
  <c r="F83" i="166" s="1"/>
  <c r="H79" i="166"/>
  <c r="F79" i="166"/>
  <c r="H75" i="166"/>
  <c r="H71" i="166"/>
  <c r="F71" i="166"/>
  <c r="G67" i="166"/>
  <c r="F67" i="166" s="1"/>
  <c r="E62" i="166"/>
  <c r="E61" i="166" s="1"/>
  <c r="F61" i="166" s="1"/>
  <c r="H46" i="166"/>
  <c r="F46" i="166"/>
  <c r="H45" i="166"/>
  <c r="H41" i="166"/>
  <c r="F41" i="166"/>
  <c r="F40" i="166"/>
  <c r="H36" i="166"/>
  <c r="F36" i="166"/>
  <c r="H35" i="166"/>
  <c r="H31" i="166"/>
  <c r="F31" i="166"/>
  <c r="F30" i="166"/>
  <c r="H26" i="166"/>
  <c r="F26" i="166"/>
  <c r="H25" i="166"/>
  <c r="H21" i="166"/>
  <c r="F21" i="166"/>
  <c r="F20" i="166"/>
  <c r="H16" i="166"/>
  <c r="F16" i="166"/>
  <c r="G15" i="166"/>
  <c r="H15" i="166" s="1"/>
  <c r="K10" i="166"/>
  <c r="E10" i="166"/>
  <c r="E9" i="166" s="1"/>
  <c r="Q10" i="166" s="1"/>
  <c r="K9" i="166"/>
  <c r="H104" i="166" l="1"/>
  <c r="F9" i="166"/>
  <c r="G103" i="166"/>
  <c r="H103" i="166" s="1"/>
  <c r="G10" i="166"/>
  <c r="F15" i="166"/>
  <c r="H20" i="166"/>
  <c r="F25" i="166"/>
  <c r="H30" i="166"/>
  <c r="F35" i="166"/>
  <c r="H40" i="166"/>
  <c r="F45" i="166"/>
  <c r="G62" i="166"/>
  <c r="H67" i="166"/>
  <c r="F75" i="166"/>
  <c r="H83" i="166"/>
  <c r="F91" i="166"/>
  <c r="F104" i="166"/>
  <c r="H113" i="166"/>
  <c r="F121" i="166"/>
  <c r="H129" i="166"/>
  <c r="G129" i="165"/>
  <c r="G125" i="165"/>
  <c r="G121" i="165"/>
  <c r="G117" i="165"/>
  <c r="G87" i="165"/>
  <c r="G83" i="165"/>
  <c r="G79" i="165"/>
  <c r="G41" i="165"/>
  <c r="G40" i="165"/>
  <c r="G36" i="165"/>
  <c r="G35" i="165"/>
  <c r="G31" i="165"/>
  <c r="G30" i="165"/>
  <c r="G26" i="165"/>
  <c r="G61" i="166" l="1"/>
  <c r="H61" i="166" s="1"/>
  <c r="F62" i="166"/>
  <c r="H62" i="166"/>
  <c r="H10" i="166"/>
  <c r="F10" i="166"/>
  <c r="G9" i="166"/>
  <c r="H9" i="166" s="1"/>
  <c r="G133" i="165"/>
  <c r="H129" i="165"/>
  <c r="H125" i="165"/>
  <c r="H117" i="165"/>
  <c r="G113" i="165"/>
  <c r="H113" i="165" s="1"/>
  <c r="G109" i="165"/>
  <c r="F109" i="165" s="1"/>
  <c r="G91" i="165"/>
  <c r="H87" i="165"/>
  <c r="F79" i="165"/>
  <c r="G75" i="165"/>
  <c r="G71" i="165"/>
  <c r="H71" i="165" s="1"/>
  <c r="G67" i="165"/>
  <c r="K10" i="165"/>
  <c r="K9" i="165" s="1"/>
  <c r="G46" i="165"/>
  <c r="G45" i="165"/>
  <c r="H45" i="165" s="1"/>
  <c r="H40" i="165"/>
  <c r="H36" i="165"/>
  <c r="H31" i="165"/>
  <c r="H30" i="165"/>
  <c r="G25" i="165"/>
  <c r="H25" i="165" s="1"/>
  <c r="G21" i="165"/>
  <c r="H21" i="165" s="1"/>
  <c r="G20" i="165"/>
  <c r="F20" i="165" s="1"/>
  <c r="G16" i="165"/>
  <c r="H16" i="165" s="1"/>
  <c r="G15" i="165"/>
  <c r="H133" i="165"/>
  <c r="F133" i="165"/>
  <c r="H121" i="165"/>
  <c r="F117" i="165"/>
  <c r="E104" i="165"/>
  <c r="E103" i="165"/>
  <c r="F103" i="165" s="1"/>
  <c r="H91" i="165"/>
  <c r="F87" i="165"/>
  <c r="H83" i="165"/>
  <c r="H79" i="165"/>
  <c r="H75" i="165"/>
  <c r="F71" i="165"/>
  <c r="H67" i="165"/>
  <c r="E62" i="165"/>
  <c r="E61" i="165" s="1"/>
  <c r="F61" i="165" s="1"/>
  <c r="H46" i="165"/>
  <c r="H41" i="165"/>
  <c r="F36" i="165"/>
  <c r="H35" i="165"/>
  <c r="F35" i="165"/>
  <c r="F31" i="165"/>
  <c r="H26" i="165"/>
  <c r="F26" i="165"/>
  <c r="F21" i="165"/>
  <c r="H20" i="165"/>
  <c r="F16" i="165"/>
  <c r="H15" i="165"/>
  <c r="F15" i="165"/>
  <c r="E10" i="165"/>
  <c r="E9" i="165" s="1"/>
  <c r="Q10" i="165" s="1"/>
  <c r="F30" i="165" l="1"/>
  <c r="H109" i="165"/>
  <c r="F125" i="165"/>
  <c r="F25" i="165"/>
  <c r="G104" i="165"/>
  <c r="F104" i="165" s="1"/>
  <c r="G10" i="165"/>
  <c r="H10" i="165" s="1"/>
  <c r="F9" i="165"/>
  <c r="F40" i="165"/>
  <c r="F41" i="165"/>
  <c r="F45" i="165"/>
  <c r="F46" i="165"/>
  <c r="G62" i="165"/>
  <c r="F67" i="165"/>
  <c r="F75" i="165"/>
  <c r="F83" i="165"/>
  <c r="F91" i="165"/>
  <c r="F113" i="165"/>
  <c r="F121" i="165"/>
  <c r="F129" i="165"/>
  <c r="G132" i="164"/>
  <c r="G82" i="164"/>
  <c r="G78" i="164"/>
  <c r="G70" i="164"/>
  <c r="K47" i="164"/>
  <c r="K36" i="164"/>
  <c r="K31" i="164"/>
  <c r="K21" i="164"/>
  <c r="G47" i="164"/>
  <c r="G36" i="164"/>
  <c r="G31" i="164"/>
  <c r="G21" i="164"/>
  <c r="G9" i="165" l="1"/>
  <c r="H9" i="165" s="1"/>
  <c r="H104" i="165"/>
  <c r="G103" i="165"/>
  <c r="H103" i="165" s="1"/>
  <c r="F10" i="165"/>
  <c r="H62" i="165"/>
  <c r="G61" i="165"/>
  <c r="H61" i="165" s="1"/>
  <c r="F62" i="165"/>
  <c r="G128" i="164"/>
  <c r="G124" i="164"/>
  <c r="G120" i="164"/>
  <c r="H120" i="164" s="1"/>
  <c r="G116" i="164"/>
  <c r="G112" i="164"/>
  <c r="G108" i="164"/>
  <c r="G90" i="164"/>
  <c r="H90" i="164" s="1"/>
  <c r="G86" i="164"/>
  <c r="H78" i="164"/>
  <c r="G74" i="164"/>
  <c r="G26" i="164"/>
  <c r="G66" i="164"/>
  <c r="K46" i="164"/>
  <c r="K42" i="164"/>
  <c r="K41" i="164"/>
  <c r="K32" i="164"/>
  <c r="K27" i="164"/>
  <c r="K26" i="164"/>
  <c r="K22" i="164"/>
  <c r="K17" i="164"/>
  <c r="K16" i="164"/>
  <c r="K11" i="164" s="1"/>
  <c r="K10" i="164" s="1"/>
  <c r="G46" i="164"/>
  <c r="G42" i="164"/>
  <c r="H42" i="164" s="1"/>
  <c r="G41" i="164"/>
  <c r="G32" i="164"/>
  <c r="F32" i="164" s="1"/>
  <c r="G27" i="164"/>
  <c r="F27" i="164" s="1"/>
  <c r="G22" i="164"/>
  <c r="G16" i="164"/>
  <c r="H16" i="164" s="1"/>
  <c r="H132" i="164"/>
  <c r="F132" i="164"/>
  <c r="H128" i="164"/>
  <c r="H124" i="164"/>
  <c r="F124" i="164"/>
  <c r="H116" i="164"/>
  <c r="F116" i="164"/>
  <c r="H112" i="164"/>
  <c r="H108" i="164"/>
  <c r="E103" i="164"/>
  <c r="E102" i="164"/>
  <c r="F102" i="164" s="1"/>
  <c r="H86" i="164"/>
  <c r="F86" i="164"/>
  <c r="H82" i="164"/>
  <c r="F78" i="164"/>
  <c r="H74" i="164"/>
  <c r="H70" i="164"/>
  <c r="F70" i="164"/>
  <c r="H66" i="164"/>
  <c r="E61" i="164"/>
  <c r="F60" i="164"/>
  <c r="E60" i="164"/>
  <c r="H47" i="164"/>
  <c r="F47" i="164"/>
  <c r="H46" i="164"/>
  <c r="F42" i="164"/>
  <c r="H41" i="164"/>
  <c r="H37" i="164"/>
  <c r="G37" i="164"/>
  <c r="F37" i="164"/>
  <c r="H36" i="164"/>
  <c r="H32" i="164"/>
  <c r="H31" i="164"/>
  <c r="H27" i="164"/>
  <c r="H26" i="164"/>
  <c r="H22" i="164"/>
  <c r="F22" i="164"/>
  <c r="H21" i="164"/>
  <c r="H17" i="164"/>
  <c r="G17" i="164"/>
  <c r="F17" i="164"/>
  <c r="E11" i="164"/>
  <c r="E10" i="164" s="1"/>
  <c r="G11" i="164" l="1"/>
  <c r="H11" i="164" s="1"/>
  <c r="Q11" i="164"/>
  <c r="F10" i="164"/>
  <c r="F16" i="164"/>
  <c r="F21" i="164"/>
  <c r="F26" i="164"/>
  <c r="F31" i="164"/>
  <c r="F36" i="164"/>
  <c r="F41" i="164"/>
  <c r="F46" i="164"/>
  <c r="G61" i="164"/>
  <c r="F66" i="164"/>
  <c r="F74" i="164"/>
  <c r="F82" i="164"/>
  <c r="F90" i="164"/>
  <c r="F112" i="164"/>
  <c r="F120" i="164"/>
  <c r="F128" i="164"/>
  <c r="G103" i="164"/>
  <c r="F108" i="164"/>
  <c r="G132" i="163"/>
  <c r="G120" i="163"/>
  <c r="G108" i="163"/>
  <c r="G78" i="163"/>
  <c r="G47" i="163"/>
  <c r="G32" i="163"/>
  <c r="G31" i="163"/>
  <c r="G17" i="163"/>
  <c r="F11" i="164" l="1"/>
  <c r="G10" i="164"/>
  <c r="H10" i="164" s="1"/>
  <c r="G102" i="164"/>
  <c r="H102" i="164" s="1"/>
  <c r="H103" i="164"/>
  <c r="F103" i="164"/>
  <c r="G60" i="164"/>
  <c r="H60" i="164" s="1"/>
  <c r="H61" i="164"/>
  <c r="F61" i="164"/>
  <c r="G124" i="163"/>
  <c r="G116" i="163"/>
  <c r="G112" i="163"/>
  <c r="G90" i="163"/>
  <c r="G82" i="163"/>
  <c r="G46" i="163"/>
  <c r="G37" i="163"/>
  <c r="G36" i="163"/>
  <c r="G27" i="163"/>
  <c r="G22" i="163"/>
  <c r="H132" i="163" l="1"/>
  <c r="F132" i="163"/>
  <c r="G128" i="163"/>
  <c r="H128" i="163" s="1"/>
  <c r="F128" i="163"/>
  <c r="H124" i="163"/>
  <c r="F124" i="163"/>
  <c r="H120" i="163"/>
  <c r="F120" i="163"/>
  <c r="F116" i="163"/>
  <c r="H112" i="163"/>
  <c r="F112" i="163"/>
  <c r="H108" i="163"/>
  <c r="F108" i="163"/>
  <c r="E103" i="163"/>
  <c r="E102" i="163"/>
  <c r="F102" i="163" s="1"/>
  <c r="H90" i="163"/>
  <c r="F90" i="163"/>
  <c r="G86" i="163"/>
  <c r="H86" i="163" s="1"/>
  <c r="F86" i="163"/>
  <c r="H82" i="163"/>
  <c r="F82" i="163"/>
  <c r="F78" i="163"/>
  <c r="G74" i="163"/>
  <c r="H74" i="163" s="1"/>
  <c r="F74" i="163"/>
  <c r="G70" i="163"/>
  <c r="H70" i="163" s="1"/>
  <c r="F70" i="163"/>
  <c r="H66" i="163"/>
  <c r="G66" i="163"/>
  <c r="F66" i="163"/>
  <c r="G61" i="163"/>
  <c r="F61" i="163" s="1"/>
  <c r="E61" i="163"/>
  <c r="E60" i="163"/>
  <c r="F60" i="163" s="1"/>
  <c r="H47" i="163"/>
  <c r="F47" i="163"/>
  <c r="H46" i="163"/>
  <c r="F46" i="163"/>
  <c r="G42" i="163"/>
  <c r="H42" i="163" s="1"/>
  <c r="F42" i="163"/>
  <c r="G41" i="163"/>
  <c r="H41" i="163" s="1"/>
  <c r="F41" i="163"/>
  <c r="H37" i="163"/>
  <c r="F37" i="163"/>
  <c r="H36" i="163"/>
  <c r="F36" i="163"/>
  <c r="H32" i="163"/>
  <c r="F32" i="163"/>
  <c r="H31" i="163"/>
  <c r="F31" i="163"/>
  <c r="H27" i="163"/>
  <c r="F27" i="163"/>
  <c r="G26" i="163"/>
  <c r="F26" i="163" s="1"/>
  <c r="H22" i="163"/>
  <c r="F22" i="163"/>
  <c r="G21" i="163"/>
  <c r="H21" i="163" s="1"/>
  <c r="F21" i="163"/>
  <c r="H17" i="163"/>
  <c r="F17" i="163"/>
  <c r="G16" i="163"/>
  <c r="F16" i="163" s="1"/>
  <c r="G11" i="163"/>
  <c r="F11" i="163" s="1"/>
  <c r="E11" i="163"/>
  <c r="K10" i="163"/>
  <c r="F10" i="163" s="1"/>
  <c r="E10" i="163"/>
  <c r="Q11" i="163" s="1"/>
  <c r="H26" i="163" l="1"/>
  <c r="H78" i="163"/>
  <c r="H116" i="163"/>
  <c r="H16" i="163"/>
  <c r="G60" i="163"/>
  <c r="H60" i="163" s="1"/>
  <c r="H11" i="163"/>
  <c r="H61" i="163"/>
  <c r="G10" i="163"/>
  <c r="H10" i="163" s="1"/>
  <c r="G103" i="163"/>
  <c r="G120" i="162"/>
  <c r="G32" i="162"/>
  <c r="G102" i="163" l="1"/>
  <c r="H102" i="163" s="1"/>
  <c r="F103" i="163"/>
  <c r="H103" i="163"/>
  <c r="G128" i="162"/>
  <c r="G116" i="162"/>
  <c r="G112" i="162"/>
  <c r="G86" i="162"/>
  <c r="G74" i="162"/>
  <c r="G42" i="162"/>
  <c r="G41" i="162"/>
  <c r="G27" i="162"/>
  <c r="G26" i="162"/>
  <c r="G22" i="162"/>
  <c r="G108" i="162" l="1"/>
  <c r="G70" i="162"/>
  <c r="G47" i="162"/>
  <c r="G21" i="162"/>
  <c r="G17" i="162"/>
  <c r="G66" i="162" l="1"/>
  <c r="G16" i="162"/>
  <c r="G124" i="162" l="1"/>
  <c r="G78" i="162"/>
  <c r="G31" i="162"/>
  <c r="F108" i="162" l="1"/>
  <c r="H108" i="162" l="1"/>
  <c r="G37" i="162"/>
  <c r="H132" i="162" l="1"/>
  <c r="F132" i="162"/>
  <c r="F128" i="162"/>
  <c r="H124" i="162"/>
  <c r="F124" i="162"/>
  <c r="H120" i="162"/>
  <c r="H116" i="162"/>
  <c r="F116" i="162"/>
  <c r="F112" i="162"/>
  <c r="G103" i="162"/>
  <c r="H103" i="162" s="1"/>
  <c r="E103" i="162"/>
  <c r="E102" i="162"/>
  <c r="F102" i="162" s="1"/>
  <c r="H90" i="162"/>
  <c r="F90" i="162"/>
  <c r="H86" i="162"/>
  <c r="F86" i="162"/>
  <c r="H82" i="162"/>
  <c r="F82" i="162"/>
  <c r="H78" i="162"/>
  <c r="F78" i="162"/>
  <c r="H74" i="162"/>
  <c r="F74" i="162"/>
  <c r="H70" i="162"/>
  <c r="F70" i="162"/>
  <c r="H66" i="162"/>
  <c r="E61" i="162"/>
  <c r="F60" i="162"/>
  <c r="E60" i="162"/>
  <c r="H47" i="162"/>
  <c r="H46" i="162"/>
  <c r="F46" i="162"/>
  <c r="K46" i="162" s="1"/>
  <c r="H42" i="162"/>
  <c r="F42" i="162"/>
  <c r="H41" i="162"/>
  <c r="F41" i="162"/>
  <c r="H37" i="162"/>
  <c r="F37" i="162"/>
  <c r="H36" i="162"/>
  <c r="F36" i="162"/>
  <c r="K36" i="162" s="1"/>
  <c r="H32" i="162"/>
  <c r="H31" i="162"/>
  <c r="F31" i="162"/>
  <c r="H27" i="162"/>
  <c r="F27" i="162"/>
  <c r="H26" i="162"/>
  <c r="F26" i="162"/>
  <c r="H22" i="162"/>
  <c r="F22" i="162"/>
  <c r="H21" i="162"/>
  <c r="F21" i="162"/>
  <c r="H17" i="162"/>
  <c r="H16" i="162"/>
  <c r="G11" i="162"/>
  <c r="H11" i="162" s="1"/>
  <c r="E11" i="162"/>
  <c r="E10" i="162" s="1"/>
  <c r="K10" i="162"/>
  <c r="G102" i="162" l="1"/>
  <c r="H102" i="162" s="1"/>
  <c r="Q11" i="162"/>
  <c r="F10" i="162"/>
  <c r="G10" i="162"/>
  <c r="H10" i="162" s="1"/>
  <c r="F11" i="162"/>
  <c r="F16" i="162"/>
  <c r="F17" i="162"/>
  <c r="F32" i="162"/>
  <c r="F47" i="162"/>
  <c r="K47" i="162" s="1"/>
  <c r="F66" i="162"/>
  <c r="F103" i="162"/>
  <c r="H112" i="162"/>
  <c r="F120" i="162"/>
  <c r="H128" i="162"/>
  <c r="G61" i="162"/>
  <c r="G124" i="161"/>
  <c r="G37" i="161"/>
  <c r="G60" i="162" l="1"/>
  <c r="H60" i="162" s="1"/>
  <c r="F61" i="162"/>
  <c r="H61" i="162"/>
  <c r="G128" i="161"/>
  <c r="G120" i="161"/>
  <c r="G116" i="161"/>
  <c r="G108" i="161"/>
  <c r="G66" i="161"/>
  <c r="G42" i="161"/>
  <c r="G32" i="161"/>
  <c r="G27" i="161"/>
  <c r="G17" i="161"/>
  <c r="G16" i="161"/>
  <c r="G112" i="161" l="1"/>
  <c r="G22" i="161"/>
  <c r="G132" i="161" l="1"/>
  <c r="F132" i="161" s="1"/>
  <c r="H128" i="161"/>
  <c r="F128" i="161"/>
  <c r="H124" i="161"/>
  <c r="F124" i="161"/>
  <c r="H120" i="161"/>
  <c r="F116" i="161"/>
  <c r="F112" i="161"/>
  <c r="F108" i="161"/>
  <c r="E103" i="161"/>
  <c r="H90" i="161"/>
  <c r="F90" i="161"/>
  <c r="H86" i="161"/>
  <c r="F86" i="161"/>
  <c r="H82" i="161"/>
  <c r="F82" i="161"/>
  <c r="H78" i="161"/>
  <c r="F78" i="161"/>
  <c r="H74" i="161"/>
  <c r="F74" i="161"/>
  <c r="H70" i="161"/>
  <c r="F70" i="161"/>
  <c r="H66" i="161"/>
  <c r="F66" i="161"/>
  <c r="E61" i="161"/>
  <c r="G103" i="161" l="1"/>
  <c r="E60" i="161"/>
  <c r="F60" i="161" s="1"/>
  <c r="H108" i="161"/>
  <c r="H116" i="161"/>
  <c r="H132" i="161"/>
  <c r="E102" i="161"/>
  <c r="F102" i="161" s="1"/>
  <c r="H112" i="161"/>
  <c r="F120" i="161"/>
  <c r="G61" i="161"/>
  <c r="F61" i="161" s="1"/>
  <c r="G47" i="161"/>
  <c r="H47" i="161" s="1"/>
  <c r="H46" i="161"/>
  <c r="F46" i="161"/>
  <c r="K46" i="161" s="1"/>
  <c r="H42" i="161"/>
  <c r="F42" i="161"/>
  <c r="K42" i="161" s="1"/>
  <c r="H41" i="161"/>
  <c r="F41" i="161"/>
  <c r="K41" i="161" s="1"/>
  <c r="H37" i="161"/>
  <c r="F37" i="161"/>
  <c r="H36" i="161"/>
  <c r="F36" i="161"/>
  <c r="K36" i="161" s="1"/>
  <c r="F32" i="161"/>
  <c r="K32" i="161" s="1"/>
  <c r="H31" i="161"/>
  <c r="F31" i="161"/>
  <c r="K31" i="161" s="1"/>
  <c r="H27" i="161"/>
  <c r="H26" i="161"/>
  <c r="F26" i="161"/>
  <c r="K26" i="161" s="1"/>
  <c r="F22" i="161"/>
  <c r="H21" i="161"/>
  <c r="F21" i="161"/>
  <c r="K21" i="161" s="1"/>
  <c r="F17" i="161"/>
  <c r="K17" i="161" s="1"/>
  <c r="H16" i="161"/>
  <c r="F16" i="161"/>
  <c r="K16" i="161" s="1"/>
  <c r="E11" i="161"/>
  <c r="E10" i="161" s="1"/>
  <c r="Q11" i="161" s="1"/>
  <c r="G102" i="161" l="1"/>
  <c r="H102" i="161" s="1"/>
  <c r="F103" i="161"/>
  <c r="H103" i="161"/>
  <c r="G11" i="161"/>
  <c r="F27" i="161"/>
  <c r="K27" i="161" s="1"/>
  <c r="F47" i="161"/>
  <c r="K47" i="161" s="1"/>
  <c r="H22" i="161"/>
  <c r="H61" i="161"/>
  <c r="G60" i="161"/>
  <c r="H60" i="161" s="1"/>
  <c r="H17" i="161"/>
  <c r="H32" i="161"/>
  <c r="G47" i="160"/>
  <c r="H11" i="161" l="1"/>
  <c r="F11" i="161"/>
  <c r="G10" i="161"/>
  <c r="H10" i="161" s="1"/>
  <c r="G32" i="160"/>
  <c r="G27" i="160"/>
  <c r="K10" i="161" l="1"/>
  <c r="F10" i="161" s="1"/>
  <c r="G17" i="160"/>
  <c r="G22" i="160" l="1"/>
  <c r="H47" i="160" l="1"/>
  <c r="F47" i="160"/>
  <c r="K47" i="160" s="1"/>
  <c r="H46" i="160"/>
  <c r="F46" i="160"/>
  <c r="K46" i="160" s="1"/>
  <c r="H42" i="160"/>
  <c r="F42" i="160"/>
  <c r="K42" i="160" s="1"/>
  <c r="H41" i="160"/>
  <c r="F41" i="160"/>
  <c r="K41" i="160" s="1"/>
  <c r="H37" i="160"/>
  <c r="F37" i="160"/>
  <c r="K37" i="160" s="1"/>
  <c r="H36" i="160"/>
  <c r="F36" i="160"/>
  <c r="K36" i="160" s="1"/>
  <c r="H32" i="160"/>
  <c r="F32" i="160"/>
  <c r="K32" i="160" s="1"/>
  <c r="K31" i="160"/>
  <c r="H31" i="160"/>
  <c r="F31" i="160"/>
  <c r="H27" i="160"/>
  <c r="F27" i="160"/>
  <c r="K27" i="160" s="1"/>
  <c r="H26" i="160"/>
  <c r="F26" i="160"/>
  <c r="K26" i="160" s="1"/>
  <c r="H22" i="160"/>
  <c r="F22" i="160"/>
  <c r="H21" i="160"/>
  <c r="F21" i="160"/>
  <c r="K21" i="160" s="1"/>
  <c r="H17" i="160"/>
  <c r="F17" i="160"/>
  <c r="K17" i="160" s="1"/>
  <c r="H16" i="160"/>
  <c r="F16" i="160"/>
  <c r="K16" i="160" s="1"/>
  <c r="G11" i="160"/>
  <c r="G10" i="160" s="1"/>
  <c r="E11" i="160"/>
  <c r="E10" i="160" s="1"/>
  <c r="Q11" i="160" s="1"/>
  <c r="H10" i="160" l="1"/>
  <c r="K11" i="160"/>
  <c r="H11" i="160"/>
  <c r="F11" i="160" l="1"/>
  <c r="K10" i="160"/>
  <c r="F10" i="160" s="1"/>
  <c r="Q11" i="158" l="1"/>
  <c r="K629" i="158"/>
  <c r="K628" i="158"/>
  <c r="K627" i="158"/>
  <c r="K626" i="158"/>
  <c r="K625" i="158"/>
  <c r="K624" i="158"/>
  <c r="K623" i="158"/>
  <c r="K622" i="158"/>
  <c r="K621" i="158"/>
  <c r="K620" i="158"/>
  <c r="K619" i="158"/>
  <c r="K618" i="158"/>
  <c r="K617" i="158"/>
  <c r="K616" i="158"/>
  <c r="K615" i="158"/>
  <c r="K614" i="158"/>
  <c r="K613" i="158"/>
  <c r="K612" i="158"/>
  <c r="K611" i="158"/>
  <c r="K610" i="158"/>
  <c r="K609" i="158"/>
  <c r="K608" i="158"/>
  <c r="K607" i="158"/>
  <c r="K606" i="158"/>
  <c r="K605" i="158"/>
  <c r="G599" i="158"/>
  <c r="H599" i="158" s="1"/>
  <c r="K604" i="158"/>
  <c r="E599" i="158"/>
  <c r="K595" i="158"/>
  <c r="K590" i="158"/>
  <c r="K589" i="158"/>
  <c r="K588" i="158"/>
  <c r="K587" i="158"/>
  <c r="K586" i="158"/>
  <c r="K585" i="158"/>
  <c r="K584" i="158"/>
  <c r="K583" i="158"/>
  <c r="K582" i="158"/>
  <c r="K581" i="158"/>
  <c r="K580" i="158"/>
  <c r="K579" i="158"/>
  <c r="K578" i="158"/>
  <c r="K577" i="158"/>
  <c r="K576" i="158"/>
  <c r="K575" i="158"/>
  <c r="K574" i="158"/>
  <c r="E569" i="158"/>
  <c r="G569" i="158"/>
  <c r="H569" i="158" s="1"/>
  <c r="G560" i="158"/>
  <c r="H560" i="158" s="1"/>
  <c r="K565" i="158"/>
  <c r="K560" i="158" s="1"/>
  <c r="F560" i="158" s="1"/>
  <c r="E560" i="158"/>
  <c r="K556" i="158"/>
  <c r="K555" i="158"/>
  <c r="K554" i="158"/>
  <c r="K553" i="158"/>
  <c r="K552" i="158"/>
  <c r="K551" i="158"/>
  <c r="K550" i="158"/>
  <c r="K549" i="158"/>
  <c r="K548" i="158"/>
  <c r="K547" i="158"/>
  <c r="K546" i="158"/>
  <c r="K545" i="158"/>
  <c r="K544" i="158"/>
  <c r="K543" i="158"/>
  <c r="K542" i="158"/>
  <c r="K541" i="158"/>
  <c r="K540" i="158"/>
  <c r="K539" i="158"/>
  <c r="K538" i="158"/>
  <c r="K537" i="158"/>
  <c r="K536" i="158"/>
  <c r="K535" i="158"/>
  <c r="G529" i="158"/>
  <c r="E529" i="158"/>
  <c r="K528" i="158"/>
  <c r="K522" i="158"/>
  <c r="G522" i="158"/>
  <c r="K521" i="158"/>
  <c r="K520" i="158"/>
  <c r="K519" i="158"/>
  <c r="K518" i="158"/>
  <c r="K517" i="158"/>
  <c r="K516" i="158"/>
  <c r="K515" i="158"/>
  <c r="K514" i="158"/>
  <c r="K513" i="158"/>
  <c r="K512" i="158"/>
  <c r="K511" i="158"/>
  <c r="K510" i="158"/>
  <c r="K509" i="158"/>
  <c r="K508" i="158"/>
  <c r="K507" i="158"/>
  <c r="K506" i="158"/>
  <c r="K505" i="158"/>
  <c r="K504" i="158"/>
  <c r="K503" i="158"/>
  <c r="K502" i="158"/>
  <c r="K501" i="158"/>
  <c r="K500" i="158"/>
  <c r="K499" i="158"/>
  <c r="K498" i="158"/>
  <c r="K497" i="158"/>
  <c r="K496" i="158"/>
  <c r="K495" i="158"/>
  <c r="K494" i="158"/>
  <c r="G487" i="158"/>
  <c r="E487" i="158"/>
  <c r="K483" i="158"/>
  <c r="K482" i="158"/>
  <c r="G476" i="158"/>
  <c r="H476" i="158" s="1"/>
  <c r="K481" i="158"/>
  <c r="E476" i="158"/>
  <c r="K475" i="158"/>
  <c r="K474" i="158"/>
  <c r="K473" i="158"/>
  <c r="K472" i="158"/>
  <c r="K471" i="158"/>
  <c r="K470" i="158"/>
  <c r="K469" i="158"/>
  <c r="K468" i="158"/>
  <c r="K467" i="158"/>
  <c r="K466" i="158"/>
  <c r="K465" i="158"/>
  <c r="K464" i="158"/>
  <c r="K463" i="158"/>
  <c r="K462" i="158"/>
  <c r="K461" i="158"/>
  <c r="K460" i="158"/>
  <c r="K459" i="158"/>
  <c r="K458" i="158"/>
  <c r="K457" i="158"/>
  <c r="K456" i="158"/>
  <c r="K455" i="158"/>
  <c r="K454" i="158"/>
  <c r="K453" i="158"/>
  <c r="K452" i="158"/>
  <c r="K451" i="158"/>
  <c r="K450" i="158"/>
  <c r="K449" i="158"/>
  <c r="K448" i="158"/>
  <c r="K447" i="158"/>
  <c r="K446" i="158"/>
  <c r="K445" i="158"/>
  <c r="K444" i="158"/>
  <c r="K443" i="158"/>
  <c r="K442" i="158"/>
  <c r="K441" i="158"/>
  <c r="K440" i="158"/>
  <c r="K439" i="158"/>
  <c r="K438" i="158"/>
  <c r="K437" i="158"/>
  <c r="K436" i="158"/>
  <c r="K435" i="158"/>
  <c r="K434" i="158"/>
  <c r="K433" i="158"/>
  <c r="K432" i="158"/>
  <c r="K431" i="158"/>
  <c r="K430" i="158"/>
  <c r="K429" i="158"/>
  <c r="K428" i="158"/>
  <c r="K427" i="158"/>
  <c r="K426" i="158"/>
  <c r="K425" i="158"/>
  <c r="K424" i="158"/>
  <c r="K423" i="158"/>
  <c r="K422" i="158"/>
  <c r="K421" i="158"/>
  <c r="K420" i="158"/>
  <c r="K419" i="158"/>
  <c r="K418" i="158"/>
  <c r="K417" i="158"/>
  <c r="K416" i="158"/>
  <c r="K415" i="158"/>
  <c r="K414" i="158"/>
  <c r="K413" i="158"/>
  <c r="K412" i="158"/>
  <c r="K411" i="158"/>
  <c r="K410" i="158"/>
  <c r="K409" i="158"/>
  <c r="K408" i="158"/>
  <c r="K407" i="158"/>
  <c r="K406" i="158"/>
  <c r="K405" i="158"/>
  <c r="K404" i="158"/>
  <c r="G393" i="158"/>
  <c r="K398" i="158"/>
  <c r="K384" i="158"/>
  <c r="K380" i="158"/>
  <c r="K379" i="158"/>
  <c r="K378" i="158"/>
  <c r="K377" i="158"/>
  <c r="K372" i="158"/>
  <c r="K371" i="158"/>
  <c r="K370" i="158"/>
  <c r="K365" i="158"/>
  <c r="K364" i="158"/>
  <c r="K363" i="158"/>
  <c r="K362" i="158"/>
  <c r="K361" i="158"/>
  <c r="K360" i="158"/>
  <c r="K357" i="158"/>
  <c r="K356" i="158"/>
  <c r="K355" i="158"/>
  <c r="K354" i="158"/>
  <c r="K353" i="158"/>
  <c r="K352" i="158"/>
  <c r="K351" i="158"/>
  <c r="K349" i="158"/>
  <c r="K348" i="158"/>
  <c r="K347" i="158"/>
  <c r="K346" i="158"/>
  <c r="K345" i="158"/>
  <c r="K344" i="158"/>
  <c r="K343" i="158"/>
  <c r="K342" i="158"/>
  <c r="K341" i="158"/>
  <c r="K340" i="158"/>
  <c r="K339" i="158"/>
  <c r="K338" i="158"/>
  <c r="K337" i="158"/>
  <c r="K336" i="158"/>
  <c r="K335" i="158"/>
  <c r="K334" i="158"/>
  <c r="K333" i="158"/>
  <c r="K332" i="158"/>
  <c r="K331" i="158"/>
  <c r="K330" i="158"/>
  <c r="K329" i="158"/>
  <c r="K328" i="158"/>
  <c r="K327" i="158"/>
  <c r="K326" i="158"/>
  <c r="K325" i="158"/>
  <c r="K324" i="158"/>
  <c r="K323" i="158"/>
  <c r="G318" i="158"/>
  <c r="K316" i="158"/>
  <c r="K315" i="158"/>
  <c r="K311" i="158"/>
  <c r="K310" i="158"/>
  <c r="K306" i="158"/>
  <c r="K305" i="158"/>
  <c r="K301" i="158"/>
  <c r="K300" i="158"/>
  <c r="K296" i="158"/>
  <c r="K295" i="158"/>
  <c r="K290" i="158"/>
  <c r="K289" i="158"/>
  <c r="K285" i="158"/>
  <c r="K284" i="158"/>
  <c r="K280" i="158"/>
  <c r="K279" i="158"/>
  <c r="K275" i="158"/>
  <c r="K274" i="158"/>
  <c r="K270" i="158"/>
  <c r="K269" i="158"/>
  <c r="K264" i="158"/>
  <c r="K263" i="158"/>
  <c r="K259" i="158"/>
  <c r="K258" i="158"/>
  <c r="K254" i="158"/>
  <c r="K253" i="158"/>
  <c r="K249" i="158"/>
  <c r="K248" i="158"/>
  <c r="K244" i="158"/>
  <c r="K243" i="158"/>
  <c r="K238" i="158"/>
  <c r="K237" i="158"/>
  <c r="K233" i="158"/>
  <c r="K232" i="158"/>
  <c r="K228" i="158"/>
  <c r="K227" i="158"/>
  <c r="K223" i="158"/>
  <c r="K222" i="158"/>
  <c r="K218" i="158"/>
  <c r="K217" i="158"/>
  <c r="K212" i="158"/>
  <c r="K211" i="158"/>
  <c r="K207" i="158"/>
  <c r="K206" i="158"/>
  <c r="K202" i="158"/>
  <c r="K201" i="158"/>
  <c r="K197" i="158"/>
  <c r="K196" i="158"/>
  <c r="K192" i="158"/>
  <c r="K191" i="158"/>
  <c r="K187" i="158"/>
  <c r="K186" i="158"/>
  <c r="K182" i="158"/>
  <c r="K181" i="158"/>
  <c r="K176" i="158"/>
  <c r="K175" i="158"/>
  <c r="K171" i="158"/>
  <c r="K170" i="158"/>
  <c r="K166" i="158"/>
  <c r="K165" i="158"/>
  <c r="K161" i="158"/>
  <c r="K160" i="158"/>
  <c r="K156" i="158"/>
  <c r="K155" i="158"/>
  <c r="K151" i="158"/>
  <c r="K150" i="158"/>
  <c r="K146" i="158"/>
  <c r="K145" i="158"/>
  <c r="K141" i="158"/>
  <c r="K140" i="158"/>
  <c r="K135" i="158"/>
  <c r="K134" i="158"/>
  <c r="K130" i="158"/>
  <c r="K129" i="158"/>
  <c r="K125" i="158"/>
  <c r="K124" i="158"/>
  <c r="K120" i="158"/>
  <c r="K119" i="158"/>
  <c r="K115" i="158"/>
  <c r="K114" i="158"/>
  <c r="K110" i="158"/>
  <c r="K109" i="158"/>
  <c r="K105" i="158"/>
  <c r="K104" i="158"/>
  <c r="K100" i="158"/>
  <c r="K99" i="158"/>
  <c r="K94" i="158"/>
  <c r="K93" i="158"/>
  <c r="K89" i="158"/>
  <c r="K88" i="158"/>
  <c r="K84" i="158"/>
  <c r="K83" i="158"/>
  <c r="K79" i="158"/>
  <c r="K78" i="158"/>
  <c r="K74" i="158"/>
  <c r="K73" i="158"/>
  <c r="K69" i="158"/>
  <c r="K68" i="158"/>
  <c r="K63" i="158"/>
  <c r="K62" i="158"/>
  <c r="K58" i="158"/>
  <c r="K57" i="158"/>
  <c r="K53" i="158"/>
  <c r="K52" i="158"/>
  <c r="K48" i="158"/>
  <c r="K47" i="158"/>
  <c r="K43" i="158"/>
  <c r="K42" i="158"/>
  <c r="K37" i="158"/>
  <c r="K36" i="158"/>
  <c r="K32" i="158"/>
  <c r="K31" i="158"/>
  <c r="K27" i="158"/>
  <c r="K26" i="158"/>
  <c r="K22" i="158"/>
  <c r="K21" i="158"/>
  <c r="K17" i="158"/>
  <c r="G11" i="158"/>
  <c r="K16" i="158"/>
  <c r="K599" i="158" l="1"/>
  <c r="F599" i="158" s="1"/>
  <c r="K529" i="158"/>
  <c r="F529" i="158" s="1"/>
  <c r="K487" i="158"/>
  <c r="F487" i="158" s="1"/>
  <c r="K476" i="158"/>
  <c r="F476" i="158" s="1"/>
  <c r="K318" i="158"/>
  <c r="G10" i="158"/>
  <c r="K11" i="158"/>
  <c r="H487" i="158"/>
  <c r="H529" i="158"/>
  <c r="K569" i="158"/>
  <c r="F569" i="158" s="1"/>
  <c r="K393" i="158"/>
  <c r="E522" i="158"/>
  <c r="H522" i="158" s="1"/>
  <c r="E393" i="158"/>
  <c r="H393" i="158" s="1"/>
  <c r="E11" i="158"/>
  <c r="E318" i="158"/>
  <c r="H318" i="158" s="1"/>
  <c r="F318" i="158" l="1"/>
  <c r="F522" i="158"/>
  <c r="E10" i="158"/>
  <c r="H10" i="158" s="1"/>
  <c r="F393" i="158"/>
  <c r="H11" i="158"/>
  <c r="F11" i="158"/>
  <c r="K10" i="158"/>
  <c r="F10" i="158" s="1"/>
</calcChain>
</file>

<file path=xl/sharedStrings.xml><?xml version="1.0" encoding="utf-8"?>
<sst xmlns="http://schemas.openxmlformats.org/spreadsheetml/2006/main" count="1906" uniqueCount="379">
  <si>
    <t>Dinas Kesehatan Kota Samarinda</t>
  </si>
  <si>
    <t>Keterangan</t>
  </si>
  <si>
    <t>Dinas Tenaga Kerja Kota Samarinda</t>
  </si>
  <si>
    <t>Dinas Lingkungan Hidup Kota Samarinda</t>
  </si>
  <si>
    <t>UPTD Pengelolaan Sampah Kelas A</t>
  </si>
  <si>
    <t>Kecamatan Palaran</t>
  </si>
  <si>
    <t>Kelurahan Bantuas</t>
  </si>
  <si>
    <t>Kelurahan Bukuan</t>
  </si>
  <si>
    <t>Kelurahan Simpang Pasir</t>
  </si>
  <si>
    <t>Kelurahan Rawa Makmur</t>
  </si>
  <si>
    <t>Kelurahan Handil Bakti</t>
  </si>
  <si>
    <t>Kecamatan Samarinda Ilir</t>
  </si>
  <si>
    <t>Kelurahan Sidomulyo</t>
  </si>
  <si>
    <t>Kelurahan Selili</t>
  </si>
  <si>
    <t>Kelurahan Pelita</t>
  </si>
  <si>
    <t>Kelurahan Sungai Dama</t>
  </si>
  <si>
    <t>Kecamatan Samarinda Seberang</t>
  </si>
  <si>
    <t>Kelurahan Baqa</t>
  </si>
  <si>
    <t>Kelurahan Sungai Keledang</t>
  </si>
  <si>
    <t>Kelurahan Mangkupalas</t>
  </si>
  <si>
    <t>Kelurahan Gunung Panjang</t>
  </si>
  <si>
    <t>Kecamatan Samarinda Utara</t>
  </si>
  <si>
    <t>Kelurahan Sempaja Selatan</t>
  </si>
  <si>
    <t>Kelurahan Lempake</t>
  </si>
  <si>
    <t>Kelurahan Sungai Siring</t>
  </si>
  <si>
    <t>Kelurahan Sempaja Utara</t>
  </si>
  <si>
    <t>Kelurahan Sempaja Barat</t>
  </si>
  <si>
    <t>Kelurahan Sempaja Timur</t>
  </si>
  <si>
    <t>Kelurahan Budaya Pampang</t>
  </si>
  <si>
    <t>Kecamatan Samarinda Ulu</t>
  </si>
  <si>
    <t>Kelurahan Air Putih</t>
  </si>
  <si>
    <t>Kelurahan Jawa</t>
  </si>
  <si>
    <t>Kelurahan Sidodadi</t>
  </si>
  <si>
    <t>Kelurahan Dadi Mulya</t>
  </si>
  <si>
    <t>Kelurahan Bukit Pinang</t>
  </si>
  <si>
    <t>Kecamatan Sungai Kunjang</t>
  </si>
  <si>
    <t>Kelurahan Karang Anyar</t>
  </si>
  <si>
    <t>Kelurahan Karang Asam Ulu</t>
  </si>
  <si>
    <t>Kelurahan Karang Asam Ilir</t>
  </si>
  <si>
    <t>Kelurahan Loa Bahu</t>
  </si>
  <si>
    <t>Kelurahan Loa Buah</t>
  </si>
  <si>
    <t>Kelurahan Loa Bakung</t>
  </si>
  <si>
    <t>Kecamatan Sambutan</t>
  </si>
  <si>
    <t>Kelurahan Sungai Kapih</t>
  </si>
  <si>
    <t>Kelurahan Sambutan</t>
  </si>
  <si>
    <t>Kelurahan Makroman</t>
  </si>
  <si>
    <t>Kelurahan Sindang Sari</t>
  </si>
  <si>
    <t>Kelurahan Pulau Atas</t>
  </si>
  <si>
    <t>Kecamatan Sungai Pinang</t>
  </si>
  <si>
    <t>Kelurahan Sungai Pinang Dalam</t>
  </si>
  <si>
    <t>Kelurahan Bandara</t>
  </si>
  <si>
    <t>Kelurahan Mugirejo</t>
  </si>
  <si>
    <t>Kecamatan Samarinda Kota</t>
  </si>
  <si>
    <t>Kelurahan Karang Mumus</t>
  </si>
  <si>
    <t>Kelurahan Pelabuhan</t>
  </si>
  <si>
    <t>Kelurahan Pasar Pagi</t>
  </si>
  <si>
    <t>Kelurahan Bugis</t>
  </si>
  <si>
    <t>Kelurahan Sungai Pinang Luar</t>
  </si>
  <si>
    <t>Kecamatan Loa Janan Ilir</t>
  </si>
  <si>
    <t>Kelurahan Simpang Tiga</t>
  </si>
  <si>
    <t>Kelurahan Tani Aman</t>
  </si>
  <si>
    <t>Kelurahan Sengkotek</t>
  </si>
  <si>
    <t>Kelurahan Harapan Baru</t>
  </si>
  <si>
    <t>Kelurahan Rapak Dalam</t>
  </si>
  <si>
    <t>Penambahan Ruang Kelas Baru</t>
  </si>
  <si>
    <t>Pembangunan Sarana, Prasarana dan Utilitas Sekolah</t>
  </si>
  <si>
    <t>Rehabilitasi Sedang/Berat Ruang Kelas</t>
  </si>
  <si>
    <t>Rehabilitasi Sedang/Berat Ruang Unit Kesehatan Sekolah</t>
  </si>
  <si>
    <t>Rehabilitasi Sedang/Berat Sarana, Prasarana dan Utilitas Sekolah</t>
  </si>
  <si>
    <t>Pengadaan Mebel Sekolah</t>
  </si>
  <si>
    <t>Rehabilitasi Sedang/Berat Ruang Kelas Sekolah</t>
  </si>
  <si>
    <t>Rehabilitasi Sedang/Berat Gedung/Ruang Kelas/Ruang Guru PAUD</t>
  </si>
  <si>
    <t>PROGRAM PENGELOLAAN PENDIDIKAN</t>
  </si>
  <si>
    <t>Pengelolaan Pendidikan Sekolah Dasar</t>
  </si>
  <si>
    <t>Pengelolaan Pendidikan Sekolah Menengah Pertama</t>
  </si>
  <si>
    <t>Pengelolaan Pendidikan Anak Usia Dini (PAUD)</t>
  </si>
  <si>
    <t>PROGRAM PEMENUHAN UPAYA KESEHATAN PERORANGAN DAN UPAYA KESEHATAN MASYARAKAT</t>
  </si>
  <si>
    <t>PROGRAM PENGELOLAAN SUMBER DAYA AIR (SDA)</t>
  </si>
  <si>
    <t>PROGRAM PENGELOLAAN DAN PENGEMBANGAN SISTEM DRAINASE</t>
  </si>
  <si>
    <t>PROGRAM PENYELENGGARAAN JALAN</t>
  </si>
  <si>
    <t>PROGRAM PENGEMBANGAN PERUMAHAN</t>
  </si>
  <si>
    <t>PROGRAM PENINGKATAN PRASARANA, SARANA DAN UTILITAS UMUM (PSU)</t>
  </si>
  <si>
    <t>Urusan Penyelenggaraan PSU Perumahan</t>
  </si>
  <si>
    <t>Penyediaan Prasarana, Sarana, dan Utilitas Umum di Perumahan untuk Menunjang Fungsi Hunian</t>
  </si>
  <si>
    <t>PROGRAM PENINGKATAN KETENTERAMAN DAN KETERTIBAN UMUM</t>
  </si>
  <si>
    <t>PROGRAM PELATIHAN KERJA DAN PRODUKTIVITAS TENAGA KERJA</t>
  </si>
  <si>
    <t>PROGRAM PENGELOLAAN KEANEKARAGAMAN HAYATI (KEHATI)</t>
  </si>
  <si>
    <t>PROGRAM PENGELOLAAN PERSAMPAHAN</t>
  </si>
  <si>
    <t>PROGRAM PENGELOLAAN INFORMASI ADMINISTRASI KEPENDUDUKAN</t>
  </si>
  <si>
    <t>PROGRAM PENYELENGGARAAN LALU LINTAS DAN ANGKUTAN JALAN (LLAJ)</t>
  </si>
  <si>
    <t>PROGRAM APLIKASI INFORMATIKA</t>
  </si>
  <si>
    <t>PROGRAM PEMBERDAYAAN USAHA MENENGAH, USAHA KECIL, DAN USAHA MIKRO (UMKM)</t>
  </si>
  <si>
    <t>PROGRAM PENGEMBANGAN UMKM</t>
  </si>
  <si>
    <t>PROGRAM PELAYANAN PENANAMAN MODAL</t>
  </si>
  <si>
    <t>PROGRAM PENGELOLAAN DATA DAN SISTEM INFORMASI PENANAMAN MODAL</t>
  </si>
  <si>
    <t>PROGRAM PENGEMBANGAN SUMBER DAYA PARIWISATA DAN EKONOMI KREATIF</t>
  </si>
  <si>
    <t>PROGRAM PENYULUHAN PERTANIAN</t>
  </si>
  <si>
    <t>PROGRAM PERIZINAN DAN PENDAFTARAN PERUSAHAAN</t>
  </si>
  <si>
    <t>PROGRAM PERENCANAAN, PENGENDALIAN DAN EVALUASI PEMBANGUNAN DAERAH</t>
  </si>
  <si>
    <t>PROGRAM PEMBERDAYAAN MASYARAKAT DESA DAN KELURAHAN</t>
  </si>
  <si>
    <t>Pembangunan Sarana dan Prasarana Kelurahan</t>
  </si>
  <si>
    <t>Pemberdayaan Masyarakat di Kelurahan</t>
  </si>
  <si>
    <t>Realisasi</t>
  </si>
  <si>
    <t>Fisik</t>
  </si>
  <si>
    <t>Keuangan</t>
  </si>
  <si>
    <t>(%)</t>
  </si>
  <si>
    <t>(Rp)</t>
  </si>
  <si>
    <t>Program / Kegiatan / Sub Kegiatan</t>
  </si>
  <si>
    <t>Pagu (Rp)</t>
  </si>
  <si>
    <t>No.</t>
  </si>
  <si>
    <t>Dinas Pekerjaan Umum dan Penataan Ruang</t>
  </si>
  <si>
    <t>Dinas Perumahan dan Kawasan Pemukiman</t>
  </si>
  <si>
    <t>Dinas Lingkungan Hidup</t>
  </si>
  <si>
    <t>Dinas Kependudukan dan Pencatatan Sipil</t>
  </si>
  <si>
    <t>Dinas Perhubungan</t>
  </si>
  <si>
    <t>Dinas Komunikasi dan Informatika</t>
  </si>
  <si>
    <t>Pembangunan Sarana, Prasarana dan Utilitas PAUD</t>
  </si>
  <si>
    <t>WALI KOTA DAN WAKIL WALI KOTA SAMARINDA</t>
  </si>
  <si>
    <t>Program Unggulan</t>
  </si>
  <si>
    <t>OPD Pelaksana 
(Unit / Sub Unit)</t>
  </si>
  <si>
    <t>Total 10 Program Unggulan</t>
  </si>
  <si>
    <t>Program Pembangunan Dan Pemberdayaan Masyarakat (PRO-BEBAYA)</t>
  </si>
  <si>
    <t>Kelurahan Sidodamai</t>
  </si>
  <si>
    <t>Kelurahan Mesjid</t>
  </si>
  <si>
    <t>Kelurahan Tenun</t>
  </si>
  <si>
    <t xml:space="preserve">Kelurahan Tanah Merah </t>
  </si>
  <si>
    <t>Kelurahan Telok Lerong Ilir</t>
  </si>
  <si>
    <t>Kelurahan Air Hitam</t>
  </si>
  <si>
    <t xml:space="preserve">Kelurahan Gunung Kelua </t>
  </si>
  <si>
    <t>Kelurahan Telok Lerong Ulu</t>
  </si>
  <si>
    <t>Kelurahan Temindung Permai</t>
  </si>
  <si>
    <t>Program pengendalian banjir dan pembangunan sistem drainase modern</t>
  </si>
  <si>
    <t>SATPOL - PP</t>
  </si>
  <si>
    <t>Seluruh Kecamatan</t>
  </si>
  <si>
    <t>Seluruh Kelurahan</t>
  </si>
  <si>
    <t>Program pemberdayaan masyarakat desa/kelurahan Kecamatan</t>
  </si>
  <si>
    <t>Program Pembangunan Sistem Transportasi Massal modern dan ramah lingkungan (Subway dan Skytrain-Monorail)</t>
  </si>
  <si>
    <t>Penerbitan izin usaha, izin pembangunan dan izin operasional prasarana perkeretaapian umum yang jaringan jalurnya dalam 1 (satu) daerah kabupaten/kota</t>
  </si>
  <si>
    <t>Koordinasi dan sinkronisasi pengawasan pelaksanaan izin usaha, izin pembangunan dan izin operasional prasarana perkeretaapian umum yang jaringan jalurnya dalam 1 (satu) daerah kabupaten/kota</t>
  </si>
  <si>
    <t>Pembangunan gedung terminal</t>
  </si>
  <si>
    <t>Peningkatan kapasitas sumber daya manusia pengujian berkala kendaraan bermotor</t>
  </si>
  <si>
    <t>Registrasi kendaraan wajib uji berkala kendaraan bermotor</t>
  </si>
  <si>
    <t>Indentifikasi dan analisis potensi jumlah kendaraan bermotor wajib uji</t>
  </si>
  <si>
    <t>Pemeliharaan sarana dan prasarana pengujian berkala kendaraan bermotor</t>
  </si>
  <si>
    <t>Koordinasi penyelenggaraan pengujian berkala kendaraan bermotor</t>
  </si>
  <si>
    <t>Penetapan tarif rettribusi pengujian berkala kendaraan bermotor</t>
  </si>
  <si>
    <t>Monitoring dan evaluasi penyelenggaraan penguji berkala kendaraan bermotor</t>
  </si>
  <si>
    <t>Pengawasan dan pengendalian efektivitas pelaksanaan kebijakan untuk kabupaten/Kota</t>
  </si>
  <si>
    <t>Pengawasan pelaksanaan rekomendasi Andalalin</t>
  </si>
  <si>
    <t>Peningkatan kapsitas auditor dan inspektor LLAJ</t>
  </si>
  <si>
    <t>Pelaksanaan inspeksi, audit dan pemantauan unit pelaksana uji berkala kendaraan bermotor</t>
  </si>
  <si>
    <t>Pelaksanaan inspeksi, audit dan pemantauan terminal</t>
  </si>
  <si>
    <t>Pelaksanaan inspeksi, audit dan pemantauan pemenuhan persyaratan penyelenggaraan kompetensi pengemudi kendaraan bermotor kabupaten/kota</t>
  </si>
  <si>
    <t>Pelaksanaan inspeksi, audit dan pemantauan sistem manajemen keselamatan perusahaan angkutan umum</t>
  </si>
  <si>
    <t>Penetapan rencana umum jaringan trayek perkotaan dalam 1 (satu) daerah kabupaten/kota</t>
  </si>
  <si>
    <t>Pelaksanaan penyusunan rencana umum jaringan trayek perkotaan dalam 1 (satu) daerah kabupaten/kota</t>
  </si>
  <si>
    <t>Penetapan kebijakan dan sosialisasi rencana umum jaringan trayek perkotaan dalam 1 (satu) daerah kabupaten/kota</t>
  </si>
  <si>
    <t>Pengendalian pelaksanaan rencana umum jaringan trayek perkotaan dalam 1 (satu) daerah kabupaten/kota</t>
  </si>
  <si>
    <t>Penetapan wilayah operasi angkutan orang dengan menggunakan taksi dalam kawasan perkotaan yang wilayah operasinya dalam 1 (satu) daerah kabupaten/kota</t>
  </si>
  <si>
    <t>Perumusan kebijakan penetapan wilayah operasi angkutan orang dengan menggunakan taksi dalam kawasan perkotaan kewenangan kabupaten/kota</t>
  </si>
  <si>
    <t>Sosialisasi dan uji coba pelaksanaan kebijakan penetapan wilayah operasi angkutan orang dengan menggunakan taksi dalam kawasan perkotaan kewenangan kabupaten/kota</t>
  </si>
  <si>
    <t>Penerbitan izin penyelenggaraan angkutan taksi yang wilayah operasinya dalam 1 (satu) daerah kabupaten/kota</t>
  </si>
  <si>
    <t>Fasilitas pemenuhan persyaratan perolehan izin penyelenggaraan angkutan taksi yang wilayah operasinya kewenangan kabupaten/kota dalam system pelayanan perizinan berusaha terintegrasi secara elektronik</t>
  </si>
  <si>
    <t>Koordinasi dan sinkronisasi pengawasan pelaksanaan izin penyelenggaraan angkutan taksi yang wilayah operasinya kewenangan kabupaten/kota</t>
  </si>
  <si>
    <t>Penetapan tarif kelas ekonomi untuk angkutan orang yang melayani trayek serta angkutan perkotaan dan pedesaan dalam 1 (satu) daerah kabupaten/kota</t>
  </si>
  <si>
    <t>Analisis tarif kelas ekonomi angkutan orang dan angkutan perkotaan dan pedesaan dalam 1 (satu) daerah kabupaten/kota</t>
  </si>
  <si>
    <t>Penyedia data dan informasi tarif kelas ekonomi angkutan orang dan angkutan perkotaan dan pedesaan dalam 1 (satu) daerah kabupaten/kota</t>
  </si>
  <si>
    <t>Pengendalian dan pengawasan tarif kelas ekonomi angkutan orang dan angkutan perkotaan dan pedesaan dalam 1 (satu) daerah kabupaten/kota</t>
  </si>
  <si>
    <t>Survei Kondisi Jalan/ Jembatan</t>
  </si>
  <si>
    <t>Pemeliharaan Rutin Jalan</t>
  </si>
  <si>
    <t>Pembangunan Fly Over</t>
  </si>
  <si>
    <t>Pembangunan terowongan/Tunnel</t>
  </si>
  <si>
    <t>Penggantian Jembatan</t>
  </si>
  <si>
    <t>Pemantauan dan Evaluasi Penyelenggaraan Jalan/ Jembatan</t>
  </si>
  <si>
    <t>Pengawasan Teknis Penyelenggaraan Jalan/ Jembatan</t>
  </si>
  <si>
    <t>Program Social Security Number (Satu Kartu Untuk Semua Layanan)</t>
  </si>
  <si>
    <t>Program Smart City Plus</t>
  </si>
  <si>
    <t>Pendaftaran nama Domain Pemerintah Kabupaten/Kota</t>
  </si>
  <si>
    <t>Penatalaksanaan dan pengawasan nama domain dan sub domain dalam penyelenggaraan Pemerintahan Daerah Kabupaten/Kota</t>
  </si>
  <si>
    <t>Penatalaksanaan dan Pengawasan e-government dalam Penyelenggaraan Pemerintahan Daerah Kabupaten/Kota</t>
  </si>
  <si>
    <t>Sinkronisasi Pengelolaan Rencana Induk dan Anggaran Pemerintahan Berbasis Elektronik</t>
  </si>
  <si>
    <t>Koordinasi dan Sinkronisasi Data dan Informasi Elektronik</t>
  </si>
  <si>
    <t>Penyelenggaraan Sistem Penghubung Layanan Pemerintah</t>
  </si>
  <si>
    <t>Pengelolaan Government Chief Information Officer (GCIO)</t>
  </si>
  <si>
    <t>Monitoring, Evaluasi dan Pelaporan Pengembangan Ekosistem SPBE</t>
  </si>
  <si>
    <t xml:space="preserve">Dinas Penanaman Modal dan Pelayanan Terpadu Satu Pintu Kota Samarinda </t>
  </si>
  <si>
    <t>Program "Doctor On Call" untuk kondisi darurat, lansia dan balita</t>
  </si>
  <si>
    <t>Program bantuan peralatan dan sarana pendidikan untuk menunjang pendidikan gratis 12 tahun</t>
  </si>
  <si>
    <t>Pembangunan Ruang Unit Kesehatan Sekolah</t>
  </si>
  <si>
    <t>Pembangunan Unit Sekolah Baru (USB)</t>
  </si>
  <si>
    <t>Rehabilitasi Sedang/Berat Gedung Sekolah</t>
  </si>
  <si>
    <t>Pengadaan Mebel PAUD</t>
  </si>
  <si>
    <t>Pengembangan Badan Usaha Milik RT (Berbasis Kelurahan)</t>
  </si>
  <si>
    <t>Pagu Di Program Unggulan 1</t>
  </si>
  <si>
    <t>Program Pengembangan Ruang Terbuka Hijau, Taman Rekreasi dan 1 Kelurahan 1 Playground</t>
  </si>
  <si>
    <t>Dinas Perumahan dan Kawasan Pemukiman Kota Samarinda</t>
  </si>
  <si>
    <t>Pendataan tingkat kerusakan rumah akibat bencana</t>
  </si>
  <si>
    <t>Pendataan dan verifikasi penerima rumah bagi korban bencana alam atau terkena relokasi program kabupaten/kota</t>
  </si>
  <si>
    <t>Pendataan rumah sewa milik masyarakat, rumah susun, dan rumah khusus</t>
  </si>
  <si>
    <t>Sosialisasi standar teknis penyediaan dan rehabilitasi rumah kepada masyarakat/sukarelawan tanggap bencana</t>
  </si>
  <si>
    <t>Rehabilitasi Rumah Bagi Korban Bencana</t>
  </si>
  <si>
    <t>Operasional dan pemeliharaan lingkungan perumahan pada relokasi program kabupaten/kota</t>
  </si>
  <si>
    <t>Program penciptaan 10.000 Wira Usaha Baru (Start Up)</t>
  </si>
  <si>
    <t>Sub Kegiatan fasilitasi kemudahaan perijinan usaha mikro</t>
  </si>
  <si>
    <t>Sub Kegiatan koordinasi dan sinkronisasi dengan para pemangku kepentingan dalam pemberdayaan usaha mikro.</t>
  </si>
  <si>
    <t xml:space="preserve">Dinas Perdagangan Kota Samarinda </t>
  </si>
  <si>
    <t>Fasilitasi Pemenuhan Komitmen Perolehan Perizinan Pasar Rakyat, Pusat Perbelanjaan, dan Toko Swalayan melalui Sistem Pelayanan Perizinan Berusaha Terintegrasi Secara Elektronik</t>
  </si>
  <si>
    <t>Pagu Di Program Unggulan 5</t>
  </si>
  <si>
    <t>Dinas Pendidikan dan Kebudayaan Kota Samarinda</t>
  </si>
  <si>
    <t>Penyediaan Layanan Kesehatan untuk UKM dan UKP Rujukan Tingkat Daerah Kabupaten/Kota</t>
  </si>
  <si>
    <t>Operasional Pelayanan Puskesmas</t>
  </si>
  <si>
    <t>Operasional Pelayanan Fasilitas Kesehatan Lainnya</t>
  </si>
  <si>
    <t>Pengelolaan SDA dan Bangunan Pengaman Pantai pada Wilayah Sungai (WS) dalam 1 (satu) Daerah Kabupaten/Kota</t>
  </si>
  <si>
    <t>Pengembangan dan Pengelolaan Sistem Irigasi Primer dan Sekunder pada Daerah Irigasi yang Luasnya dibawah 1000 Ha dalam 1 (satu) Daerah Kabupaten/Kota</t>
  </si>
  <si>
    <t>Pengelolaan dan Pengembangan Sistem Drainase yang Terhubung Langsung dengan Sungai dalam Daerah Kabupaten/Kota</t>
  </si>
  <si>
    <t>Penyelenggaraan Jalan Kabupaten/Kota</t>
  </si>
  <si>
    <t>Pembangunan Jalan</t>
  </si>
  <si>
    <t>Rehabilitasi Jalan</t>
  </si>
  <si>
    <t>Pembangunan Jembatan</t>
  </si>
  <si>
    <t>Rehabilitasi Jembatan</t>
  </si>
  <si>
    <t>Pemeliharaan Rutin Jembatan</t>
  </si>
  <si>
    <t>Penanggulangan Bencana/Tanggap Darurat</t>
  </si>
  <si>
    <t>Pendataan Penyediaan dan Rehabilitasi Rumah Korban Bencana atau Relokasi Program Kabupaten/Kota</t>
  </si>
  <si>
    <t>Sosialisasi dan Persiapan Penyediaan dan Rehabilitasi Rumah Korban Bencana atau Relokasi Program Kabupaten/Kota</t>
  </si>
  <si>
    <t>Pembangunan dan Rehabilitasi Rumah Korban Bencana atau Relokasi Program Kabupaten/Kota</t>
  </si>
  <si>
    <t>Penerbitan Izin Pembangunan dan Pengembangan Perumahan</t>
  </si>
  <si>
    <t>Fasilitasi Pemenuhan Komitmen Penerbitan Izin Pembangunan dan Pengembangan Perumahan Terintegrasi secara Elektronik</t>
  </si>
  <si>
    <t>Koordinasi dan Sinkronisasi Pengendalian Pembangunan dan Pengembangan Perumahan</t>
  </si>
  <si>
    <t>Penanganan Gangguan Ketenteraman dan Ketertiban Umum dalam 1 (satu) Daerah Kabupaten/Kota</t>
  </si>
  <si>
    <t>Pelaksanaan Pelatihan berdasarkan Unit Kompetensi</t>
  </si>
  <si>
    <t>Pelaksanaan Penyuluhan Pertanian</t>
  </si>
  <si>
    <t>Pengelolaan Keanekaragaman Hayati Kabupaten/Kota</t>
  </si>
  <si>
    <t>Pengelolaan Sampah</t>
  </si>
  <si>
    <t>Pengumpulan Data Kependudukan dan Pemanfaatan dan Penyajian Database Kependudukan</t>
  </si>
  <si>
    <t>Penyelenggaraan Pengelolaan Informasi Administrasi Kependudukan</t>
  </si>
  <si>
    <t>Penyediaan Perlengkapan Jalan di Jalan Kabupaten/Kota</t>
  </si>
  <si>
    <t>Pengelolaan Terminal Penumpang Tipe C</t>
  </si>
  <si>
    <t>Penerbitan Izin Penyelenggaraan dan Pembangunan Fasilitas Parkir</t>
  </si>
  <si>
    <t>Pengujian Berkala Kendaraan Bermotor</t>
  </si>
  <si>
    <t>Pelaksanaan Manajemen dan Rekayasa Lalu Lintas untuk Jaringan Jalan Kabupaten/Kota</t>
  </si>
  <si>
    <t>Persetujuan Hasil Analisis Dampak Lalu Lintas (Andalalin) untuk Jalan Kabupaten/Kota</t>
  </si>
  <si>
    <t>Audit dan Inspeksi Keselamatan LLAJ di Jalan</t>
  </si>
  <si>
    <t>Penyediaan Angkutan Umum untuk Jasa Angkutan Orang dan/atau Barang antar Kota dalam 1 (satu) Daerah Kabupaten/Kota</t>
  </si>
  <si>
    <t>Penerbitan Izin Penyelenggaraan Angkutan Orang dalam Trayek Lintas Daerah Kabupaten/Kota dalam 1 (satu) Daerah Kabupaten/Kota</t>
  </si>
  <si>
    <t>PROGRAM PENGELOLAAN PERKERETAAPIAN</t>
  </si>
  <si>
    <t>Penetapan Rencana Induk Perkeretaapian</t>
  </si>
  <si>
    <t>Pengelolaan Nama Domain yang telah Ditetapkan oleh Pemerintah Pusat dan Sub Domain di Lingkup Pemerintah Daerah Kabupaten/Kota</t>
  </si>
  <si>
    <t>Penyelenggaraan Sistem Jaringan Intra Pemerintah Daerah</t>
  </si>
  <si>
    <t>Pengelolaan e-government Di Lingkup Pemerintah Daerah Kabupaten/Kota</t>
  </si>
  <si>
    <t>Pengelolaan Pusat Data Pemerintahan Daerah</t>
  </si>
  <si>
    <t>Penyelenggaraan Sistem Komunikasi Intra Pemerintah Daerah</t>
  </si>
  <si>
    <t>Koordinasi dan Sinkronisasi Sistem Keamanan Informasi</t>
  </si>
  <si>
    <t>Pengembangan dan Pengelolaan Ekosistem Kabupaten/Kota Cerdas dan Kota Cerdas</t>
  </si>
  <si>
    <t>Pemberdayaan Usaha Mikro yang Dilakukan melalui Pendataan, Kemitraan, Kemudahan Perizinan, Penguatan Kelembagaan dan Koordinasi dengan Para Pemangku Kepentingan</t>
  </si>
  <si>
    <t>Pengembangan Usaha Mikro dengan Orientasi Peningkatan Skala Usaha Menjadi Usaha Kecil</t>
  </si>
  <si>
    <t>Pelayanan Perizinan dan Non Perizinan secara Terpadu Satu Pintu dibidang Penanaman Modal yang menjadi Kewenangan Daerah Kabupaten/ Kota</t>
  </si>
  <si>
    <t>Pengelolaan Data dan Informasi Perizinan dan Non Perizinan yang Terintegrasi pada Tingkat Daerah Kabupaten/Kota</t>
  </si>
  <si>
    <t>Dinas Pemuda, Olah Raga dan Pariwisata Kota Samarinda</t>
  </si>
  <si>
    <t>Pelaksanaan Peningkatan Kapasitas Sumber Daya Manusia Pariwisata dan Ekonomi Kreatif Tingkat Dasar</t>
  </si>
  <si>
    <t>Analisis Data dan Informasi Pemerintahan Daerah Bidang Perencanaan Pembangunan Daerah</t>
  </si>
  <si>
    <t>Pembinaan dan Pemanfaatan Data dan Informasi Perencanaan Pembangunan SKPD</t>
  </si>
  <si>
    <t>Kegiatan Pemberdayaan Kelurahan</t>
  </si>
  <si>
    <t>Kelurahan Gunung Lingai</t>
  </si>
  <si>
    <t>Dinas Koperasi, Usaha Kecil Menengah dan Perindustrian Kota Samarinda</t>
  </si>
  <si>
    <t>Penerbitan Izin Pengelolaan Pasar Rakyat, Pusat Perbelanjaan, dan Izin Usaha Toko Swalayan</t>
  </si>
  <si>
    <t xml:space="preserve">Badan Perencanaan Pembangunan Daerah, Penelitian dan Pengembangan Kota Samarinda </t>
  </si>
  <si>
    <t xml:space="preserve">Dinas Ketahanan Pangan dan Pertanian kota Samarinda </t>
  </si>
  <si>
    <t xml:space="preserve">Sub Kegiatan Penyusunan Rencana Teknis dan Dokumen Lingkungan Hidup untuk Konstruksi Bendungan, Embung, dan Bangunan Penampung Air Lainnya
</t>
  </si>
  <si>
    <t>Sub Kegiatan Penyusunan Rencana Teknis dan Dokumen Lingkungan  Hidup  untuk  Konstruksi  Air Tanah dan Air Baku</t>
  </si>
  <si>
    <t>Sub Kegiatan Penyusunan Pola dan Rencana Pengelolaan SDA WS Kewenangan Kabupaten/Kota</t>
  </si>
  <si>
    <t>Sub Kegiatan Pembangunan Embung dan Penampung Air Lainnya</t>
  </si>
  <si>
    <t>Sub Kegiatan Pembangunan Sumur Air Tanah untuk Air Baku</t>
  </si>
  <si>
    <t>Sub Kegiatan Pembangunan Tanggul Sungai</t>
  </si>
  <si>
    <t>Sub Kegiatan Pembangunan Bangunan Perkuatan Tebing</t>
  </si>
  <si>
    <t>Sub Kegiatan Pembangunan Pintu Air/Bendung Pengendali Banjir</t>
  </si>
  <si>
    <t>Sub Kegiatan Rehabilitasi  Stasiun Pompa Banjir</t>
  </si>
  <si>
    <t>Sub Kegiatan Rehabilitasi Polder/Kolam Retensi</t>
  </si>
  <si>
    <t>Sub Kegiatan Peningkatan Bangunan Perkuatan Tebing</t>
  </si>
  <si>
    <t>Sub Kegiatan Peningkatan Pintu Air/Bendung Pengendali Banjir</t>
  </si>
  <si>
    <t>Sub Kegiatan Normalisasi/Restorasi Sungai</t>
  </si>
  <si>
    <t>Sub Kegiatan Operasi dan Pemeliharaan Bendungan</t>
  </si>
  <si>
    <t>Sub Kegiatan Operasi dan Pemeliharaan Embung dan Penampung Air Lainnya</t>
  </si>
  <si>
    <t>Sub Kegiatan Operasi  dan  Pemeliharaan  Sumur  Air  Tanah untuk Air Baku</t>
  </si>
  <si>
    <t>Sub Kegiatan Operasi dan Pemeliharaan Embung Air Baku</t>
  </si>
  <si>
    <t>Sub Kegiatan Operasi dan Pemeliharaan Unit Air Baku</t>
  </si>
  <si>
    <t>Sub Kegiatan Operasi dan Pemeliharaan Stasiun Pompa Banjir</t>
  </si>
  <si>
    <t>Sub Kegiatan Operasi dan Pemeliharaan  Polder/Kolam Retensi</t>
  </si>
  <si>
    <t>Sub Kegiatan Pengelolaan Hidrologi dan Kualitas  Air WS Kewenangan Kabupaten/Kota</t>
  </si>
  <si>
    <t>Sub Kegiatan Pembinaan dan Pemberdayaan Kelembagaan Pengelolaan SDA Kewenangan Kabupaten/Kota</t>
  </si>
  <si>
    <t>Sub Kegiatan Evaluasi dan Rekomendasi Teknis (Rekomtek) Pemanfaatan SDA WS Kewenangan Kabupaten/Kota</t>
  </si>
  <si>
    <t>Sub Kegiatan Koordinasi dan Sinkronisasi Peningkatan Kapasitas Kelembagaan Pengelolaan SDA Kewenangan Kabupaten/Kota</t>
  </si>
  <si>
    <t>Sub Kegiatan Operasi dan Pemeliharaan Sungai</t>
  </si>
  <si>
    <t>Sub Kegiatan Penyusunan Rencana Teknis dan Dokumen Lingkungan Hidup untuk Konstruksi Pengendali Banjir, Lahar, Drainase Utama Perkotaan dan Pengaman Pantai</t>
  </si>
  <si>
    <t>Sub Kegiatan Penyusunan Rencana Teknis dan Dokumen Lingkungan Hidup untuk Konstruksi Irigasi dan Rawa</t>
  </si>
  <si>
    <t>Sub Kegiatan Pembangunan Jaringan Irigasi Permukaan</t>
  </si>
  <si>
    <t>Sub Kegiatan Peningkatan Jaringan Irigasi Permukaan</t>
  </si>
  <si>
    <t>Sub Kegiatan Rehabilitasi Jaringan Irigasi Permukaan</t>
  </si>
  <si>
    <t>Sub Kegiatan Operasi dan Pemeliharaan Jaringan Irigasi Permukaan</t>
  </si>
  <si>
    <t>Sub Kegiatan Operasional Unit Pengelola Irigasi</t>
  </si>
  <si>
    <t>Sub Kegiatan Pengelolaan dan Pengawasan Alokasi Air Irigasi</t>
  </si>
  <si>
    <t>Sub Kegiatan Pembangunan Sistem Drainase Perkotaan</t>
  </si>
  <si>
    <t>Sub Kegiatan Peningkatan Saluran Drainase Perkotaan</t>
  </si>
  <si>
    <t>Sub Kegiatan Operasi dan Pemeliharaan Sistem Drainase</t>
  </si>
  <si>
    <t>Sub Kegiatan Pembangunan Sistem Drainase Lingkungan</t>
  </si>
  <si>
    <t>Sub Kegiatan Peningkatan Saluran Drainase Lingkungan</t>
  </si>
  <si>
    <t>Sub Kegiatan Pencegahan Gangguan Ketenteraman dan Ketertiban Umum melalui Deteksi Dini dan Cegah Dini, Pembinaan dan Penyuluhan, Pelaksanaan Patroli, Pengamanan, dan Pengawalan</t>
  </si>
  <si>
    <t>Sub Kegiatan Penindakan atas Gangguan Ketenteraman dan Ketertiban Umum Berdasarkan Perda dan Perkada melalui Penertiban dan Penanganan Unjuk Rasa dan Kerusuhan Massa</t>
  </si>
  <si>
    <t>Sub Kegiatan Penyediaan Layanan dalam rangka Dampak Penegakan Perda dan Perkada</t>
  </si>
  <si>
    <r>
      <t>Sub Kegiatan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rFont val="Calibri"/>
        <family val="2"/>
      </rPr>
      <t>Pengurangan Sampah dengan melakukan Pembatasan, Pendauran Ulang dan Pemanfaatan Kembali</t>
    </r>
  </si>
  <si>
    <t>Sub Kegiatan Penanganan Sampah dengan melakukan Pemilahan, Pengumpulan, Pengangkutan, Pengolahan, dan Pemrosesan Akhir Sampah di TPA/TPST/SPA Kabupaten/Kota</t>
  </si>
  <si>
    <t>Sub Kegiatan Peningkatan Peran serta Masyarakat dalam Pengelolaan Persampahan</t>
  </si>
  <si>
    <t>Sub Kegiatan Koordinasi dan Sinkronisasi Penyediaan Prasarana dan Sarana Pengelolaan Persampahan</t>
  </si>
  <si>
    <t>Sub Kegiatan Penyediaan  Sarana  dan  Prasarana  Pengelolaan Persampahan di TPA/TPST/SPA Kabupaten/Kota</t>
  </si>
  <si>
    <t>Pagu Di Program Unggulan 9</t>
  </si>
  <si>
    <t>Sub Kegiatan Pelaksanaan penyusunan rencana induk perkeretaapian</t>
  </si>
  <si>
    <t>Sub Kegiatan Penetapan kebijakan dan sosialisasi rencana induk perkeretaapian</t>
  </si>
  <si>
    <t>Pembangunan prasarana jalan dijalan kabupaten/kota</t>
  </si>
  <si>
    <t>Penyediaan perlengkapan jalan di jalan kabupaten/kota</t>
  </si>
  <si>
    <t xml:space="preserve">Rehabilitasi dan pemeliharaan prasarana jalan </t>
  </si>
  <si>
    <t>Rehabilitasi dan pemeliharaan  perlengkapan jalan</t>
  </si>
  <si>
    <t>Rehabilitasi dan pemeliharaan terminal (fasilitas utama dan pendukung)</t>
  </si>
  <si>
    <t>Koordinasi dan sinkronisasi pelaksanaan izin penyelenggaraan dan pembangunan fasilitas parkir kewenangan kabupaten/kota</t>
  </si>
  <si>
    <t>Penyediaan  sarana dan prasarana pengujian berkala kendaraan bermotor</t>
  </si>
  <si>
    <t>Penyediaan bukti lulus uji pengujian berkala kendaraan bermotor</t>
  </si>
  <si>
    <t>Sosialisasi standar operasional prosedur pengujian berkala kendaraan bermotor</t>
  </si>
  <si>
    <t>Penataan manajemen dan rekayasa lalu lintas untuk jaringan jalan Kabupaten/Kota</t>
  </si>
  <si>
    <t>Uji coba dan sosialisasi pelaksanaan manajemen dan rekayasa lalu lintas untuk jaringan jalan kabupaten/kota</t>
  </si>
  <si>
    <t>Forum lalu lintas dan angkutan jalan Kabupaten/Kota</t>
  </si>
  <si>
    <t>Pengendalian dan pengawasan ketersediaan angkutan umum untuk jasa angkutan orang dan/atau barang antar kota dalam 1 (satu) kabupaten/kota</t>
  </si>
  <si>
    <t>Fasilitas pemenuhan persyaratan perolehan izin penyelenggaraan angkutan orang dalam trayek kewenangan kabupaten/kota dalam system pelayanan perizinan berusaha terintegrasi secara elektronik</t>
  </si>
  <si>
    <t>Koordinasi dan sinkronisasi pengawasan pelaksanaan izin penyelenggaraan angkutan orang dalam trayek kewenangan kabupaten/kota</t>
  </si>
  <si>
    <t>Penyusunan Rencana, Kebijakan, Strategi Pengembangan Jaringan Jalan Serta Perencanaan Teknis Penyelenggaraan Jalan dan Jembatan</t>
  </si>
  <si>
    <t>Pembebasan Lahan/Tanah untuk
Penyelenggaraan Jalan</t>
  </si>
  <si>
    <t>Rekonstruksi Jalan</t>
  </si>
  <si>
    <t>Sub Kegiatan Kerjasama Pemanfaatan Data Kependudukan</t>
  </si>
  <si>
    <t>Sub Kegiatan Penyelenggaraan Pemanfaatan Data Kependudukan</t>
  </si>
  <si>
    <t>Pengembangan Aplikasi dan Proses Bisnis Pemerintahan Berbasis Elektronik</t>
  </si>
  <si>
    <t>Pengembangan dan Pengelolaan Sumber Daya Teknologi Informasi dan Komunikasi Pemerintah Daerah</t>
  </si>
  <si>
    <t xml:space="preserve">Sub Kegiatan Penyediaan Pelayanan Terpadu Perizinan dan Non perizinan Berbasis Sistem Pelayanan Perizinan Berusaha Terintegrasi secara Elektronik </t>
  </si>
  <si>
    <t>Sub Kegiatan Pengolahan, Penyajian dan Pemanfaatan Data dan Informasi Perizinan dan Non Perizinan berbasis Sistem Pelayanan Perizinan Berusaha Terintegrasi Secara Elektronik</t>
  </si>
  <si>
    <t>Sub Kegiatan Analisis Data dan Informasi Perencanaan Pembangunan Daerah</t>
  </si>
  <si>
    <t>Pembangunan Gedung/Ruang Kelas/Ruang Guru PAUD</t>
  </si>
  <si>
    <t>Rehabilitasi Sedang/Berat Pembangunan Sarana, Prasarana dan Utilitas PAUD</t>
  </si>
  <si>
    <t>Sub Kegiatan Pembentukan Badan Usaha Milik Petani</t>
  </si>
  <si>
    <t xml:space="preserve">Konfirmasi OPD, PROGUL No 9 lebih tepat pada sub kegiatan ini karena pekerjaan yang dianggarkan berkaitan dengan PROGUL No 9, </t>
  </si>
  <si>
    <t>Sub Kegiatan Pengelolaan Ruang Terbuka Hijau (RTH)</t>
  </si>
  <si>
    <t>Sub Kegiatan Proses Pelaksanaan Pendidikan dan Pelatihan Keterampilan bagi Pencari Kerja berdasarkan Klaster Kompetensi</t>
  </si>
  <si>
    <t>Sub Kegiatan Koordinasi Lintas Lembaga dan Kerja Sama dengan Sektor Swasta untuk Penyediaan Instruktur serta Sarana dan Prasarana Lembaga Pelatihan Kerja</t>
  </si>
  <si>
    <t>Sub Kegiatan Pengembangan Kompetensi SDM Pariwisata dan Ekonomi Kreatif Tingkat Dasar</t>
  </si>
  <si>
    <t>Sub Kegiatan Peningkatan Peran Serta Masyarakat dalam Pengembangan Kemitraan Pariwisata</t>
  </si>
  <si>
    <t>Sub Kegiatan Fasilitasi Pengembangan Kompetensi Sumber Daya Manusia Ekonomi Kreatif</t>
  </si>
  <si>
    <t>Sub Kegiatan  pendataan potensi dan pengembangaan usaha mikro.</t>
  </si>
  <si>
    <t>Sub Kegiatan pemberdayaan melalui kemitraan usahan mikro.</t>
  </si>
  <si>
    <t>Sub Kegiatan pemberdayaan kelembagaan potensi dan usaha mikro.</t>
  </si>
  <si>
    <t>Sub Kegiatan fasilitasi usaha mikro menjadi usaha kecil dalam pengembangan produksi dan pengolahan, pemasaran, sdm, serta desain dan teknologi.</t>
  </si>
  <si>
    <t>Kecamatan pagu di Program Unggulan No 1 dan PERKIM pagu di Program Unggulan No 9</t>
  </si>
  <si>
    <t>DISKOMINFO pagu di Program Unggulan No 5</t>
  </si>
  <si>
    <t>Kecamatan Pagu Di Program Unggulan No 1</t>
  </si>
  <si>
    <t>Hasil 
(Penjelasan singkat, padat dan jelas)</t>
  </si>
  <si>
    <t>Pembangunan Sarana Dan Prasarana Kelurahan</t>
  </si>
  <si>
    <t>PemberIayaan Masyarakat di Kelurahan</t>
  </si>
  <si>
    <t>Sub Kegiatan Pembangunan Polder/Kolam Retensi</t>
  </si>
  <si>
    <t>RESUME REALISASI BERDASARKAN 10 PROGRAM UNGGULAN</t>
  </si>
  <si>
    <t>Bulan : Januari 2023</t>
  </si>
  <si>
    <t>Sub Kegiatan Penyusunan Rencana, Kebijakan, Strategi dan Teknis Sistem Drainase Perkotaan</t>
  </si>
  <si>
    <t>Identifikasi perumahan di lokasi rawan bencana atau terkena relokasi program kabupaten/kota</t>
  </si>
  <si>
    <t>Identifikasi lahan-lahan potensial sebagai lokasi relokasi perumahan</t>
  </si>
  <si>
    <t>Pengumpulan data rumah korban bencana kejadian sebelumnya yang belum tertangani</t>
  </si>
  <si>
    <t>Bulan : April 2023</t>
  </si>
  <si>
    <t>Bulan : Mei 2023</t>
  </si>
  <si>
    <t>SARANA dan PRASARANA</t>
  </si>
  <si>
    <t>PEMBERDAYAAN MASYARAKAT</t>
  </si>
  <si>
    <t>Bulan : Juni 2023</t>
  </si>
  <si>
    <t>Bulan : Juli 2023</t>
  </si>
  <si>
    <t>Bulan : Agustus 2023</t>
  </si>
  <si>
    <t>Bulan : September 2023</t>
  </si>
  <si>
    <t>Bulan : Oktober 2023 PERUBAHAN</t>
  </si>
  <si>
    <t>Bulan : November 2023 PERUBAHAN</t>
  </si>
  <si>
    <t>Bulan : Desember 2023 PERUBAHAN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</si>
</sst>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_-;\-* #,##0_-;_-* &quot;-&quot;_-;_-@_-"/>
    <numFmt numFmtId="166" formatCode="_-* #,##0.00_-;\-* #,##0.00_-;_-* &quot;-&quot;??_-;_-@_-"/>
  </numFmts>
  <fonts count="64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charset val="1"/>
      <scheme val="minor"/>
    </font>
    <font>
      <b/>
      <i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20"/>
      <name val="Calibri"/>
      <family val="2"/>
    </font>
    <font>
      <i/>
      <sz val="11"/>
      <name val="Calibri"/>
      <family val="2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10"/>
      <color indexed="8"/>
      <name val="Arial"/>
      <family val="2"/>
    </font>
    <font>
      <b/>
      <sz val="11"/>
      <color theme="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692">
    <xf numFmtId="0" fontId="0" fillId="0" borderId="0"/>
    <xf numFmtId="0" fontId="28" fillId="0" borderId="0"/>
    <xf numFmtId="9" fontId="30" fillId="0" borderId="0" applyFont="0" applyFill="0" applyBorder="0" applyAlignment="0" applyProtection="0"/>
    <xf numFmtId="0" fontId="27" fillId="0" borderId="0"/>
    <xf numFmtId="165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41" fontId="30" fillId="0" borderId="0" applyFont="0" applyFill="0" applyBorder="0" applyAlignment="0" applyProtection="0"/>
    <xf numFmtId="0" fontId="25" fillId="0" borderId="0"/>
    <xf numFmtId="165" fontId="30" fillId="0" borderId="0" applyFont="0" applyFill="0" applyBorder="0" applyAlignment="0" applyProtection="0"/>
    <xf numFmtId="0" fontId="30" fillId="0" borderId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4" fillId="0" borderId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34" fillId="0" borderId="0"/>
    <xf numFmtId="0" fontId="22" fillId="0" borderId="0"/>
    <xf numFmtId="9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35" fillId="0" borderId="0"/>
    <xf numFmtId="0" fontId="34" fillId="0" borderId="0"/>
    <xf numFmtId="165" fontId="28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30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30" fillId="0" borderId="0" applyFont="0" applyFill="0" applyBorder="0" applyAlignment="0" applyProtection="0"/>
    <xf numFmtId="0" fontId="19" fillId="0" borderId="0"/>
    <xf numFmtId="165" fontId="30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9" fillId="0" borderId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6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0" fontId="18" fillId="0" borderId="0"/>
    <xf numFmtId="165" fontId="36" fillId="0" borderId="0" applyFont="0" applyFill="0" applyBorder="0" applyAlignment="0" applyProtection="0"/>
    <xf numFmtId="0" fontId="36" fillId="0" borderId="0"/>
    <xf numFmtId="165" fontId="27" fillId="0" borderId="0" applyFon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36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37" fillId="0" borderId="0"/>
    <xf numFmtId="0" fontId="18" fillId="0" borderId="0"/>
    <xf numFmtId="9" fontId="18" fillId="0" borderId="0" applyFont="0" applyFill="0" applyBorder="0" applyAlignment="0" applyProtection="0"/>
    <xf numFmtId="165" fontId="36" fillId="0" borderId="0" applyFont="0" applyFill="0" applyBorder="0" applyAlignment="0" applyProtection="0"/>
    <xf numFmtId="0" fontId="38" fillId="0" borderId="0"/>
    <xf numFmtId="0" fontId="37" fillId="0" borderId="0"/>
    <xf numFmtId="165" fontId="28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36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36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36" fillId="0" borderId="0" applyFont="0" applyFill="0" applyBorder="0" applyAlignment="0" applyProtection="0"/>
    <xf numFmtId="0" fontId="18" fillId="0" borderId="0"/>
    <xf numFmtId="165" fontId="36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36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0" fillId="0" borderId="0"/>
    <xf numFmtId="9" fontId="38" fillId="0" borderId="0" applyFont="0" applyFill="0" applyBorder="0" applyAlignment="0" applyProtection="0"/>
    <xf numFmtId="0" fontId="48" fillId="0" borderId="0">
      <alignment vertical="top"/>
    </xf>
    <xf numFmtId="0" fontId="17" fillId="0" borderId="0"/>
    <xf numFmtId="0" fontId="16" fillId="0" borderId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5" fillId="0" borderId="0"/>
    <xf numFmtId="0" fontId="15" fillId="0" borderId="0"/>
    <xf numFmtId="41" fontId="27" fillId="0" borderId="0" applyFont="0" applyFill="0" applyBorder="0" applyAlignment="0" applyProtection="0"/>
    <xf numFmtId="0" fontId="27" fillId="0" borderId="0"/>
    <xf numFmtId="0" fontId="14" fillId="0" borderId="0"/>
    <xf numFmtId="165" fontId="14" fillId="0" borderId="0" applyFont="0" applyFill="0" applyBorder="0" applyAlignment="0" applyProtection="0"/>
    <xf numFmtId="41" fontId="27" fillId="0" borderId="0" applyFont="0" applyFill="0" applyBorder="0" applyAlignment="0" applyProtection="0"/>
    <xf numFmtId="0" fontId="27" fillId="0" borderId="0"/>
    <xf numFmtId="0" fontId="13" fillId="0" borderId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3" fillId="0" borderId="0"/>
    <xf numFmtId="0" fontId="13" fillId="0" borderId="0"/>
    <xf numFmtId="41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1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2" fillId="0" borderId="0"/>
    <xf numFmtId="165" fontId="27" fillId="0" borderId="0" applyFont="0" applyFill="0" applyBorder="0" applyAlignment="0" applyProtection="0"/>
    <xf numFmtId="0" fontId="27" fillId="0" borderId="0"/>
    <xf numFmtId="165" fontId="27" fillId="0" borderId="0" applyFont="0" applyFill="0" applyBorder="0" applyAlignment="0" applyProtection="0"/>
    <xf numFmtId="0" fontId="12" fillId="0" borderId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2" fillId="0" borderId="0"/>
    <xf numFmtId="165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12" fillId="0" borderId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2" fillId="0" borderId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0" fontId="12" fillId="0" borderId="0"/>
    <xf numFmtId="165" fontId="36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2" fillId="0" borderId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36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6" fontId="36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36" fillId="0" borderId="0" applyFont="0" applyFill="0" applyBorder="0" applyAlignment="0" applyProtection="0"/>
    <xf numFmtId="0" fontId="12" fillId="0" borderId="0"/>
    <xf numFmtId="165" fontId="36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2" fillId="0" borderId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36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2" fillId="0" borderId="0"/>
    <xf numFmtId="0" fontId="12" fillId="0" borderId="0"/>
    <xf numFmtId="165" fontId="28" fillId="0" borderId="0" applyFont="0" applyFill="0" applyBorder="0" applyAlignment="0" applyProtection="0"/>
    <xf numFmtId="0" fontId="11" fillId="0" borderId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1" fillId="0" borderId="0"/>
    <xf numFmtId="165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11" fillId="0" borderId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0" fontId="11" fillId="0" borderId="0"/>
    <xf numFmtId="165" fontId="51" fillId="0" borderId="0" applyFont="0" applyFill="0" applyBorder="0" applyAlignment="0" applyProtection="0"/>
    <xf numFmtId="0" fontId="51" fillId="0" borderId="0"/>
    <xf numFmtId="165" fontId="27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5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52" fillId="0" borderId="0"/>
    <xf numFmtId="0" fontId="11" fillId="0" borderId="0"/>
    <xf numFmtId="9" fontId="11" fillId="0" borderId="0" applyFont="0" applyFill="0" applyBorder="0" applyAlignment="0" applyProtection="0"/>
    <xf numFmtId="165" fontId="51" fillId="0" borderId="0" applyFont="0" applyFill="0" applyBorder="0" applyAlignment="0" applyProtection="0"/>
    <xf numFmtId="0" fontId="53" fillId="0" borderId="0"/>
    <xf numFmtId="0" fontId="52" fillId="0" borderId="0"/>
    <xf numFmtId="165" fontId="28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51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6" fontId="51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51" fillId="0" borderId="0" applyFont="0" applyFill="0" applyBorder="0" applyAlignment="0" applyProtection="0"/>
    <xf numFmtId="0" fontId="11" fillId="0" borderId="0"/>
    <xf numFmtId="165" fontId="51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5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54" fillId="0" borderId="0"/>
    <xf numFmtId="9" fontId="53" fillId="0" borderId="0" applyFont="0" applyFill="0" applyBorder="0" applyAlignment="0" applyProtection="0"/>
    <xf numFmtId="0" fontId="55" fillId="0" borderId="0">
      <alignment vertical="top"/>
    </xf>
    <xf numFmtId="0" fontId="11" fillId="0" borderId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/>
    <xf numFmtId="0" fontId="10" fillId="0" borderId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5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0" fillId="0" borderId="0"/>
    <xf numFmtId="0" fontId="10" fillId="0" borderId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10" fillId="0" borderId="0"/>
    <xf numFmtId="165" fontId="27" fillId="0" borderId="0" applyFont="0" applyFill="0" applyBorder="0" applyAlignment="0" applyProtection="0"/>
    <xf numFmtId="0" fontId="27" fillId="0" borderId="0"/>
    <xf numFmtId="0" fontId="10" fillId="0" borderId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0" fillId="0" borderId="0"/>
    <xf numFmtId="165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7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10" fillId="0" borderId="0"/>
    <xf numFmtId="165" fontId="27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9" fontId="27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0" fillId="0" borderId="0"/>
    <xf numFmtId="0" fontId="10" fillId="0" borderId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5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0" fillId="0" borderId="0"/>
    <xf numFmtId="0" fontId="10" fillId="0" borderId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10" fillId="0" borderId="0"/>
    <xf numFmtId="165" fontId="27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10" fillId="0" borderId="0"/>
    <xf numFmtId="165" fontId="27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8" fillId="0" borderId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7" fillId="0" borderId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7" fillId="0" borderId="0"/>
    <xf numFmtId="166" fontId="2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/>
    <xf numFmtId="164" fontId="27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165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0" fontId="2" fillId="0" borderId="0"/>
    <xf numFmtId="165" fontId="27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0" fontId="2" fillId="0" borderId="0"/>
    <xf numFmtId="165" fontId="8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0" fontId="27" fillId="0" borderId="0"/>
    <xf numFmtId="165" fontId="27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" fillId="0" borderId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7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7" fillId="0" borderId="0" applyFont="0" applyFill="0" applyBorder="0" applyAlignment="0" applyProtection="0"/>
    <xf numFmtId="0" fontId="48" fillId="0" borderId="0">
      <alignment vertical="top"/>
    </xf>
    <xf numFmtId="0" fontId="2" fillId="0" borderId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5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5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166" fontId="2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7" fillId="0" borderId="0" applyFont="0" applyFill="0" applyBorder="0" applyAlignment="0" applyProtection="0"/>
    <xf numFmtId="0" fontId="1" fillId="0" borderId="0"/>
    <xf numFmtId="165" fontId="27" fillId="0" borderId="0" applyFont="0" applyFill="0" applyBorder="0" applyAlignment="0" applyProtection="0"/>
  </cellStyleXfs>
  <cellXfs count="286">
    <xf numFmtId="0" fontId="0" fillId="0" borderId="0" xfId="0"/>
    <xf numFmtId="4" fontId="38" fillId="0" borderId="0" xfId="172" applyNumberFormat="1" applyAlignment="1">
      <alignment horizontal="right" vertical="center"/>
    </xf>
    <xf numFmtId="0" fontId="38" fillId="0" borderId="0" xfId="172"/>
    <xf numFmtId="0" fontId="38" fillId="0" borderId="0" xfId="172" applyProtection="1">
      <protection locked="0"/>
    </xf>
    <xf numFmtId="0" fontId="38" fillId="0" borderId="0" xfId="172" applyAlignment="1" applyProtection="1">
      <alignment horizontal="left" vertical="center" wrapText="1"/>
      <protection locked="0"/>
    </xf>
    <xf numFmtId="0" fontId="38" fillId="0" borderId="0" xfId="172" applyAlignment="1" applyProtection="1">
      <alignment horizontal="center" vertical="center"/>
      <protection locked="0"/>
    </xf>
    <xf numFmtId="0" fontId="38" fillId="0" borderId="0" xfId="172" applyAlignment="1" applyProtection="1">
      <alignment horizontal="left"/>
      <protection locked="0"/>
    </xf>
    <xf numFmtId="0" fontId="38" fillId="0" borderId="0" xfId="172" applyAlignment="1" applyProtection="1">
      <alignment vertical="center"/>
      <protection locked="0"/>
    </xf>
    <xf numFmtId="10" fontId="0" fillId="0" borderId="0" xfId="305" applyNumberFormat="1" applyFont="1" applyFill="1" applyBorder="1" applyAlignment="1" applyProtection="1">
      <alignment horizontal="center" vertical="center" wrapText="1"/>
      <protection locked="0"/>
    </xf>
    <xf numFmtId="0" fontId="42" fillId="0" borderId="0" xfId="172" applyFont="1" applyAlignment="1" applyProtection="1">
      <alignment horizontal="left" vertical="center" wrapText="1"/>
      <protection locked="0"/>
    </xf>
    <xf numFmtId="10" fontId="43" fillId="2" borderId="1" xfId="305" applyNumberFormat="1" applyFont="1" applyFill="1" applyBorder="1" applyAlignment="1" applyProtection="1">
      <alignment horizontal="center" vertical="center" wrapText="1"/>
      <protection locked="0"/>
    </xf>
    <xf numFmtId="0" fontId="45" fillId="7" borderId="1" xfId="173" applyFont="1" applyFill="1" applyBorder="1" applyAlignment="1" applyProtection="1">
      <alignment horizontal="center" vertical="center" wrapText="1"/>
      <protection locked="0"/>
    </xf>
    <xf numFmtId="4" fontId="43" fillId="6" borderId="1" xfId="173" applyNumberFormat="1" applyFont="1" applyFill="1" applyBorder="1" applyAlignment="1" applyProtection="1">
      <alignment horizontal="right" vertical="center" wrapText="1"/>
      <protection locked="0"/>
    </xf>
    <xf numFmtId="10" fontId="46" fillId="6" borderId="1" xfId="305" applyNumberFormat="1" applyFont="1" applyFill="1" applyBorder="1" applyAlignment="1">
      <alignment horizontal="center" vertical="center"/>
    </xf>
    <xf numFmtId="4" fontId="43" fillId="6" borderId="6" xfId="173" applyNumberFormat="1" applyFont="1" applyFill="1" applyBorder="1" applyAlignment="1" applyProtection="1">
      <alignment horizontal="right" vertical="center" wrapText="1"/>
      <protection locked="0"/>
    </xf>
    <xf numFmtId="0" fontId="38" fillId="0" borderId="1" xfId="172" applyBorder="1"/>
    <xf numFmtId="0" fontId="46" fillId="12" borderId="1" xfId="172" applyFont="1" applyFill="1" applyBorder="1"/>
    <xf numFmtId="0" fontId="47" fillId="12" borderId="1" xfId="172" applyFont="1" applyFill="1" applyBorder="1"/>
    <xf numFmtId="0" fontId="39" fillId="13" borderId="1" xfId="172" applyFont="1" applyFill="1" applyBorder="1"/>
    <xf numFmtId="0" fontId="38" fillId="13" borderId="1" xfId="172" applyFill="1" applyBorder="1"/>
    <xf numFmtId="0" fontId="38" fillId="0" borderId="1" xfId="172" applyBorder="1" applyAlignment="1">
      <alignment horizontal="left" vertical="center" wrapText="1"/>
    </xf>
    <xf numFmtId="4" fontId="38" fillId="0" borderId="1" xfId="172" applyNumberFormat="1" applyBorder="1" applyAlignment="1">
      <alignment horizontal="right" vertical="center" wrapText="1"/>
    </xf>
    <xf numFmtId="10" fontId="0" fillId="0" borderId="1" xfId="305" applyNumberFormat="1" applyFont="1" applyFill="1" applyBorder="1" applyAlignment="1">
      <alignment horizontal="center" vertical="center" wrapText="1"/>
    </xf>
    <xf numFmtId="0" fontId="39" fillId="0" borderId="1" xfId="172" applyFont="1" applyBorder="1"/>
    <xf numFmtId="0" fontId="38" fillId="11" borderId="1" xfId="172" applyFill="1" applyBorder="1" applyAlignment="1">
      <alignment horizontal="center" vertical="center"/>
    </xf>
    <xf numFmtId="0" fontId="38" fillId="11" borderId="1" xfId="172" applyFill="1" applyBorder="1"/>
    <xf numFmtId="4" fontId="39" fillId="11" borderId="1" xfId="172" applyNumberFormat="1" applyFont="1" applyFill="1" applyBorder="1" applyAlignment="1">
      <alignment vertical="center"/>
    </xf>
    <xf numFmtId="10" fontId="39" fillId="11" borderId="1" xfId="305" applyNumberFormat="1" applyFont="1" applyFill="1" applyBorder="1" applyAlignment="1">
      <alignment horizontal="center" vertical="center"/>
    </xf>
    <xf numFmtId="0" fontId="38" fillId="11" borderId="1" xfId="172" applyFill="1" applyBorder="1" applyAlignment="1">
      <alignment horizontal="left" vertical="center" wrapText="1"/>
    </xf>
    <xf numFmtId="0" fontId="38" fillId="0" borderId="1" xfId="172" applyBorder="1" applyAlignment="1">
      <alignment horizontal="center" vertical="center"/>
    </xf>
    <xf numFmtId="0" fontId="38" fillId="0" borderId="1" xfId="172" applyBorder="1" applyAlignment="1">
      <alignment vertical="center" wrapText="1"/>
    </xf>
    <xf numFmtId="0" fontId="46" fillId="12" borderId="1" xfId="172" applyFont="1" applyFill="1" applyBorder="1" applyAlignment="1">
      <alignment vertical="center"/>
    </xf>
    <xf numFmtId="0" fontId="39" fillId="13" borderId="1" xfId="172" applyFont="1" applyFill="1" applyBorder="1" applyAlignment="1">
      <alignment vertical="center"/>
    </xf>
    <xf numFmtId="0" fontId="39" fillId="0" borderId="1" xfId="172" applyFont="1" applyBorder="1" applyAlignment="1">
      <alignment vertical="center"/>
    </xf>
    <xf numFmtId="0" fontId="38" fillId="0" borderId="1" xfId="172" applyBorder="1" applyAlignment="1">
      <alignment vertical="center"/>
    </xf>
    <xf numFmtId="4" fontId="38" fillId="0" borderId="1" xfId="172" applyNumberFormat="1" applyBorder="1" applyAlignment="1">
      <alignment vertical="center"/>
    </xf>
    <xf numFmtId="10" fontId="0" fillId="0" borderId="1" xfId="305" applyNumberFormat="1" applyFont="1" applyFill="1" applyBorder="1" applyAlignment="1">
      <alignment horizontal="center" vertical="center"/>
    </xf>
    <xf numFmtId="0" fontId="39" fillId="13" borderId="1" xfId="172" applyFont="1" applyFill="1" applyBorder="1" applyAlignment="1">
      <alignment horizontal="left" vertical="center" wrapText="1"/>
    </xf>
    <xf numFmtId="4" fontId="38" fillId="13" borderId="1" xfId="172" applyNumberFormat="1" applyFill="1" applyBorder="1" applyAlignment="1">
      <alignment vertical="center"/>
    </xf>
    <xf numFmtId="10" fontId="0" fillId="13" borderId="1" xfId="305" applyNumberFormat="1" applyFont="1" applyFill="1" applyBorder="1" applyAlignment="1">
      <alignment horizontal="center" vertical="center"/>
    </xf>
    <xf numFmtId="4" fontId="38" fillId="13" borderId="1" xfId="172" applyNumberFormat="1" applyFill="1" applyBorder="1" applyAlignment="1">
      <alignment horizontal="right"/>
    </xf>
    <xf numFmtId="10" fontId="38" fillId="13" borderId="1" xfId="305" applyNumberFormat="1" applyFont="1" applyFill="1" applyBorder="1" applyAlignment="1">
      <alignment horizontal="center"/>
    </xf>
    <xf numFmtId="4" fontId="38" fillId="0" borderId="1" xfId="172" applyNumberFormat="1" applyBorder="1" applyAlignment="1">
      <alignment horizontal="right" vertical="center"/>
    </xf>
    <xf numFmtId="10" fontId="38" fillId="0" borderId="1" xfId="2" applyNumberFormat="1" applyFont="1" applyBorder="1" applyAlignment="1">
      <alignment horizontal="center" vertical="center" wrapText="1"/>
    </xf>
    <xf numFmtId="10" fontId="0" fillId="0" borderId="1" xfId="2" applyNumberFormat="1" applyFont="1" applyFill="1" applyBorder="1" applyAlignment="1">
      <alignment horizontal="center" vertical="center" wrapText="1"/>
    </xf>
    <xf numFmtId="0" fontId="29" fillId="0" borderId="0" xfId="172" applyFont="1" applyAlignment="1" applyProtection="1">
      <alignment vertical="center"/>
      <protection locked="0"/>
    </xf>
    <xf numFmtId="0" fontId="49" fillId="12" borderId="1" xfId="172" applyFont="1" applyFill="1" applyBorder="1" applyAlignment="1">
      <alignment vertical="center"/>
    </xf>
    <xf numFmtId="10" fontId="0" fillId="0" borderId="0" xfId="305" applyNumberFormat="1" applyFont="1" applyFill="1" applyBorder="1" applyAlignment="1" applyProtection="1">
      <alignment horizontal="left" vertical="center" wrapText="1"/>
      <protection locked="0"/>
    </xf>
    <xf numFmtId="0" fontId="43" fillId="6" borderId="1" xfId="173" applyFont="1" applyFill="1" applyBorder="1" applyAlignment="1" applyProtection="1">
      <alignment horizontal="left" vertical="center" wrapText="1"/>
      <protection locked="0"/>
    </xf>
    <xf numFmtId="0" fontId="47" fillId="12" borderId="1" xfId="172" applyFont="1" applyFill="1" applyBorder="1" applyAlignment="1">
      <alignment horizontal="left" vertical="center" wrapText="1"/>
    </xf>
    <xf numFmtId="0" fontId="38" fillId="13" borderId="1" xfId="172" applyFill="1" applyBorder="1" applyAlignment="1">
      <alignment horizontal="left" vertical="center" wrapText="1"/>
    </xf>
    <xf numFmtId="0" fontId="38" fillId="0" borderId="0" xfId="172" applyAlignment="1">
      <alignment horizontal="left" vertical="center" wrapText="1"/>
    </xf>
    <xf numFmtId="0" fontId="26" fillId="9" borderId="1" xfId="3" applyFont="1" applyFill="1" applyBorder="1" applyAlignment="1" applyProtection="1">
      <alignment horizontal="left" vertical="center" wrapText="1"/>
      <protection locked="0"/>
    </xf>
    <xf numFmtId="0" fontId="26" fillId="10" borderId="1" xfId="3" applyFont="1" applyFill="1" applyBorder="1" applyAlignment="1" applyProtection="1">
      <alignment horizontal="left" vertical="center" wrapText="1"/>
      <protection locked="0"/>
    </xf>
    <xf numFmtId="0" fontId="27" fillId="0" borderId="1" xfId="3" applyBorder="1" applyAlignment="1">
      <alignment horizontal="left" vertical="center" wrapText="1"/>
    </xf>
    <xf numFmtId="0" fontId="26" fillId="10" borderId="2" xfId="3" applyFont="1" applyFill="1" applyBorder="1" applyAlignment="1" applyProtection="1">
      <alignment horizontal="left" vertical="center" wrapText="1"/>
      <protection locked="0"/>
    </xf>
    <xf numFmtId="0" fontId="50" fillId="9" borderId="1" xfId="3" applyFont="1" applyFill="1" applyBorder="1" applyAlignment="1" applyProtection="1">
      <alignment vertical="center" wrapText="1"/>
      <protection locked="0"/>
    </xf>
    <xf numFmtId="0" fontId="50" fillId="10" borderId="2" xfId="3" applyFont="1" applyFill="1" applyBorder="1" applyAlignment="1" applyProtection="1">
      <alignment vertical="center" wrapText="1"/>
      <protection locked="0"/>
    </xf>
    <xf numFmtId="0" fontId="50" fillId="3" borderId="1" xfId="3" applyFont="1" applyFill="1" applyBorder="1" applyAlignment="1">
      <alignment vertical="center" wrapText="1"/>
    </xf>
    <xf numFmtId="0" fontId="26" fillId="9" borderId="1" xfId="3" applyFont="1" applyFill="1" applyBorder="1" applyAlignment="1" applyProtection="1">
      <alignment vertical="center" wrapText="1"/>
      <protection locked="0"/>
    </xf>
    <xf numFmtId="0" fontId="26" fillId="10" borderId="1" xfId="3" applyFont="1" applyFill="1" applyBorder="1" applyAlignment="1" applyProtection="1">
      <alignment vertical="center" wrapText="1"/>
      <protection locked="0"/>
    </xf>
    <xf numFmtId="0" fontId="27" fillId="8" borderId="1" xfId="3" applyFill="1" applyBorder="1" applyAlignment="1" applyProtection="1">
      <alignment vertical="center" wrapText="1"/>
      <protection locked="0"/>
    </xf>
    <xf numFmtId="0" fontId="50" fillId="4" borderId="1" xfId="3" applyFont="1" applyFill="1" applyBorder="1" applyAlignment="1">
      <alignment vertical="center" wrapText="1"/>
    </xf>
    <xf numFmtId="0" fontId="26" fillId="4" borderId="1" xfId="3" applyFont="1" applyFill="1" applyBorder="1" applyAlignment="1" applyProtection="1">
      <alignment vertical="center" wrapText="1"/>
      <protection locked="0"/>
    </xf>
    <xf numFmtId="0" fontId="26" fillId="9" borderId="1" xfId="0" applyFont="1" applyFill="1" applyBorder="1" applyAlignment="1" applyProtection="1">
      <alignment vertical="center" wrapText="1"/>
      <protection locked="0"/>
    </xf>
    <xf numFmtId="0" fontId="26" fillId="10" borderId="1" xfId="0" applyFont="1" applyFill="1" applyBorder="1" applyAlignment="1" applyProtection="1">
      <alignment vertical="center" wrapText="1"/>
      <protection locked="0"/>
    </xf>
    <xf numFmtId="0" fontId="27" fillId="0" borderId="1" xfId="0" applyFont="1" applyBorder="1" applyAlignment="1" applyProtection="1">
      <alignment vertical="center" wrapText="1"/>
      <protection locked="0"/>
    </xf>
    <xf numFmtId="0" fontId="26" fillId="4" borderId="1" xfId="0" applyFont="1" applyFill="1" applyBorder="1" applyAlignment="1" applyProtection="1">
      <alignment vertical="center" wrapText="1"/>
      <protection locked="0"/>
    </xf>
    <xf numFmtId="0" fontId="26" fillId="3" borderId="1" xfId="0" applyFont="1" applyFill="1" applyBorder="1" applyAlignment="1" applyProtection="1">
      <alignment vertical="center" wrapText="1"/>
      <protection locked="0"/>
    </xf>
    <xf numFmtId="0" fontId="26" fillId="9" borderId="1" xfId="0" applyFont="1" applyFill="1" applyBorder="1" applyAlignment="1" applyProtection="1">
      <alignment horizontal="left" vertical="center" wrapText="1"/>
      <protection locked="0"/>
    </xf>
    <xf numFmtId="0" fontId="26" fillId="10" borderId="1" xfId="0" applyFont="1" applyFill="1" applyBorder="1" applyAlignment="1" applyProtection="1">
      <alignment horizontal="left" vertical="center" wrapText="1"/>
      <protection locked="0"/>
    </xf>
    <xf numFmtId="0" fontId="27" fillId="0" borderId="1" xfId="0" applyFont="1" applyBorder="1" applyAlignment="1" applyProtection="1">
      <alignment horizontal="left" vertical="center" wrapText="1"/>
      <protection locked="0"/>
    </xf>
    <xf numFmtId="0" fontId="26" fillId="3" borderId="1" xfId="3" applyFont="1" applyFill="1" applyBorder="1" applyAlignment="1" applyProtection="1">
      <alignment vertical="center" wrapText="1"/>
      <protection locked="0"/>
    </xf>
    <xf numFmtId="0" fontId="26" fillId="9" borderId="1" xfId="160" applyFont="1" applyFill="1" applyBorder="1" applyAlignment="1" applyProtection="1">
      <alignment vertical="center" wrapText="1"/>
      <protection locked="0"/>
    </xf>
    <xf numFmtId="0" fontId="26" fillId="10" borderId="1" xfId="160" applyFont="1" applyFill="1" applyBorder="1" applyAlignment="1" applyProtection="1">
      <alignment vertical="center" wrapText="1"/>
      <protection locked="0"/>
    </xf>
    <xf numFmtId="10" fontId="38" fillId="0" borderId="1" xfId="2" applyNumberFormat="1" applyFont="1" applyBorder="1" applyAlignment="1">
      <alignment horizontal="center" vertical="center"/>
    </xf>
    <xf numFmtId="10" fontId="38" fillId="13" borderId="1" xfId="2" applyNumberFormat="1" applyFont="1" applyFill="1" applyBorder="1" applyAlignment="1">
      <alignment horizontal="center"/>
    </xf>
    <xf numFmtId="10" fontId="0" fillId="0" borderId="1" xfId="2" applyNumberFormat="1" applyFont="1" applyFill="1" applyBorder="1" applyAlignment="1">
      <alignment horizontal="center" vertical="center"/>
    </xf>
    <xf numFmtId="10" fontId="0" fillId="13" borderId="1" xfId="2" applyNumberFormat="1" applyFont="1" applyFill="1" applyBorder="1" applyAlignment="1">
      <alignment horizontal="center" vertical="center"/>
    </xf>
    <xf numFmtId="10" fontId="27" fillId="13" borderId="1" xfId="2" applyNumberFormat="1" applyFont="1" applyFill="1" applyBorder="1" applyAlignment="1">
      <alignment horizontal="center"/>
    </xf>
    <xf numFmtId="0" fontId="0" fillId="0" borderId="7" xfId="0" applyBorder="1" applyAlignment="1">
      <alignment horizontal="left" vertical="top" wrapText="1"/>
    </xf>
    <xf numFmtId="0" fontId="26" fillId="11" borderId="1" xfId="314" applyFont="1" applyFill="1" applyBorder="1" applyAlignment="1">
      <alignment horizontal="center" vertical="center"/>
    </xf>
    <xf numFmtId="0" fontId="26" fillId="11" borderId="1" xfId="314" applyFont="1" applyFill="1" applyBorder="1" applyAlignment="1">
      <alignment vertical="center" wrapText="1"/>
    </xf>
    <xf numFmtId="0" fontId="26" fillId="11" borderId="1" xfId="314" applyFont="1" applyFill="1" applyBorder="1"/>
    <xf numFmtId="4" fontId="26" fillId="11" borderId="1" xfId="314" applyNumberFormat="1" applyFont="1" applyFill="1" applyBorder="1" applyAlignment="1">
      <alignment horizontal="right" vertical="center"/>
    </xf>
    <xf numFmtId="10" fontId="26" fillId="11" borderId="1" xfId="305" applyNumberFormat="1" applyFont="1" applyFill="1" applyBorder="1" applyAlignment="1">
      <alignment horizontal="center" vertical="center"/>
    </xf>
    <xf numFmtId="0" fontId="27" fillId="11" borderId="1" xfId="314" applyFill="1" applyBorder="1" applyAlignment="1">
      <alignment horizontal="left" vertical="center" wrapText="1"/>
    </xf>
    <xf numFmtId="4" fontId="26" fillId="11" borderId="0" xfId="314" applyNumberFormat="1" applyFont="1" applyFill="1" applyAlignment="1">
      <alignment horizontal="right" vertical="center"/>
    </xf>
    <xf numFmtId="0" fontId="26" fillId="0" borderId="1" xfId="314" applyFont="1" applyBorder="1" applyAlignment="1">
      <alignment horizontal="center" vertical="center"/>
    </xf>
    <xf numFmtId="0" fontId="26" fillId="0" borderId="1" xfId="314" applyFont="1" applyBorder="1" applyAlignment="1">
      <alignment vertical="center" wrapText="1"/>
    </xf>
    <xf numFmtId="0" fontId="46" fillId="12" borderId="1" xfId="314" applyFont="1" applyFill="1" applyBorder="1" applyAlignment="1">
      <alignment vertical="center" wrapText="1"/>
    </xf>
    <xf numFmtId="0" fontId="46" fillId="12" borderId="1" xfId="314" applyFont="1" applyFill="1" applyBorder="1"/>
    <xf numFmtId="0" fontId="47" fillId="12" borderId="1" xfId="314" applyFont="1" applyFill="1" applyBorder="1"/>
    <xf numFmtId="0" fontId="47" fillId="12" borderId="1" xfId="314" applyFont="1" applyFill="1" applyBorder="1" applyAlignment="1">
      <alignment horizontal="left" vertical="center" wrapText="1"/>
    </xf>
    <xf numFmtId="4" fontId="27" fillId="0" borderId="0" xfId="314" applyNumberFormat="1" applyAlignment="1">
      <alignment horizontal="right" vertical="center"/>
    </xf>
    <xf numFmtId="0" fontId="26" fillId="13" borderId="1" xfId="314" applyFont="1" applyFill="1" applyBorder="1" applyAlignment="1">
      <alignment vertical="center" wrapText="1"/>
    </xf>
    <xf numFmtId="0" fontId="26" fillId="13" borderId="1" xfId="314" applyFont="1" applyFill="1" applyBorder="1"/>
    <xf numFmtId="0" fontId="27" fillId="13" borderId="1" xfId="314" applyFill="1" applyBorder="1"/>
    <xf numFmtId="0" fontId="27" fillId="13" borderId="1" xfId="314" applyFill="1" applyBorder="1" applyAlignment="1">
      <alignment horizontal="left" vertical="center" wrapText="1"/>
    </xf>
    <xf numFmtId="0" fontId="26" fillId="0" borderId="1" xfId="314" applyFont="1" applyBorder="1"/>
    <xf numFmtId="0" fontId="26" fillId="0" borderId="1" xfId="314" applyFont="1" applyBorder="1" applyAlignment="1">
      <alignment horizontal="left" vertical="center" wrapText="1"/>
    </xf>
    <xf numFmtId="4" fontId="27" fillId="8" borderId="1" xfId="314" applyNumberFormat="1" applyFill="1" applyBorder="1" applyAlignment="1">
      <alignment horizontal="right" vertical="center" wrapText="1"/>
    </xf>
    <xf numFmtId="10" fontId="27" fillId="8" borderId="1" xfId="10" applyNumberFormat="1" applyFont="1" applyFill="1" applyBorder="1" applyAlignment="1">
      <alignment horizontal="center" vertical="center" wrapText="1"/>
    </xf>
    <xf numFmtId="0" fontId="27" fillId="0" borderId="1" xfId="314" applyBorder="1" applyAlignment="1">
      <alignment horizontal="left" vertical="center" wrapText="1"/>
    </xf>
    <xf numFmtId="0" fontId="26" fillId="5" borderId="1" xfId="314" applyFont="1" applyFill="1" applyBorder="1"/>
    <xf numFmtId="10" fontId="26" fillId="5" borderId="1" xfId="10" applyNumberFormat="1" applyFont="1" applyFill="1" applyBorder="1" applyAlignment="1">
      <alignment horizontal="center"/>
    </xf>
    <xf numFmtId="4" fontId="27" fillId="0" borderId="1" xfId="314" applyNumberFormat="1" applyBorder="1" applyAlignment="1">
      <alignment horizontal="right" vertical="center" wrapText="1"/>
    </xf>
    <xf numFmtId="10" fontId="27" fillId="0" borderId="1" xfId="10" applyNumberFormat="1" applyFont="1" applyBorder="1" applyAlignment="1">
      <alignment horizontal="center" vertical="center" wrapText="1"/>
    </xf>
    <xf numFmtId="4" fontId="27" fillId="0" borderId="1" xfId="314" applyNumberFormat="1" applyBorder="1" applyAlignment="1">
      <alignment vertical="center"/>
    </xf>
    <xf numFmtId="10" fontId="27" fillId="0" borderId="1" xfId="10" applyNumberFormat="1" applyFont="1" applyBorder="1" applyAlignment="1">
      <alignment horizontal="center" vertical="center"/>
    </xf>
    <xf numFmtId="10" fontId="26" fillId="0" borderId="1" xfId="10" applyNumberFormat="1" applyFont="1" applyBorder="1" applyAlignment="1">
      <alignment horizontal="center"/>
    </xf>
    <xf numFmtId="4" fontId="27" fillId="5" borderId="1" xfId="314" applyNumberFormat="1" applyFill="1" applyBorder="1" applyAlignment="1">
      <alignment horizontal="right" vertical="center" wrapText="1"/>
    </xf>
    <xf numFmtId="10" fontId="27" fillId="5" borderId="1" xfId="10" applyNumberFormat="1" applyFont="1" applyFill="1" applyBorder="1" applyAlignment="1">
      <alignment horizontal="center" vertical="center" wrapText="1"/>
    </xf>
    <xf numFmtId="10" fontId="27" fillId="0" borderId="1" xfId="305" applyNumberFormat="1" applyFont="1" applyFill="1" applyBorder="1" applyAlignment="1">
      <alignment horizontal="center" vertical="center" wrapText="1"/>
    </xf>
    <xf numFmtId="10" fontId="26" fillId="0" borderId="1" xfId="305" applyNumberFormat="1" applyFont="1" applyFill="1" applyBorder="1" applyAlignment="1">
      <alignment horizontal="center"/>
    </xf>
    <xf numFmtId="4" fontId="27" fillId="13" borderId="1" xfId="314" applyNumberFormat="1" applyFill="1" applyBorder="1" applyAlignment="1">
      <alignment horizontal="right"/>
    </xf>
    <xf numFmtId="10" fontId="27" fillId="13" borderId="1" xfId="305" applyNumberFormat="1" applyFont="1" applyFill="1" applyBorder="1" applyAlignment="1">
      <alignment horizontal="center"/>
    </xf>
    <xf numFmtId="4" fontId="26" fillId="0" borderId="1" xfId="314" applyNumberFormat="1" applyFont="1" applyBorder="1" applyAlignment="1">
      <alignment horizontal="right"/>
    </xf>
    <xf numFmtId="10" fontId="27" fillId="0" borderId="0" xfId="305" applyNumberFormat="1" applyFont="1" applyFill="1" applyBorder="1" applyAlignment="1">
      <alignment horizontal="center" vertical="center" wrapText="1"/>
    </xf>
    <xf numFmtId="4" fontId="27" fillId="0" borderId="1" xfId="314" applyNumberFormat="1" applyBorder="1" applyAlignment="1">
      <alignment horizontal="left" vertical="center" wrapText="1"/>
    </xf>
    <xf numFmtId="0" fontId="27" fillId="0" borderId="1" xfId="314" applyBorder="1"/>
    <xf numFmtId="4" fontId="26" fillId="0" borderId="0" xfId="314" applyNumberFormat="1" applyFont="1" applyAlignment="1">
      <alignment horizontal="right" vertical="center"/>
    </xf>
    <xf numFmtId="0" fontId="26" fillId="4" borderId="1" xfId="314" applyFont="1" applyFill="1" applyBorder="1" applyAlignment="1">
      <alignment wrapText="1"/>
    </xf>
    <xf numFmtId="0" fontId="27" fillId="0" borderId="6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left" vertical="top" wrapText="1"/>
    </xf>
    <xf numFmtId="0" fontId="0" fillId="0" borderId="6" xfId="0" applyBorder="1" applyAlignment="1">
      <alignment horizontal="left" vertical="center" wrapText="1"/>
    </xf>
    <xf numFmtId="10" fontId="27" fillId="5" borderId="1" xfId="305" applyNumberFormat="1" applyFont="1" applyFill="1" applyBorder="1" applyAlignment="1">
      <alignment horizontal="center" vertical="center" wrapText="1"/>
    </xf>
    <xf numFmtId="4" fontId="27" fillId="0" borderId="1" xfId="314" applyNumberFormat="1" applyBorder="1" applyAlignment="1">
      <alignment horizontal="right" vertical="center"/>
    </xf>
    <xf numFmtId="4" fontId="27" fillId="5" borderId="1" xfId="314" applyNumberFormat="1" applyFill="1" applyBorder="1" applyAlignment="1">
      <alignment horizontal="right" vertical="center"/>
    </xf>
    <xf numFmtId="10" fontId="27" fillId="5" borderId="1" xfId="10" applyNumberFormat="1" applyFont="1" applyFill="1" applyBorder="1" applyAlignment="1">
      <alignment horizontal="center" vertical="center"/>
    </xf>
    <xf numFmtId="10" fontId="26" fillId="5" borderId="1" xfId="305" applyNumberFormat="1" applyFont="1" applyFill="1" applyBorder="1" applyAlignment="1">
      <alignment horizontal="center"/>
    </xf>
    <xf numFmtId="10" fontId="0" fillId="5" borderId="1" xfId="305" applyNumberFormat="1" applyFont="1" applyFill="1" applyBorder="1" applyAlignment="1">
      <alignment horizontal="center" vertical="center" wrapText="1"/>
    </xf>
    <xf numFmtId="0" fontId="27" fillId="5" borderId="1" xfId="314" applyFill="1" applyBorder="1" applyAlignment="1">
      <alignment vertical="center"/>
    </xf>
    <xf numFmtId="0" fontId="27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26" fillId="4" borderId="1" xfId="314" applyFont="1" applyFill="1" applyBorder="1" applyAlignment="1">
      <alignment horizontal="left" vertical="center" wrapText="1"/>
    </xf>
    <xf numFmtId="0" fontId="27" fillId="0" borderId="1" xfId="314" applyBorder="1" applyAlignment="1">
      <alignment vertical="center" wrapText="1"/>
    </xf>
    <xf numFmtId="4" fontId="27" fillId="5" borderId="1" xfId="314" applyNumberFormat="1" applyFill="1" applyBorder="1" applyAlignment="1">
      <alignment vertical="center" wrapText="1"/>
    </xf>
    <xf numFmtId="0" fontId="26" fillId="4" borderId="1" xfId="314" applyFont="1" applyFill="1" applyBorder="1" applyAlignment="1">
      <alignment vertical="center" wrapText="1"/>
    </xf>
    <xf numFmtId="0" fontId="27" fillId="0" borderId="7" xfId="0" applyFont="1" applyBorder="1" applyAlignment="1">
      <alignment horizontal="left" vertical="top" wrapText="1"/>
    </xf>
    <xf numFmtId="0" fontId="27" fillId="0" borderId="1" xfId="314" applyBorder="1" applyAlignment="1">
      <alignment horizontal="left" vertical="top" wrapText="1"/>
    </xf>
    <xf numFmtId="10" fontId="0" fillId="0" borderId="1" xfId="10" applyNumberFormat="1" applyFont="1" applyFill="1" applyBorder="1" applyAlignment="1">
      <alignment horizontal="center" vertical="center" wrapText="1"/>
    </xf>
    <xf numFmtId="0" fontId="27" fillId="0" borderId="1" xfId="314" applyBorder="1" applyAlignment="1">
      <alignment vertical="top" wrapText="1"/>
    </xf>
    <xf numFmtId="0" fontId="27" fillId="0" borderId="1" xfId="314" applyBorder="1" applyAlignment="1">
      <alignment horizontal="left" vertical="top"/>
    </xf>
    <xf numFmtId="10" fontId="26" fillId="0" borderId="1" xfId="10" applyNumberFormat="1" applyFont="1" applyFill="1" applyBorder="1" applyAlignment="1">
      <alignment horizontal="center"/>
    </xf>
    <xf numFmtId="4" fontId="26" fillId="0" borderId="1" xfId="314" applyNumberFormat="1" applyFont="1" applyBorder="1" applyAlignment="1">
      <alignment horizontal="right" vertical="center"/>
    </xf>
    <xf numFmtId="10" fontId="26" fillId="0" borderId="1" xfId="10" applyNumberFormat="1" applyFont="1" applyFill="1" applyBorder="1" applyAlignment="1">
      <alignment horizontal="center" vertical="center"/>
    </xf>
    <xf numFmtId="10" fontId="27" fillId="0" borderId="1" xfId="305" applyNumberFormat="1" applyFont="1" applyFill="1" applyBorder="1" applyAlignment="1">
      <alignment horizontal="center" vertical="center"/>
    </xf>
    <xf numFmtId="0" fontId="27" fillId="0" borderId="1" xfId="314" applyBorder="1" applyAlignment="1">
      <alignment horizontal="right" vertical="center"/>
    </xf>
    <xf numFmtId="0" fontId="27" fillId="0" borderId="0" xfId="172" applyFont="1"/>
    <xf numFmtId="10" fontId="27" fillId="0" borderId="1" xfId="10" applyNumberFormat="1" applyFont="1" applyFill="1" applyBorder="1" applyAlignment="1">
      <alignment horizontal="center" vertical="center" wrapText="1"/>
    </xf>
    <xf numFmtId="10" fontId="27" fillId="0" borderId="1" xfId="305" quotePrefix="1" applyNumberFormat="1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6" fillId="11" borderId="1" xfId="172" applyFont="1" applyFill="1" applyBorder="1" applyAlignment="1">
      <alignment vertical="center" wrapText="1"/>
    </xf>
    <xf numFmtId="10" fontId="27" fillId="0" borderId="1" xfId="2" applyNumberFormat="1" applyFont="1" applyBorder="1" applyAlignment="1">
      <alignment horizontal="center" vertical="center" wrapText="1"/>
    </xf>
    <xf numFmtId="10" fontId="27" fillId="0" borderId="1" xfId="2" applyNumberFormat="1" applyFont="1" applyFill="1" applyBorder="1" applyAlignment="1">
      <alignment horizontal="center" vertical="center"/>
    </xf>
    <xf numFmtId="10" fontId="27" fillId="0" borderId="1" xfId="2" applyNumberFormat="1" applyFont="1" applyFill="1" applyBorder="1" applyAlignment="1">
      <alignment horizontal="center" vertical="center" wrapText="1"/>
    </xf>
    <xf numFmtId="10" fontId="0" fillId="0" borderId="1" xfId="305" applyNumberFormat="1" applyFont="1" applyFill="1" applyBorder="1" applyAlignment="1">
      <alignment horizontal="left" vertical="center"/>
    </xf>
    <xf numFmtId="10" fontId="0" fillId="0" borderId="1" xfId="305" applyNumberFormat="1" applyFont="1" applyFill="1" applyBorder="1" applyAlignment="1">
      <alignment horizontal="left" vertical="center" wrapText="1"/>
    </xf>
    <xf numFmtId="0" fontId="26" fillId="13" borderId="1" xfId="172" applyFont="1" applyFill="1" applyBorder="1" applyAlignment="1">
      <alignment vertical="center"/>
    </xf>
    <xf numFmtId="10" fontId="27" fillId="5" borderId="1" xfId="2" applyNumberFormat="1" applyFont="1" applyFill="1" applyBorder="1" applyAlignment="1">
      <alignment horizontal="center" vertical="center"/>
    </xf>
    <xf numFmtId="0" fontId="27" fillId="8" borderId="8" xfId="3" applyFill="1" applyBorder="1" applyAlignment="1" applyProtection="1">
      <alignment vertical="center" wrapText="1"/>
      <protection locked="0"/>
    </xf>
    <xf numFmtId="0" fontId="26" fillId="0" borderId="1" xfId="314" applyFont="1" applyFill="1" applyBorder="1"/>
    <xf numFmtId="4" fontId="27" fillId="0" borderId="1" xfId="314" applyNumberFormat="1" applyFill="1" applyBorder="1" applyAlignment="1">
      <alignment vertical="center"/>
    </xf>
    <xf numFmtId="10" fontId="27" fillId="8" borderId="1" xfId="2" applyNumberFormat="1" applyFont="1" applyFill="1" applyBorder="1" applyAlignment="1">
      <alignment horizontal="center" vertical="center" wrapText="1"/>
    </xf>
    <xf numFmtId="2" fontId="27" fillId="0" borderId="1" xfId="314" applyNumberFormat="1" applyFont="1" applyFill="1" applyBorder="1" applyAlignment="1">
      <alignment vertical="center"/>
    </xf>
    <xf numFmtId="2" fontId="27" fillId="0" borderId="1" xfId="314" applyNumberFormat="1" applyFont="1" applyFill="1" applyBorder="1" applyAlignment="1">
      <alignment horizontal="right" vertical="center"/>
    </xf>
    <xf numFmtId="4" fontId="27" fillId="0" borderId="1" xfId="314" applyNumberFormat="1" applyFont="1" applyFill="1" applyBorder="1" applyAlignment="1">
      <alignment vertical="center"/>
    </xf>
    <xf numFmtId="2" fontId="27" fillId="0" borderId="1" xfId="314" applyNumberFormat="1" applyFont="1" applyBorder="1" applyAlignment="1">
      <alignment vertical="center"/>
    </xf>
    <xf numFmtId="10" fontId="27" fillId="0" borderId="1" xfId="2" applyNumberFormat="1" applyFont="1" applyBorder="1" applyAlignment="1">
      <alignment horizontal="center" vertical="center"/>
    </xf>
    <xf numFmtId="4" fontId="27" fillId="0" borderId="1" xfId="314" applyNumberFormat="1" applyFill="1" applyBorder="1" applyAlignment="1">
      <alignment horizontal="right" vertical="center" wrapText="1"/>
    </xf>
    <xf numFmtId="0" fontId="43" fillId="2" borderId="1" xfId="173" applyFont="1" applyFill="1" applyBorder="1" applyAlignment="1" applyProtection="1">
      <alignment horizontal="center" vertical="center" wrapText="1"/>
      <protection locked="0"/>
    </xf>
    <xf numFmtId="4" fontId="27" fillId="0" borderId="1" xfId="314" applyNumberFormat="1" applyFill="1" applyBorder="1" applyAlignment="1">
      <alignment horizontal="right" vertical="center"/>
    </xf>
    <xf numFmtId="4" fontId="27" fillId="0" borderId="1" xfId="314" applyNumberFormat="1" applyFill="1" applyBorder="1" applyAlignment="1">
      <alignment vertical="center" wrapText="1"/>
    </xf>
    <xf numFmtId="0" fontId="27" fillId="0" borderId="1" xfId="314" applyFont="1" applyFill="1" applyBorder="1" applyAlignment="1">
      <alignment vertical="center"/>
    </xf>
    <xf numFmtId="4" fontId="27" fillId="5" borderId="1" xfId="314" applyNumberFormat="1" applyFill="1" applyBorder="1" applyAlignment="1">
      <alignment vertical="center"/>
    </xf>
    <xf numFmtId="10" fontId="27" fillId="5" borderId="1" xfId="2" applyNumberFormat="1" applyFont="1" applyFill="1" applyBorder="1" applyAlignment="1">
      <alignment horizontal="center" vertical="center" wrapText="1"/>
    </xf>
    <xf numFmtId="10" fontId="26" fillId="5" borderId="1" xfId="2" applyNumberFormat="1" applyFont="1" applyFill="1" applyBorder="1" applyAlignment="1">
      <alignment horizontal="center"/>
    </xf>
    <xf numFmtId="0" fontId="27" fillId="0" borderId="7" xfId="0" applyFont="1" applyBorder="1" applyAlignment="1">
      <alignment horizontal="left" vertical="center" wrapText="1"/>
    </xf>
    <xf numFmtId="4" fontId="26" fillId="0" borderId="1" xfId="314" applyNumberFormat="1" applyFont="1" applyFill="1" applyBorder="1" applyAlignment="1">
      <alignment horizontal="right"/>
    </xf>
    <xf numFmtId="4" fontId="27" fillId="0" borderId="1" xfId="314" applyNumberFormat="1" applyFont="1" applyFill="1" applyBorder="1" applyAlignment="1">
      <alignment horizontal="right" vertical="center"/>
    </xf>
    <xf numFmtId="10" fontId="26" fillId="0" borderId="1" xfId="2" applyNumberFormat="1" applyFont="1" applyFill="1" applyBorder="1" applyAlignment="1">
      <alignment horizontal="center" vertical="center"/>
    </xf>
    <xf numFmtId="0" fontId="46" fillId="12" borderId="1" xfId="314" applyFont="1" applyFill="1" applyBorder="1" applyAlignment="1">
      <alignment horizontal="left" vertical="center" wrapText="1"/>
    </xf>
    <xf numFmtId="0" fontId="26" fillId="13" borderId="1" xfId="314" applyFont="1" applyFill="1" applyBorder="1" applyAlignment="1">
      <alignment horizontal="left" vertical="center" wrapText="1"/>
    </xf>
    <xf numFmtId="0" fontId="26" fillId="0" borderId="1" xfId="314" applyFont="1" applyFill="1" applyBorder="1" applyAlignment="1">
      <alignment vertical="center"/>
    </xf>
    <xf numFmtId="4" fontId="27" fillId="0" borderId="1" xfId="6" applyNumberFormat="1" applyFont="1" applyFill="1" applyBorder="1" applyAlignment="1">
      <alignment vertical="center"/>
    </xf>
    <xf numFmtId="0" fontId="26" fillId="0" borderId="1" xfId="314" applyFont="1" applyBorder="1" applyAlignment="1">
      <alignment vertical="center"/>
    </xf>
    <xf numFmtId="0" fontId="38" fillId="0" borderId="0" xfId="172" applyAlignment="1">
      <alignment vertical="center"/>
    </xf>
    <xf numFmtId="0" fontId="26" fillId="3" borderId="1" xfId="314" applyFont="1" applyFill="1" applyBorder="1" applyAlignment="1">
      <alignment horizontal="left" vertical="center" wrapText="1"/>
    </xf>
    <xf numFmtId="41" fontId="38" fillId="0" borderId="0" xfId="6" applyFont="1"/>
    <xf numFmtId="166" fontId="38" fillId="0" borderId="0" xfId="172" applyNumberFormat="1"/>
    <xf numFmtId="0" fontId="43" fillId="2" borderId="1" xfId="173" applyFont="1" applyFill="1" applyBorder="1" applyAlignment="1" applyProtection="1">
      <alignment horizontal="center" vertical="center" wrapText="1"/>
      <protection locked="0"/>
    </xf>
    <xf numFmtId="0" fontId="43" fillId="2" borderId="1" xfId="173" applyFont="1" applyFill="1" applyBorder="1" applyAlignment="1" applyProtection="1">
      <alignment horizontal="center" vertical="center" wrapText="1"/>
      <protection locked="0"/>
    </xf>
    <xf numFmtId="0" fontId="43" fillId="2" borderId="1" xfId="173" applyFont="1" applyFill="1" applyBorder="1" applyAlignment="1" applyProtection="1">
      <alignment horizontal="center" vertical="center" wrapText="1"/>
      <protection locked="0"/>
    </xf>
    <xf numFmtId="0" fontId="56" fillId="0" borderId="0" xfId="172" applyFont="1"/>
    <xf numFmtId="0" fontId="56" fillId="0" borderId="0" xfId="172" applyFont="1" applyAlignment="1">
      <alignment horizontal="left" vertical="center" wrapText="1"/>
    </xf>
    <xf numFmtId="0" fontId="56" fillId="0" borderId="0" xfId="172" applyFont="1" applyProtection="1">
      <protection locked="0"/>
    </xf>
    <xf numFmtId="0" fontId="56" fillId="0" borderId="0" xfId="172" applyFont="1" applyAlignment="1" applyProtection="1">
      <alignment horizontal="left" vertical="center" wrapText="1"/>
      <protection locked="0"/>
    </xf>
    <xf numFmtId="0" fontId="56" fillId="0" borderId="0" xfId="172" applyFont="1" applyAlignment="1" applyProtection="1">
      <alignment horizontal="center" vertical="center"/>
      <protection locked="0"/>
    </xf>
    <xf numFmtId="0" fontId="56" fillId="0" borderId="0" xfId="172" applyFont="1" applyAlignment="1" applyProtection="1">
      <alignment horizontal="left"/>
      <protection locked="0"/>
    </xf>
    <xf numFmtId="0" fontId="56" fillId="0" borderId="0" xfId="172" applyFont="1" applyAlignment="1" applyProtection="1">
      <alignment vertical="center"/>
      <protection locked="0"/>
    </xf>
    <xf numFmtId="10" fontId="56" fillId="0" borderId="0" xfId="305" applyNumberFormat="1" applyFont="1" applyFill="1" applyBorder="1" applyAlignment="1" applyProtection="1">
      <alignment horizontal="center" vertical="center" wrapText="1"/>
      <protection locked="0"/>
    </xf>
    <xf numFmtId="10" fontId="56" fillId="0" borderId="0" xfId="305" applyNumberFormat="1" applyFont="1" applyFill="1" applyBorder="1" applyAlignment="1" applyProtection="1">
      <alignment horizontal="left" vertical="center" wrapText="1"/>
      <protection locked="0"/>
    </xf>
    <xf numFmtId="0" fontId="58" fillId="0" borderId="0" xfId="172" applyFont="1" applyAlignment="1" applyProtection="1">
      <alignment vertical="center"/>
      <protection locked="0"/>
    </xf>
    <xf numFmtId="0" fontId="59" fillId="0" borderId="0" xfId="172" applyFont="1" applyAlignment="1" applyProtection="1">
      <alignment horizontal="left" vertical="center" wrapText="1"/>
      <protection locked="0"/>
    </xf>
    <xf numFmtId="0" fontId="60" fillId="2" borderId="1" xfId="173" applyFont="1" applyFill="1" applyBorder="1" applyAlignment="1" applyProtection="1">
      <alignment horizontal="center" vertical="center" wrapText="1"/>
      <protection locked="0"/>
    </xf>
    <xf numFmtId="10" fontId="60" fillId="2" borderId="1" xfId="305" applyNumberFormat="1" applyFont="1" applyFill="1" applyBorder="1" applyAlignment="1" applyProtection="1">
      <alignment horizontal="center" vertical="center" wrapText="1"/>
      <protection locked="0"/>
    </xf>
    <xf numFmtId="0" fontId="61" fillId="7" borderId="1" xfId="173" applyFont="1" applyFill="1" applyBorder="1" applyAlignment="1" applyProtection="1">
      <alignment horizontal="center" vertical="center" wrapText="1"/>
      <protection locked="0"/>
    </xf>
    <xf numFmtId="4" fontId="60" fillId="6" borderId="1" xfId="173" applyNumberFormat="1" applyFont="1" applyFill="1" applyBorder="1" applyAlignment="1" applyProtection="1">
      <alignment horizontal="right" vertical="center" wrapText="1"/>
      <protection locked="0"/>
    </xf>
    <xf numFmtId="10" fontId="62" fillId="6" borderId="1" xfId="305" applyNumberFormat="1" applyFont="1" applyFill="1" applyBorder="1" applyAlignment="1">
      <alignment horizontal="center" vertical="center"/>
    </xf>
    <xf numFmtId="0" fontId="60" fillId="6" borderId="1" xfId="173" applyFont="1" applyFill="1" applyBorder="1" applyAlignment="1" applyProtection="1">
      <alignment horizontal="left" vertical="center" wrapText="1"/>
      <protection locked="0"/>
    </xf>
    <xf numFmtId="0" fontId="56" fillId="11" borderId="1" xfId="172" applyFont="1" applyFill="1" applyBorder="1" applyAlignment="1">
      <alignment horizontal="center" vertical="center"/>
    </xf>
    <xf numFmtId="0" fontId="57" fillId="11" borderId="1" xfId="172" applyFont="1" applyFill="1" applyBorder="1" applyAlignment="1">
      <alignment vertical="center" wrapText="1"/>
    </xf>
    <xf numFmtId="0" fontId="56" fillId="11" borderId="1" xfId="172" applyFont="1" applyFill="1" applyBorder="1"/>
    <xf numFmtId="4" fontId="57" fillId="11" borderId="1" xfId="172" applyNumberFormat="1" applyFont="1" applyFill="1" applyBorder="1" applyAlignment="1">
      <alignment vertical="center"/>
    </xf>
    <xf numFmtId="10" fontId="57" fillId="11" borderId="1" xfId="305" applyNumberFormat="1" applyFont="1" applyFill="1" applyBorder="1" applyAlignment="1">
      <alignment horizontal="center" vertical="center"/>
    </xf>
    <xf numFmtId="0" fontId="56" fillId="11" borderId="1" xfId="172" applyFont="1" applyFill="1" applyBorder="1" applyAlignment="1">
      <alignment horizontal="left" vertical="center" wrapText="1"/>
    </xf>
    <xf numFmtId="0" fontId="56" fillId="0" borderId="1" xfId="172" applyFont="1" applyBorder="1" applyAlignment="1">
      <alignment horizontal="center" vertical="center"/>
    </xf>
    <xf numFmtId="0" fontId="56" fillId="0" borderId="1" xfId="172" applyFont="1" applyBorder="1" applyAlignment="1">
      <alignment vertical="center" wrapText="1"/>
    </xf>
    <xf numFmtId="0" fontId="62" fillId="12" borderId="1" xfId="172" applyFont="1" applyFill="1" applyBorder="1" applyAlignment="1">
      <alignment vertical="center"/>
    </xf>
    <xf numFmtId="0" fontId="62" fillId="12" borderId="1" xfId="172" applyFont="1" applyFill="1" applyBorder="1"/>
    <xf numFmtId="0" fontId="63" fillId="12" borderId="1" xfId="172" applyFont="1" applyFill="1" applyBorder="1"/>
    <xf numFmtId="0" fontId="63" fillId="12" borderId="1" xfId="172" applyFont="1" applyFill="1" applyBorder="1" applyAlignment="1">
      <alignment horizontal="left" vertical="center" wrapText="1"/>
    </xf>
    <xf numFmtId="0" fontId="57" fillId="13" borderId="1" xfId="172" applyFont="1" applyFill="1" applyBorder="1" applyAlignment="1">
      <alignment vertical="center"/>
    </xf>
    <xf numFmtId="0" fontId="57" fillId="13" borderId="1" xfId="172" applyFont="1" applyFill="1" applyBorder="1"/>
    <xf numFmtId="0" fontId="56" fillId="13" borderId="1" xfId="172" applyFont="1" applyFill="1" applyBorder="1"/>
    <xf numFmtId="0" fontId="56" fillId="13" borderId="1" xfId="172" applyFont="1" applyFill="1" applyBorder="1" applyAlignment="1">
      <alignment horizontal="left" vertical="center" wrapText="1"/>
    </xf>
    <xf numFmtId="0" fontId="56" fillId="0" borderId="1" xfId="172" applyFont="1" applyBorder="1"/>
    <xf numFmtId="0" fontId="57" fillId="9" borderId="1" xfId="0" applyFont="1" applyFill="1" applyBorder="1" applyAlignment="1" applyProtection="1">
      <alignment vertical="center" wrapText="1"/>
      <protection locked="0"/>
    </xf>
    <xf numFmtId="4" fontId="56" fillId="0" borderId="1" xfId="172" applyNumberFormat="1" applyFont="1" applyBorder="1" applyAlignment="1">
      <alignment horizontal="right" vertical="center" wrapText="1"/>
    </xf>
    <xf numFmtId="10" fontId="56" fillId="0" borderId="1" xfId="305" applyNumberFormat="1" applyFont="1" applyFill="1" applyBorder="1" applyAlignment="1">
      <alignment horizontal="center" vertical="center" wrapText="1"/>
    </xf>
    <xf numFmtId="0" fontId="56" fillId="0" borderId="1" xfId="172" applyFont="1" applyBorder="1" applyAlignment="1">
      <alignment horizontal="left" vertical="center" wrapText="1"/>
    </xf>
    <xf numFmtId="0" fontId="57" fillId="10" borderId="1" xfId="0" applyFont="1" applyFill="1" applyBorder="1" applyAlignment="1" applyProtection="1">
      <alignment vertical="center" wrapText="1"/>
      <protection locked="0"/>
    </xf>
    <xf numFmtId="0" fontId="56" fillId="0" borderId="1" xfId="0" applyFont="1" applyBorder="1" applyAlignment="1" applyProtection="1">
      <alignment vertical="center" wrapText="1"/>
      <protection locked="0"/>
    </xf>
    <xf numFmtId="10" fontId="56" fillId="0" borderId="1" xfId="2" applyNumberFormat="1" applyFont="1" applyBorder="1" applyAlignment="1">
      <alignment horizontal="center" vertical="center" wrapText="1"/>
    </xf>
    <xf numFmtId="10" fontId="56" fillId="0" borderId="1" xfId="305" applyNumberFormat="1" applyFont="1" applyFill="1" applyBorder="1" applyAlignment="1">
      <alignment horizontal="center" vertical="center"/>
    </xf>
    <xf numFmtId="4" fontId="56" fillId="13" borderId="1" xfId="172" applyNumberFormat="1" applyFont="1" applyFill="1" applyBorder="1" applyAlignment="1">
      <alignment horizontal="right"/>
    </xf>
    <xf numFmtId="10" fontId="56" fillId="13" borderId="1" xfId="2" applyNumberFormat="1" applyFont="1" applyFill="1" applyBorder="1" applyAlignment="1">
      <alignment horizontal="center"/>
    </xf>
    <xf numFmtId="10" fontId="56" fillId="0" borderId="1" xfId="2" applyNumberFormat="1" applyFont="1" applyFill="1" applyBorder="1" applyAlignment="1">
      <alignment horizontal="center" vertical="center" wrapText="1"/>
    </xf>
    <xf numFmtId="10" fontId="56" fillId="0" borderId="1" xfId="2" applyNumberFormat="1" applyFont="1" applyFill="1" applyBorder="1" applyAlignment="1">
      <alignment horizontal="center" vertical="center"/>
    </xf>
    <xf numFmtId="10" fontId="56" fillId="0" borderId="1" xfId="305" applyNumberFormat="1" applyFont="1" applyFill="1" applyBorder="1" applyAlignment="1">
      <alignment horizontal="left" vertical="center" wrapText="1"/>
    </xf>
    <xf numFmtId="10" fontId="56" fillId="0" borderId="1" xfId="305" applyNumberFormat="1" applyFont="1" applyFill="1" applyBorder="1" applyAlignment="1">
      <alignment horizontal="left" vertical="center"/>
    </xf>
    <xf numFmtId="10" fontId="56" fillId="13" borderId="1" xfId="305" applyNumberFormat="1" applyFont="1" applyFill="1" applyBorder="1" applyAlignment="1">
      <alignment horizontal="center"/>
    </xf>
    <xf numFmtId="0" fontId="60" fillId="2" borderId="1" xfId="173" applyFont="1" applyFill="1" applyBorder="1" applyAlignment="1" applyProtection="1">
      <alignment horizontal="center" vertical="center" wrapText="1"/>
      <protection locked="0"/>
    </xf>
    <xf numFmtId="0" fontId="60" fillId="2" borderId="1" xfId="173" applyFont="1" applyFill="1" applyBorder="1" applyAlignment="1" applyProtection="1">
      <alignment horizontal="center" vertical="center" wrapText="1"/>
      <protection locked="0"/>
    </xf>
    <xf numFmtId="0" fontId="60" fillId="2" borderId="1" xfId="173" applyFont="1" applyFill="1" applyBorder="1" applyAlignment="1" applyProtection="1">
      <alignment horizontal="center" vertical="center" wrapText="1"/>
      <protection locked="0"/>
    </xf>
    <xf numFmtId="0" fontId="57" fillId="0" borderId="0" xfId="172" applyFont="1" applyAlignment="1">
      <alignment horizontal="center"/>
    </xf>
    <xf numFmtId="0" fontId="60" fillId="2" borderId="1" xfId="173" applyFont="1" applyFill="1" applyBorder="1" applyAlignment="1" applyProtection="1">
      <alignment horizontal="center" vertical="center" wrapText="1"/>
      <protection locked="0"/>
    </xf>
    <xf numFmtId="0" fontId="57" fillId="0" borderId="0" xfId="172" applyFont="1" applyAlignment="1">
      <alignment horizontal="center"/>
    </xf>
    <xf numFmtId="0" fontId="60" fillId="2" borderId="1" xfId="173" applyFont="1" applyFill="1" applyBorder="1" applyAlignment="1" applyProtection="1">
      <alignment horizontal="center" vertical="center" wrapText="1"/>
      <protection locked="0"/>
    </xf>
    <xf numFmtId="0" fontId="57" fillId="0" borderId="0" xfId="172" applyFont="1" applyAlignment="1">
      <alignment horizontal="center"/>
    </xf>
    <xf numFmtId="0" fontId="60" fillId="2" borderId="1" xfId="173" applyFont="1" applyFill="1" applyBorder="1" applyAlignment="1" applyProtection="1">
      <alignment horizontal="center" vertical="center" wrapText="1"/>
      <protection locked="0"/>
    </xf>
    <xf numFmtId="0" fontId="57" fillId="0" borderId="0" xfId="172" applyFont="1" applyAlignment="1">
      <alignment horizontal="center"/>
    </xf>
    <xf numFmtId="0" fontId="43" fillId="2" borderId="5" xfId="173" applyFont="1" applyFill="1" applyBorder="1" applyAlignment="1" applyProtection="1">
      <alignment horizontal="center" vertical="center" wrapText="1"/>
      <protection locked="0"/>
    </xf>
    <xf numFmtId="0" fontId="43" fillId="2" borderId="6" xfId="173" applyFont="1" applyFill="1" applyBorder="1" applyAlignment="1" applyProtection="1">
      <alignment horizontal="center" vertical="center" wrapText="1"/>
      <protection locked="0"/>
    </xf>
    <xf numFmtId="0" fontId="43" fillId="6" borderId="5" xfId="173" applyFont="1" applyFill="1" applyBorder="1" applyAlignment="1" applyProtection="1">
      <alignment horizontal="right" vertical="center" wrapText="1"/>
      <protection locked="0"/>
    </xf>
    <xf numFmtId="0" fontId="43" fillId="6" borderId="7" xfId="173" applyFont="1" applyFill="1" applyBorder="1" applyAlignment="1" applyProtection="1">
      <alignment horizontal="right" vertical="center" wrapText="1"/>
      <protection locked="0"/>
    </xf>
    <xf numFmtId="0" fontId="43" fillId="6" borderId="6" xfId="173" applyFont="1" applyFill="1" applyBorder="1" applyAlignment="1" applyProtection="1">
      <alignment horizontal="right" vertical="center" wrapText="1"/>
      <protection locked="0"/>
    </xf>
    <xf numFmtId="0" fontId="33" fillId="0" borderId="0" xfId="172" applyFont="1" applyAlignment="1" applyProtection="1">
      <alignment horizontal="center" vertical="center"/>
      <protection locked="0"/>
    </xf>
    <xf numFmtId="0" fontId="41" fillId="0" borderId="0" xfId="172" applyFont="1" applyAlignment="1" applyProtection="1">
      <alignment horizontal="center" vertical="center"/>
      <protection locked="0"/>
    </xf>
    <xf numFmtId="0" fontId="43" fillId="2" borderId="2" xfId="173" applyFont="1" applyFill="1" applyBorder="1" applyAlignment="1" applyProtection="1">
      <alignment horizontal="center" vertical="center" wrapText="1"/>
      <protection locked="0"/>
    </xf>
    <xf numFmtId="0" fontId="43" fillId="2" borderId="3" xfId="173" applyFont="1" applyFill="1" applyBorder="1" applyAlignment="1" applyProtection="1">
      <alignment horizontal="center" vertical="center" wrapText="1"/>
      <protection locked="0"/>
    </xf>
    <xf numFmtId="0" fontId="43" fillId="2" borderId="4" xfId="173" applyFont="1" applyFill="1" applyBorder="1" applyAlignment="1" applyProtection="1">
      <alignment horizontal="center" vertical="center" wrapText="1"/>
      <protection locked="0"/>
    </xf>
    <xf numFmtId="0" fontId="32" fillId="2" borderId="2" xfId="173" applyFont="1" applyFill="1" applyBorder="1" applyAlignment="1" applyProtection="1">
      <alignment horizontal="center" vertical="center" wrapText="1"/>
      <protection locked="0"/>
    </xf>
    <xf numFmtId="0" fontId="44" fillId="2" borderId="2" xfId="173" applyFont="1" applyFill="1" applyBorder="1" applyAlignment="1" applyProtection="1">
      <alignment horizontal="center" vertical="center" wrapText="1"/>
      <protection locked="0"/>
    </xf>
    <xf numFmtId="0" fontId="44" fillId="2" borderId="3" xfId="173" applyFont="1" applyFill="1" applyBorder="1" applyAlignment="1" applyProtection="1">
      <alignment horizontal="center" vertical="center" wrapText="1"/>
      <protection locked="0"/>
    </xf>
    <xf numFmtId="0" fontId="44" fillId="2" borderId="4" xfId="173" applyFont="1" applyFill="1" applyBorder="1" applyAlignment="1" applyProtection="1">
      <alignment horizontal="center" vertical="center" wrapText="1"/>
      <protection locked="0"/>
    </xf>
    <xf numFmtId="0" fontId="43" fillId="2" borderId="9" xfId="173" applyFont="1" applyFill="1" applyBorder="1" applyAlignment="1" applyProtection="1">
      <alignment horizontal="center" vertical="center" wrapText="1"/>
      <protection locked="0"/>
    </xf>
    <xf numFmtId="0" fontId="43" fillId="2" borderId="7" xfId="173" applyFont="1" applyFill="1" applyBorder="1" applyAlignment="1" applyProtection="1">
      <alignment horizontal="center" vertical="center" wrapText="1"/>
      <protection locked="0"/>
    </xf>
    <xf numFmtId="0" fontId="32" fillId="2" borderId="1" xfId="173" applyFont="1" applyFill="1" applyBorder="1" applyAlignment="1" applyProtection="1">
      <alignment horizontal="center" vertical="center" wrapText="1"/>
      <protection locked="0"/>
    </xf>
    <xf numFmtId="0" fontId="43" fillId="2" borderId="1" xfId="173" applyFont="1" applyFill="1" applyBorder="1" applyAlignment="1" applyProtection="1">
      <alignment horizontal="center" vertical="center" wrapText="1"/>
      <protection locked="0"/>
    </xf>
    <xf numFmtId="0" fontId="33" fillId="0" borderId="0" xfId="172" applyFont="1" applyAlignment="1">
      <alignment horizontal="center"/>
    </xf>
    <xf numFmtId="0" fontId="57" fillId="0" borderId="0" xfId="172" applyFont="1" applyAlignment="1" applyProtection="1">
      <alignment horizontal="center" vertical="center"/>
      <protection locked="0"/>
    </xf>
    <xf numFmtId="0" fontId="60" fillId="2" borderId="2" xfId="173" applyFont="1" applyFill="1" applyBorder="1" applyAlignment="1" applyProtection="1">
      <alignment horizontal="center" vertical="center" wrapText="1"/>
      <protection locked="0"/>
    </xf>
    <xf numFmtId="0" fontId="60" fillId="2" borderId="3" xfId="173" applyFont="1" applyFill="1" applyBorder="1" applyAlignment="1" applyProtection="1">
      <alignment horizontal="center" vertical="center" wrapText="1"/>
      <protection locked="0"/>
    </xf>
    <xf numFmtId="0" fontId="60" fillId="2" borderId="4" xfId="173" applyFont="1" applyFill="1" applyBorder="1" applyAlignment="1" applyProtection="1">
      <alignment horizontal="center" vertical="center" wrapText="1"/>
      <protection locked="0"/>
    </xf>
    <xf numFmtId="0" fontId="60" fillId="2" borderId="9" xfId="173" applyFont="1" applyFill="1" applyBorder="1" applyAlignment="1" applyProtection="1">
      <alignment horizontal="center" vertical="center" wrapText="1"/>
      <protection locked="0"/>
    </xf>
    <xf numFmtId="0" fontId="60" fillId="2" borderId="5" xfId="173" applyFont="1" applyFill="1" applyBorder="1" applyAlignment="1" applyProtection="1">
      <alignment horizontal="center" vertical="center" wrapText="1"/>
      <protection locked="0"/>
    </xf>
    <xf numFmtId="0" fontId="60" fillId="2" borderId="7" xfId="173" applyFont="1" applyFill="1" applyBorder="1" applyAlignment="1" applyProtection="1">
      <alignment horizontal="center" vertical="center" wrapText="1"/>
      <protection locked="0"/>
    </xf>
    <xf numFmtId="0" fontId="60" fillId="2" borderId="6" xfId="173" applyFont="1" applyFill="1" applyBorder="1" applyAlignment="1" applyProtection="1">
      <alignment horizontal="center" vertical="center" wrapText="1"/>
      <protection locked="0"/>
    </xf>
    <xf numFmtId="0" fontId="60" fillId="2" borderId="1" xfId="173" applyFont="1" applyFill="1" applyBorder="1" applyAlignment="1" applyProtection="1">
      <alignment horizontal="center" vertical="center" wrapText="1"/>
      <protection locked="0"/>
    </xf>
    <xf numFmtId="0" fontId="60" fillId="6" borderId="5" xfId="173" applyFont="1" applyFill="1" applyBorder="1" applyAlignment="1" applyProtection="1">
      <alignment horizontal="right" vertical="center" wrapText="1"/>
      <protection locked="0"/>
    </xf>
    <xf numFmtId="0" fontId="60" fillId="6" borderId="7" xfId="173" applyFont="1" applyFill="1" applyBorder="1" applyAlignment="1" applyProtection="1">
      <alignment horizontal="right" vertical="center" wrapText="1"/>
      <protection locked="0"/>
    </xf>
    <xf numFmtId="0" fontId="60" fillId="6" borderId="6" xfId="173" applyFont="1" applyFill="1" applyBorder="1" applyAlignment="1" applyProtection="1">
      <alignment horizontal="right" vertical="center" wrapText="1"/>
      <protection locked="0"/>
    </xf>
    <xf numFmtId="0" fontId="57" fillId="0" borderId="0" xfId="172" applyFont="1" applyAlignment="1">
      <alignment horizontal="center"/>
    </xf>
  </cellXfs>
  <cellStyles count="2692">
    <cellStyle name="Comma [0]" xfId="6" builtinId="6"/>
    <cellStyle name="Comma [0] 10" xfId="334"/>
    <cellStyle name="Comma [0] 10 2" xfId="1130"/>
    <cellStyle name="Comma [0] 10 2 2" xfId="2464"/>
    <cellStyle name="Comma [0] 10 3" xfId="1328"/>
    <cellStyle name="Comma [0] 10 3 2" xfId="2660"/>
    <cellStyle name="Comma [0] 10 4" xfId="1672"/>
    <cellStyle name="Comma [0] 2" xfId="4"/>
    <cellStyle name="Comma [0] 2 10" xfId="1311"/>
    <cellStyle name="Comma [0] 2 10 2" xfId="2644"/>
    <cellStyle name="Comma [0] 2 11" xfId="1360"/>
    <cellStyle name="Comma [0] 2 2" xfId="24"/>
    <cellStyle name="Comma [0] 2 2 2" xfId="48"/>
    <cellStyle name="Comma [0] 2 2 2 2" xfId="120"/>
    <cellStyle name="Comma [0] 2 2 2 2 2" xfId="270"/>
    <cellStyle name="Comma [0] 2 2 2 2 2 2" xfId="590"/>
    <cellStyle name="Comma [0] 2 2 2 2 2 2 2" xfId="1282"/>
    <cellStyle name="Comma [0] 2 2 2 2 2 2 2 2" xfId="2616"/>
    <cellStyle name="Comma [0] 2 2 2 2 2 2 3" xfId="1344"/>
    <cellStyle name="Comma [0] 2 2 2 2 2 2 3 2" xfId="2676"/>
    <cellStyle name="Comma [0] 2 2 2 2 2 2 4" xfId="1927"/>
    <cellStyle name="Comma [0] 2 2 2 2 2 3" xfId="890"/>
    <cellStyle name="Comma [0] 2 2 2 2 2 3 2" xfId="2227"/>
    <cellStyle name="Comma [0] 2 2 2 2 2 4" xfId="1088"/>
    <cellStyle name="Comma [0] 2 2 2 2 2 4 2" xfId="2423"/>
    <cellStyle name="Comma [0] 2 2 2 2 2 5" xfId="1327"/>
    <cellStyle name="Comma [0] 2 2 2 2 2 5 2" xfId="2659"/>
    <cellStyle name="Comma [0] 2 2 2 2 2 6" xfId="1616"/>
    <cellStyle name="Comma [0] 2 2 2 2 3" xfId="446"/>
    <cellStyle name="Comma [0] 2 2 2 2 3 2" xfId="1188"/>
    <cellStyle name="Comma [0] 2 2 2 2 3 2 2" xfId="2522"/>
    <cellStyle name="Comma [0] 2 2 2 2 3 3" xfId="1336"/>
    <cellStyle name="Comma [0] 2 2 2 2 3 3 2" xfId="2668"/>
    <cellStyle name="Comma [0] 2 2 2 2 3 4" xfId="1783"/>
    <cellStyle name="Comma [0] 2 2 2 2 4" xfId="740"/>
    <cellStyle name="Comma [0] 2 2 2 2 4 2" xfId="2077"/>
    <cellStyle name="Comma [0] 2 2 2 2 5" xfId="990"/>
    <cellStyle name="Comma [0] 2 2 2 2 5 2" xfId="2327"/>
    <cellStyle name="Comma [0] 2 2 2 2 6" xfId="1319"/>
    <cellStyle name="Comma [0] 2 2 2 2 6 2" xfId="2651"/>
    <cellStyle name="Comma [0] 2 2 2 2 7" xfId="1470"/>
    <cellStyle name="Comma [0] 2 2 2 3" xfId="198"/>
    <cellStyle name="Comma [0] 2 2 2 3 2" xfId="518"/>
    <cellStyle name="Comma [0] 2 2 2 3 2 2" xfId="1232"/>
    <cellStyle name="Comma [0] 2 2 2 3 2 2 2" xfId="2566"/>
    <cellStyle name="Comma [0] 2 2 2 3 2 3" xfId="1340"/>
    <cellStyle name="Comma [0] 2 2 2 3 2 3 2" xfId="2672"/>
    <cellStyle name="Comma [0] 2 2 2 3 2 4" xfId="1855"/>
    <cellStyle name="Comma [0] 2 2 2 3 3" xfId="818"/>
    <cellStyle name="Comma [0] 2 2 2 3 3 2" xfId="2155"/>
    <cellStyle name="Comma [0] 2 2 2 3 4" xfId="1038"/>
    <cellStyle name="Comma [0] 2 2 2 3 4 2" xfId="2373"/>
    <cellStyle name="Comma [0] 2 2 2 3 5" xfId="1323"/>
    <cellStyle name="Comma [0] 2 2 2 3 5 2" xfId="2655"/>
    <cellStyle name="Comma [0] 2 2 2 3 6" xfId="1544"/>
    <cellStyle name="Comma [0] 2 2 2 4" xfId="374"/>
    <cellStyle name="Comma [0] 2 2 2 4 2" xfId="1152"/>
    <cellStyle name="Comma [0] 2 2 2 4 2 2" xfId="2486"/>
    <cellStyle name="Comma [0] 2 2 2 4 3" xfId="1332"/>
    <cellStyle name="Comma [0] 2 2 2 4 3 2" xfId="2664"/>
    <cellStyle name="Comma [0] 2 2 2 4 4" xfId="1711"/>
    <cellStyle name="Comma [0] 2 2 2 5" xfId="668"/>
    <cellStyle name="Comma [0] 2 2 2 5 2" xfId="2005"/>
    <cellStyle name="Comma [0] 2 2 2 6" xfId="954"/>
    <cellStyle name="Comma [0] 2 2 2 6 2" xfId="2291"/>
    <cellStyle name="Comma [0] 2 2 2 7" xfId="1315"/>
    <cellStyle name="Comma [0] 2 2 2 7 2" xfId="2647"/>
    <cellStyle name="Comma [0] 2 2 2 8" xfId="1398"/>
    <cellStyle name="Comma [0] 2 2 3" xfId="97"/>
    <cellStyle name="Comma [0] 2 2 3 2" xfId="247"/>
    <cellStyle name="Comma [0] 2 2 3 2 2" xfId="567"/>
    <cellStyle name="Comma [0] 2 2 3 2 2 2" xfId="1269"/>
    <cellStyle name="Comma [0] 2 2 3 2 2 2 2" xfId="2603"/>
    <cellStyle name="Comma [0] 2 2 3 2 2 3" xfId="1342"/>
    <cellStyle name="Comma [0] 2 2 3 2 2 3 2" xfId="2674"/>
    <cellStyle name="Comma [0] 2 2 3 2 2 4" xfId="1904"/>
    <cellStyle name="Comma [0] 2 2 3 2 3" xfId="867"/>
    <cellStyle name="Comma [0] 2 2 3 2 3 2" xfId="2204"/>
    <cellStyle name="Comma [0] 2 2 3 2 4" xfId="1075"/>
    <cellStyle name="Comma [0] 2 2 3 2 4 2" xfId="2410"/>
    <cellStyle name="Comma [0] 2 2 3 2 5" xfId="1325"/>
    <cellStyle name="Comma [0] 2 2 3 2 5 2" xfId="2657"/>
    <cellStyle name="Comma [0] 2 2 3 2 6" xfId="1593"/>
    <cellStyle name="Comma [0] 2 2 3 3" xfId="423"/>
    <cellStyle name="Comma [0] 2 2 3 3 2" xfId="1178"/>
    <cellStyle name="Comma [0] 2 2 3 3 2 2" xfId="2512"/>
    <cellStyle name="Comma [0] 2 2 3 3 3" xfId="1334"/>
    <cellStyle name="Comma [0] 2 2 3 3 3 2" xfId="2666"/>
    <cellStyle name="Comma [0] 2 2 3 3 4" xfId="1760"/>
    <cellStyle name="Comma [0] 2 2 3 4" xfId="717"/>
    <cellStyle name="Comma [0] 2 2 3 4 2" xfId="2054"/>
    <cellStyle name="Comma [0] 2 2 3 5" xfId="980"/>
    <cellStyle name="Comma [0] 2 2 3 5 2" xfId="2317"/>
    <cellStyle name="Comma [0] 2 2 3 6" xfId="1317"/>
    <cellStyle name="Comma [0] 2 2 3 6 2" xfId="2649"/>
    <cellStyle name="Comma [0] 2 2 3 7" xfId="1447"/>
    <cellStyle name="Comma [0] 2 2 4" xfId="174"/>
    <cellStyle name="Comma [0] 2 2 4 2" xfId="495"/>
    <cellStyle name="Comma [0] 2 2 4 2 2" xfId="1219"/>
    <cellStyle name="Comma [0] 2 2 4 2 2 2" xfId="2553"/>
    <cellStyle name="Comma [0] 2 2 4 2 3" xfId="1338"/>
    <cellStyle name="Comma [0] 2 2 4 2 3 2" xfId="2670"/>
    <cellStyle name="Comma [0] 2 2 4 2 4" xfId="1832"/>
    <cellStyle name="Comma [0] 2 2 4 3" xfId="794"/>
    <cellStyle name="Comma [0] 2 2 4 3 2" xfId="2131"/>
    <cellStyle name="Comma [0] 2 2 4 4" xfId="1024"/>
    <cellStyle name="Comma [0] 2 2 4 4 2" xfId="2360"/>
    <cellStyle name="Comma [0] 2 2 4 5" xfId="1321"/>
    <cellStyle name="Comma [0] 2 2 4 5 2" xfId="2653"/>
    <cellStyle name="Comma [0] 2 2 4 6" xfId="1521"/>
    <cellStyle name="Comma [0] 2 2 5" xfId="351"/>
    <cellStyle name="Comma [0] 2 2 5 2" xfId="1142"/>
    <cellStyle name="Comma [0] 2 2 5 2 2" xfId="2476"/>
    <cellStyle name="Comma [0] 2 2 5 3" xfId="1330"/>
    <cellStyle name="Comma [0] 2 2 5 3 2" xfId="2662"/>
    <cellStyle name="Comma [0] 2 2 5 4" xfId="1688"/>
    <cellStyle name="Comma [0] 2 2 6" xfId="645"/>
    <cellStyle name="Comma [0] 2 2 6 2" xfId="1982"/>
    <cellStyle name="Comma [0] 2 2 7" xfId="944"/>
    <cellStyle name="Comma [0] 2 2 7 2" xfId="2281"/>
    <cellStyle name="Comma [0] 2 2 8" xfId="1313"/>
    <cellStyle name="Comma [0] 2 2 8 2" xfId="2645"/>
    <cellStyle name="Comma [0] 2 2 9" xfId="1375"/>
    <cellStyle name="Comma [0] 2 3" xfId="47"/>
    <cellStyle name="Comma [0] 2 3 2" xfId="119"/>
    <cellStyle name="Comma [0] 2 3 2 2" xfId="269"/>
    <cellStyle name="Comma [0] 2 3 2 2 2" xfId="589"/>
    <cellStyle name="Comma [0] 2 3 2 2 2 2" xfId="1281"/>
    <cellStyle name="Comma [0] 2 3 2 2 2 2 2" xfId="2615"/>
    <cellStyle name="Comma [0] 2 3 2 2 2 3" xfId="1343"/>
    <cellStyle name="Comma [0] 2 3 2 2 2 3 2" xfId="2675"/>
    <cellStyle name="Comma [0] 2 3 2 2 2 4" xfId="1926"/>
    <cellStyle name="Comma [0] 2 3 2 2 3" xfId="889"/>
    <cellStyle name="Comma [0] 2 3 2 2 3 2" xfId="2226"/>
    <cellStyle name="Comma [0] 2 3 2 2 4" xfId="1087"/>
    <cellStyle name="Comma [0] 2 3 2 2 4 2" xfId="2422"/>
    <cellStyle name="Comma [0] 2 3 2 2 5" xfId="1326"/>
    <cellStyle name="Comma [0] 2 3 2 2 5 2" xfId="2658"/>
    <cellStyle name="Comma [0] 2 3 2 2 6" xfId="1615"/>
    <cellStyle name="Comma [0] 2 3 2 3" xfId="445"/>
    <cellStyle name="Comma [0] 2 3 2 3 2" xfId="1187"/>
    <cellStyle name="Comma [0] 2 3 2 3 2 2" xfId="2521"/>
    <cellStyle name="Comma [0] 2 3 2 3 3" xfId="1335"/>
    <cellStyle name="Comma [0] 2 3 2 3 3 2" xfId="2667"/>
    <cellStyle name="Comma [0] 2 3 2 3 4" xfId="1782"/>
    <cellStyle name="Comma [0] 2 3 2 4" xfId="739"/>
    <cellStyle name="Comma [0] 2 3 2 4 2" xfId="2076"/>
    <cellStyle name="Comma [0] 2 3 2 5" xfId="989"/>
    <cellStyle name="Comma [0] 2 3 2 5 2" xfId="2326"/>
    <cellStyle name="Comma [0] 2 3 2 6" xfId="1318"/>
    <cellStyle name="Comma [0] 2 3 2 6 2" xfId="2650"/>
    <cellStyle name="Comma [0] 2 3 2 7" xfId="1469"/>
    <cellStyle name="Comma [0] 2 3 3" xfId="197"/>
    <cellStyle name="Comma [0] 2 3 3 2" xfId="517"/>
    <cellStyle name="Comma [0] 2 3 3 2 2" xfId="1231"/>
    <cellStyle name="Comma [0] 2 3 3 2 2 2" xfId="2565"/>
    <cellStyle name="Comma [0] 2 3 3 2 3" xfId="1339"/>
    <cellStyle name="Comma [0] 2 3 3 2 3 2" xfId="2671"/>
    <cellStyle name="Comma [0] 2 3 3 2 4" xfId="1854"/>
    <cellStyle name="Comma [0] 2 3 3 3" xfId="817"/>
    <cellStyle name="Comma [0] 2 3 3 3 2" xfId="2154"/>
    <cellStyle name="Comma [0] 2 3 3 4" xfId="1037"/>
    <cellStyle name="Comma [0] 2 3 3 4 2" xfId="2372"/>
    <cellStyle name="Comma [0] 2 3 3 5" xfId="1322"/>
    <cellStyle name="Comma [0] 2 3 3 5 2" xfId="2654"/>
    <cellStyle name="Comma [0] 2 3 3 6" xfId="1543"/>
    <cellStyle name="Comma [0] 2 3 4" xfId="373"/>
    <cellStyle name="Comma [0] 2 3 4 2" xfId="1151"/>
    <cellStyle name="Comma [0] 2 3 4 2 2" xfId="2485"/>
    <cellStyle name="Comma [0] 2 3 4 3" xfId="1331"/>
    <cellStyle name="Comma [0] 2 3 4 3 2" xfId="2663"/>
    <cellStyle name="Comma [0] 2 3 4 4" xfId="1710"/>
    <cellStyle name="Comma [0] 2 3 5" xfId="667"/>
    <cellStyle name="Comma [0] 2 3 5 2" xfId="2004"/>
    <cellStyle name="Comma [0] 2 3 6" xfId="953"/>
    <cellStyle name="Comma [0] 2 3 6 2" xfId="2290"/>
    <cellStyle name="Comma [0] 2 3 7" xfId="1314"/>
    <cellStyle name="Comma [0] 2 3 7 2" xfId="2646"/>
    <cellStyle name="Comma [0] 2 3 8" xfId="1397"/>
    <cellStyle name="Comma [0] 2 4" xfId="83"/>
    <cellStyle name="Comma [0] 2 4 2" xfId="233"/>
    <cellStyle name="Comma [0] 2 4 2 2" xfId="553"/>
    <cellStyle name="Comma [0] 2 4 2 2 2" xfId="1256"/>
    <cellStyle name="Comma [0] 2 4 2 2 2 2" xfId="2590"/>
    <cellStyle name="Comma [0] 2 4 2 2 3" xfId="1341"/>
    <cellStyle name="Comma [0] 2 4 2 2 3 2" xfId="2673"/>
    <cellStyle name="Comma [0] 2 4 2 2 4" xfId="1890"/>
    <cellStyle name="Comma [0] 2 4 2 3" xfId="853"/>
    <cellStyle name="Comma [0] 2 4 2 3 2" xfId="2190"/>
    <cellStyle name="Comma [0] 2 4 2 4" xfId="1062"/>
    <cellStyle name="Comma [0] 2 4 2 4 2" xfId="2397"/>
    <cellStyle name="Comma [0] 2 4 2 5" xfId="1324"/>
    <cellStyle name="Comma [0] 2 4 2 5 2" xfId="2656"/>
    <cellStyle name="Comma [0] 2 4 2 6" xfId="1579"/>
    <cellStyle name="Comma [0] 2 4 3" xfId="409"/>
    <cellStyle name="Comma [0] 2 4 3 2" xfId="1169"/>
    <cellStyle name="Comma [0] 2 4 3 2 2" xfId="2503"/>
    <cellStyle name="Comma [0] 2 4 3 3" xfId="1333"/>
    <cellStyle name="Comma [0] 2 4 3 3 2" xfId="2665"/>
    <cellStyle name="Comma [0] 2 4 3 4" xfId="1746"/>
    <cellStyle name="Comma [0] 2 4 4" xfId="703"/>
    <cellStyle name="Comma [0] 2 4 4 2" xfId="2040"/>
    <cellStyle name="Comma [0] 2 4 5" xfId="971"/>
    <cellStyle name="Comma [0] 2 4 5 2" xfId="2308"/>
    <cellStyle name="Comma [0] 2 4 6" xfId="1316"/>
    <cellStyle name="Comma [0] 2 4 6 2" xfId="2648"/>
    <cellStyle name="Comma [0] 2 4 7" xfId="1433"/>
    <cellStyle name="Comma [0] 2 5" xfId="155"/>
    <cellStyle name="Comma [0] 2 5 2" xfId="480"/>
    <cellStyle name="Comma [0] 2 5 2 2" xfId="1205"/>
    <cellStyle name="Comma [0] 2 5 2 2 2" xfId="2539"/>
    <cellStyle name="Comma [0] 2 5 2 3" xfId="1337"/>
    <cellStyle name="Comma [0] 2 5 2 3 2" xfId="2669"/>
    <cellStyle name="Comma [0] 2 5 2 4" xfId="1817"/>
    <cellStyle name="Comma [0] 2 5 3" xfId="775"/>
    <cellStyle name="Comma [0] 2 5 3 2" xfId="2112"/>
    <cellStyle name="Comma [0] 2 5 4" xfId="1007"/>
    <cellStyle name="Comma [0] 2 5 4 2" xfId="2344"/>
    <cellStyle name="Comma [0] 2 5 5" xfId="1320"/>
    <cellStyle name="Comma [0] 2 5 5 2" xfId="2652"/>
    <cellStyle name="Comma [0] 2 5 6" xfId="1504"/>
    <cellStyle name="Comma [0] 2 6" xfId="331"/>
    <cellStyle name="Comma [0] 2 6 2" xfId="1346"/>
    <cellStyle name="Comma [0] 2 6 2 2" xfId="2678"/>
    <cellStyle name="Comma [0] 2 7" xfId="335"/>
    <cellStyle name="Comma [0] 2 7 2" xfId="1131"/>
    <cellStyle name="Comma [0] 2 7 2 2" xfId="2465"/>
    <cellStyle name="Comma [0] 2 7 3" xfId="1329"/>
    <cellStyle name="Comma [0] 2 7 3 2" xfId="2661"/>
    <cellStyle name="Comma [0] 2 7 4" xfId="1673"/>
    <cellStyle name="Comma [0] 2 8" xfId="630"/>
    <cellStyle name="Comma [0] 2 8 2" xfId="1967"/>
    <cellStyle name="Comma [0] 2 9" xfId="932"/>
    <cellStyle name="Comma [0] 2 9 2" xfId="2269"/>
    <cellStyle name="Comma [0] 3" xfId="8"/>
    <cellStyle name="Comma [0] 3 2" xfId="25"/>
    <cellStyle name="Comma [0] 3 2 2" xfId="50"/>
    <cellStyle name="Comma [0] 3 2 2 2" xfId="122"/>
    <cellStyle name="Comma [0] 3 2 2 2 2" xfId="272"/>
    <cellStyle name="Comma [0] 3 2 2 2 2 2" xfId="592"/>
    <cellStyle name="Comma [0] 3 2 2 2 2 2 2" xfId="1284"/>
    <cellStyle name="Comma [0] 3 2 2 2 2 2 2 2" xfId="2618"/>
    <cellStyle name="Comma [0] 3 2 2 2 2 2 3" xfId="1929"/>
    <cellStyle name="Comma [0] 3 2 2 2 2 3" xfId="892"/>
    <cellStyle name="Comma [0] 3 2 2 2 2 3 2" xfId="2229"/>
    <cellStyle name="Comma [0] 3 2 2 2 2 4" xfId="1090"/>
    <cellStyle name="Comma [0] 3 2 2 2 2 4 2" xfId="2425"/>
    <cellStyle name="Comma [0] 3 2 2 2 2 5" xfId="1618"/>
    <cellStyle name="Comma [0] 3 2 2 2 3" xfId="448"/>
    <cellStyle name="Comma [0] 3 2 2 2 3 2" xfId="1785"/>
    <cellStyle name="Comma [0] 3 2 2 2 4" xfId="742"/>
    <cellStyle name="Comma [0] 3 2 2 2 4 2" xfId="2079"/>
    <cellStyle name="Comma [0] 3 2 2 2 5" xfId="1472"/>
    <cellStyle name="Comma [0] 3 2 2 3" xfId="200"/>
    <cellStyle name="Comma [0] 3 2 2 3 2" xfId="520"/>
    <cellStyle name="Comma [0] 3 2 2 3 2 2" xfId="1234"/>
    <cellStyle name="Comma [0] 3 2 2 3 2 2 2" xfId="2568"/>
    <cellStyle name="Comma [0] 3 2 2 3 2 3" xfId="1857"/>
    <cellStyle name="Comma [0] 3 2 2 3 3" xfId="820"/>
    <cellStyle name="Comma [0] 3 2 2 3 3 2" xfId="2157"/>
    <cellStyle name="Comma [0] 3 2 2 3 4" xfId="1040"/>
    <cellStyle name="Comma [0] 3 2 2 3 4 2" xfId="2375"/>
    <cellStyle name="Comma [0] 3 2 2 3 5" xfId="1546"/>
    <cellStyle name="Comma [0] 3 2 2 4" xfId="376"/>
    <cellStyle name="Comma [0] 3 2 2 4 2" xfId="1713"/>
    <cellStyle name="Comma [0] 3 2 2 5" xfId="670"/>
    <cellStyle name="Comma [0] 3 2 2 5 2" xfId="2007"/>
    <cellStyle name="Comma [0] 3 2 2 6" xfId="1400"/>
    <cellStyle name="Comma [0] 3 2 3" xfId="98"/>
    <cellStyle name="Comma [0] 3 2 3 2" xfId="248"/>
    <cellStyle name="Comma [0] 3 2 3 2 2" xfId="568"/>
    <cellStyle name="Comma [0] 3 2 3 2 2 2" xfId="1270"/>
    <cellStyle name="Comma [0] 3 2 3 2 2 2 2" xfId="2604"/>
    <cellStyle name="Comma [0] 3 2 3 2 2 3" xfId="1905"/>
    <cellStyle name="Comma [0] 3 2 3 2 3" xfId="868"/>
    <cellStyle name="Comma [0] 3 2 3 2 3 2" xfId="2205"/>
    <cellStyle name="Comma [0] 3 2 3 2 4" xfId="1076"/>
    <cellStyle name="Comma [0] 3 2 3 2 4 2" xfId="2411"/>
    <cellStyle name="Comma [0] 3 2 3 2 5" xfId="1594"/>
    <cellStyle name="Comma [0] 3 2 3 3" xfId="424"/>
    <cellStyle name="Comma [0] 3 2 3 3 2" xfId="1761"/>
    <cellStyle name="Comma [0] 3 2 3 4" xfId="718"/>
    <cellStyle name="Comma [0] 3 2 3 4 2" xfId="2055"/>
    <cellStyle name="Comma [0] 3 2 3 5" xfId="1448"/>
    <cellStyle name="Comma [0] 3 2 4" xfId="175"/>
    <cellStyle name="Comma [0] 3 2 4 2" xfId="496"/>
    <cellStyle name="Comma [0] 3 2 4 2 2" xfId="1220"/>
    <cellStyle name="Comma [0] 3 2 4 2 2 2" xfId="2554"/>
    <cellStyle name="Comma [0] 3 2 4 2 3" xfId="1833"/>
    <cellStyle name="Comma [0] 3 2 4 3" xfId="795"/>
    <cellStyle name="Comma [0] 3 2 4 3 2" xfId="2132"/>
    <cellStyle name="Comma [0] 3 2 4 4" xfId="1025"/>
    <cellStyle name="Comma [0] 3 2 4 4 2" xfId="2361"/>
    <cellStyle name="Comma [0] 3 2 4 5" xfId="1522"/>
    <cellStyle name="Comma [0] 3 2 5" xfId="352"/>
    <cellStyle name="Comma [0] 3 2 5 2" xfId="1689"/>
    <cellStyle name="Comma [0] 3 2 6" xfId="646"/>
    <cellStyle name="Comma [0] 3 2 6 2" xfId="1983"/>
    <cellStyle name="Comma [0] 3 2 7" xfId="1376"/>
    <cellStyle name="Comma [0] 3 3" xfId="49"/>
    <cellStyle name="Comma [0] 3 3 2" xfId="121"/>
    <cellStyle name="Comma [0] 3 3 2 2" xfId="271"/>
    <cellStyle name="Comma [0] 3 3 2 2 2" xfId="591"/>
    <cellStyle name="Comma [0] 3 3 2 2 2 2" xfId="1283"/>
    <cellStyle name="Comma [0] 3 3 2 2 2 2 2" xfId="2617"/>
    <cellStyle name="Comma [0] 3 3 2 2 2 3" xfId="1928"/>
    <cellStyle name="Comma [0] 3 3 2 2 3" xfId="891"/>
    <cellStyle name="Comma [0] 3 3 2 2 3 2" xfId="2228"/>
    <cellStyle name="Comma [0] 3 3 2 2 4" xfId="1089"/>
    <cellStyle name="Comma [0] 3 3 2 2 4 2" xfId="2424"/>
    <cellStyle name="Comma [0] 3 3 2 2 5" xfId="1617"/>
    <cellStyle name="Comma [0] 3 3 2 3" xfId="447"/>
    <cellStyle name="Comma [0] 3 3 2 3 2" xfId="1784"/>
    <cellStyle name="Comma [0] 3 3 2 4" xfId="741"/>
    <cellStyle name="Comma [0] 3 3 2 4 2" xfId="2078"/>
    <cellStyle name="Comma [0] 3 3 2 5" xfId="1471"/>
    <cellStyle name="Comma [0] 3 3 3" xfId="199"/>
    <cellStyle name="Comma [0] 3 3 3 2" xfId="519"/>
    <cellStyle name="Comma [0] 3 3 3 2 2" xfId="1233"/>
    <cellStyle name="Comma [0] 3 3 3 2 2 2" xfId="2567"/>
    <cellStyle name="Comma [0] 3 3 3 2 3" xfId="1856"/>
    <cellStyle name="Comma [0] 3 3 3 3" xfId="819"/>
    <cellStyle name="Comma [0] 3 3 3 3 2" xfId="2156"/>
    <cellStyle name="Comma [0] 3 3 3 4" xfId="1039"/>
    <cellStyle name="Comma [0] 3 3 3 4 2" xfId="2374"/>
    <cellStyle name="Comma [0] 3 3 3 5" xfId="1545"/>
    <cellStyle name="Comma [0] 3 3 4" xfId="375"/>
    <cellStyle name="Comma [0] 3 3 4 2" xfId="1712"/>
    <cellStyle name="Comma [0] 3 3 5" xfId="669"/>
    <cellStyle name="Comma [0] 3 3 5 2" xfId="2006"/>
    <cellStyle name="Comma [0] 3 3 6" xfId="1399"/>
    <cellStyle name="Comma [0] 3 4" xfId="86"/>
    <cellStyle name="Comma [0] 3 4 2" xfId="236"/>
    <cellStyle name="Comma [0] 3 4 2 2" xfId="556"/>
    <cellStyle name="Comma [0] 3 4 2 2 2" xfId="1259"/>
    <cellStyle name="Comma [0] 3 4 2 2 2 2" xfId="2593"/>
    <cellStyle name="Comma [0] 3 4 2 2 3" xfId="1893"/>
    <cellStyle name="Comma [0] 3 4 2 3" xfId="856"/>
    <cellStyle name="Comma [0] 3 4 2 3 2" xfId="2193"/>
    <cellStyle name="Comma [0] 3 4 2 4" xfId="1065"/>
    <cellStyle name="Comma [0] 3 4 2 4 2" xfId="2400"/>
    <cellStyle name="Comma [0] 3 4 2 5" xfId="1582"/>
    <cellStyle name="Comma [0] 3 4 3" xfId="412"/>
    <cellStyle name="Comma [0] 3 4 3 2" xfId="1749"/>
    <cellStyle name="Comma [0] 3 4 4" xfId="706"/>
    <cellStyle name="Comma [0] 3 4 4 2" xfId="2043"/>
    <cellStyle name="Comma [0] 3 4 5" xfId="1436"/>
    <cellStyle name="Comma [0] 3 5" xfId="159"/>
    <cellStyle name="Comma [0] 3 5 2" xfId="484"/>
    <cellStyle name="Comma [0] 3 5 2 2" xfId="1209"/>
    <cellStyle name="Comma [0] 3 5 2 2 2" xfId="2543"/>
    <cellStyle name="Comma [0] 3 5 2 3" xfId="1821"/>
    <cellStyle name="Comma [0] 3 5 3" xfId="779"/>
    <cellStyle name="Comma [0] 3 5 3 2" xfId="2116"/>
    <cellStyle name="Comma [0] 3 5 4" xfId="1011"/>
    <cellStyle name="Comma [0] 3 5 4 2" xfId="2348"/>
    <cellStyle name="Comma [0] 3 5 5" xfId="1508"/>
    <cellStyle name="Comma [0] 3 6" xfId="320"/>
    <cellStyle name="Comma [0] 3 6 2" xfId="929"/>
    <cellStyle name="Comma [0] 3 6 2 2" xfId="2266"/>
    <cellStyle name="Comma [0] 3 6 3" xfId="1661"/>
    <cellStyle name="Comma [0] 3 6 4" xfId="2691"/>
    <cellStyle name="Comma [0] 3 7" xfId="337"/>
    <cellStyle name="Comma [0] 3 7 2" xfId="1675"/>
    <cellStyle name="Comma [0] 3 8" xfId="632"/>
    <cellStyle name="Comma [0] 3 8 2" xfId="1969"/>
    <cellStyle name="Comma [0] 3 9" xfId="1362"/>
    <cellStyle name="Comma [0] 4" xfId="11"/>
    <cellStyle name="Comma [0] 4 2" xfId="26"/>
    <cellStyle name="Comma [0] 4 2 2" xfId="52"/>
    <cellStyle name="Comma [0] 4 2 2 2" xfId="124"/>
    <cellStyle name="Comma [0] 4 2 2 2 2" xfId="274"/>
    <cellStyle name="Comma [0] 4 2 2 2 2 2" xfId="594"/>
    <cellStyle name="Comma [0] 4 2 2 2 2 2 2" xfId="1931"/>
    <cellStyle name="Comma [0] 4 2 2 2 2 3" xfId="894"/>
    <cellStyle name="Comma [0] 4 2 2 2 2 3 2" xfId="2231"/>
    <cellStyle name="Comma [0] 4 2 2 2 2 4" xfId="1620"/>
    <cellStyle name="Comma [0] 4 2 2 2 3" xfId="450"/>
    <cellStyle name="Comma [0] 4 2 2 2 3 2" xfId="1787"/>
    <cellStyle name="Comma [0] 4 2 2 2 4" xfId="744"/>
    <cellStyle name="Comma [0] 4 2 2 2 4 2" xfId="2081"/>
    <cellStyle name="Comma [0] 4 2 2 2 5" xfId="1474"/>
    <cellStyle name="Comma [0] 4 2 2 3" xfId="202"/>
    <cellStyle name="Comma [0] 4 2 2 3 2" xfId="522"/>
    <cellStyle name="Comma [0] 4 2 2 3 2 2" xfId="1859"/>
    <cellStyle name="Comma [0] 4 2 2 3 3" xfId="822"/>
    <cellStyle name="Comma [0] 4 2 2 3 3 2" xfId="2159"/>
    <cellStyle name="Comma [0] 4 2 2 3 4" xfId="1548"/>
    <cellStyle name="Comma [0] 4 2 2 4" xfId="378"/>
    <cellStyle name="Comma [0] 4 2 2 4 2" xfId="1715"/>
    <cellStyle name="Comma [0] 4 2 2 5" xfId="672"/>
    <cellStyle name="Comma [0] 4 2 2 5 2" xfId="2009"/>
    <cellStyle name="Comma [0] 4 2 2 6" xfId="1402"/>
    <cellStyle name="Comma [0] 4 2 3" xfId="99"/>
    <cellStyle name="Comma [0] 4 2 3 2" xfId="249"/>
    <cellStyle name="Comma [0] 4 2 3 2 2" xfId="569"/>
    <cellStyle name="Comma [0] 4 2 3 2 2 2" xfId="1906"/>
    <cellStyle name="Comma [0] 4 2 3 2 3" xfId="869"/>
    <cellStyle name="Comma [0] 4 2 3 2 3 2" xfId="2206"/>
    <cellStyle name="Comma [0] 4 2 3 2 4" xfId="1595"/>
    <cellStyle name="Comma [0] 4 2 3 3" xfId="425"/>
    <cellStyle name="Comma [0] 4 2 3 3 2" xfId="1762"/>
    <cellStyle name="Comma [0] 4 2 3 4" xfId="719"/>
    <cellStyle name="Comma [0] 4 2 3 4 2" xfId="2056"/>
    <cellStyle name="Comma [0] 4 2 3 5" xfId="1449"/>
    <cellStyle name="Comma [0] 4 2 4" xfId="176"/>
    <cellStyle name="Comma [0] 4 2 4 2" xfId="497"/>
    <cellStyle name="Comma [0] 4 2 4 2 2" xfId="1834"/>
    <cellStyle name="Comma [0] 4 2 4 3" xfId="796"/>
    <cellStyle name="Comma [0] 4 2 4 3 2" xfId="2133"/>
    <cellStyle name="Comma [0] 4 2 4 4" xfId="1523"/>
    <cellStyle name="Comma [0] 4 2 5" xfId="353"/>
    <cellStyle name="Comma [0] 4 2 5 2" xfId="1690"/>
    <cellStyle name="Comma [0] 4 2 6" xfId="647"/>
    <cellStyle name="Comma [0] 4 2 6 2" xfId="1984"/>
    <cellStyle name="Comma [0] 4 2 7" xfId="1377"/>
    <cellStyle name="Comma [0] 4 3" xfId="51"/>
    <cellStyle name="Comma [0] 4 3 2" xfId="123"/>
    <cellStyle name="Comma [0] 4 3 2 2" xfId="273"/>
    <cellStyle name="Comma [0] 4 3 2 2 2" xfId="593"/>
    <cellStyle name="Comma [0] 4 3 2 2 2 2" xfId="1930"/>
    <cellStyle name="Comma [0] 4 3 2 2 3" xfId="893"/>
    <cellStyle name="Comma [0] 4 3 2 2 3 2" xfId="2230"/>
    <cellStyle name="Comma [0] 4 3 2 2 4" xfId="1619"/>
    <cellStyle name="Comma [0] 4 3 2 3" xfId="449"/>
    <cellStyle name="Comma [0] 4 3 2 3 2" xfId="1786"/>
    <cellStyle name="Comma [0] 4 3 2 4" xfId="743"/>
    <cellStyle name="Comma [0] 4 3 2 4 2" xfId="2080"/>
    <cellStyle name="Comma [0] 4 3 2 5" xfId="1473"/>
    <cellStyle name="Comma [0] 4 3 3" xfId="201"/>
    <cellStyle name="Comma [0] 4 3 3 2" xfId="521"/>
    <cellStyle name="Comma [0] 4 3 3 2 2" xfId="1858"/>
    <cellStyle name="Comma [0] 4 3 3 3" xfId="821"/>
    <cellStyle name="Comma [0] 4 3 3 3 2" xfId="2158"/>
    <cellStyle name="Comma [0] 4 3 3 4" xfId="1547"/>
    <cellStyle name="Comma [0] 4 3 4" xfId="377"/>
    <cellStyle name="Comma [0] 4 3 4 2" xfId="1714"/>
    <cellStyle name="Comma [0] 4 3 5" xfId="671"/>
    <cellStyle name="Comma [0] 4 3 5 2" xfId="2008"/>
    <cellStyle name="Comma [0] 4 3 6" xfId="1401"/>
    <cellStyle name="Comma [0] 4 4" xfId="87"/>
    <cellStyle name="Comma [0] 4 4 2" xfId="237"/>
    <cellStyle name="Comma [0] 4 4 2 2" xfId="557"/>
    <cellStyle name="Comma [0] 4 4 2 2 2" xfId="1894"/>
    <cellStyle name="Comma [0] 4 4 2 3" xfId="857"/>
    <cellStyle name="Comma [0] 4 4 2 3 2" xfId="2194"/>
    <cellStyle name="Comma [0] 4 4 2 4" xfId="1583"/>
    <cellStyle name="Comma [0] 4 4 3" xfId="413"/>
    <cellStyle name="Comma [0] 4 4 3 2" xfId="1750"/>
    <cellStyle name="Comma [0] 4 4 4" xfId="707"/>
    <cellStyle name="Comma [0] 4 4 4 2" xfId="2044"/>
    <cellStyle name="Comma [0] 4 4 5" xfId="1437"/>
    <cellStyle name="Comma [0] 4 5" xfId="161"/>
    <cellStyle name="Comma [0] 4 5 2" xfId="485"/>
    <cellStyle name="Comma [0] 4 5 2 2" xfId="1822"/>
    <cellStyle name="Comma [0] 4 5 3" xfId="781"/>
    <cellStyle name="Comma [0] 4 5 3 2" xfId="2118"/>
    <cellStyle name="Comma [0] 4 5 4" xfId="1509"/>
    <cellStyle name="Comma [0] 4 6" xfId="310"/>
    <cellStyle name="Comma [0] 4 6 2" xfId="627"/>
    <cellStyle name="Comma [0] 4 6 2 2" xfId="1964"/>
    <cellStyle name="Comma [0] 4 6 3" xfId="1347"/>
    <cellStyle name="Comma [0] 4 6 3 2" xfId="2679"/>
    <cellStyle name="Comma [0] 4 6 4" xfId="1654"/>
    <cellStyle name="Comma [0] 4 7" xfId="339"/>
    <cellStyle name="Comma [0] 4 7 2" xfId="1676"/>
    <cellStyle name="Comma [0] 4 8" xfId="633"/>
    <cellStyle name="Comma [0] 4 8 2" xfId="1970"/>
    <cellStyle name="Comma [0] 4 9" xfId="1363"/>
    <cellStyle name="Comma [0] 5" xfId="15"/>
    <cellStyle name="Comma [0] 5 2" xfId="27"/>
    <cellStyle name="Comma [0] 5 2 2" xfId="54"/>
    <cellStyle name="Comma [0] 5 2 2 2" xfId="126"/>
    <cellStyle name="Comma [0] 5 2 2 2 2" xfId="276"/>
    <cellStyle name="Comma [0] 5 2 2 2 2 2" xfId="596"/>
    <cellStyle name="Comma [0] 5 2 2 2 2 2 2" xfId="1286"/>
    <cellStyle name="Comma [0] 5 2 2 2 2 2 2 2" xfId="2620"/>
    <cellStyle name="Comma [0] 5 2 2 2 2 2 3" xfId="1933"/>
    <cellStyle name="Comma [0] 5 2 2 2 2 3" xfId="896"/>
    <cellStyle name="Comma [0] 5 2 2 2 2 3 2" xfId="2233"/>
    <cellStyle name="Comma [0] 5 2 2 2 2 4" xfId="1092"/>
    <cellStyle name="Comma [0] 5 2 2 2 2 4 2" xfId="2427"/>
    <cellStyle name="Comma [0] 5 2 2 2 2 5" xfId="1622"/>
    <cellStyle name="Comma [0] 5 2 2 2 3" xfId="452"/>
    <cellStyle name="Comma [0] 5 2 2 2 3 2" xfId="1789"/>
    <cellStyle name="Comma [0] 5 2 2 2 4" xfId="746"/>
    <cellStyle name="Comma [0] 5 2 2 2 4 2" xfId="2083"/>
    <cellStyle name="Comma [0] 5 2 2 2 5" xfId="1476"/>
    <cellStyle name="Comma [0] 5 2 2 3" xfId="204"/>
    <cellStyle name="Comma [0] 5 2 2 3 2" xfId="524"/>
    <cellStyle name="Comma [0] 5 2 2 3 2 2" xfId="1236"/>
    <cellStyle name="Comma [0] 5 2 2 3 2 2 2" xfId="2570"/>
    <cellStyle name="Comma [0] 5 2 2 3 2 3" xfId="1861"/>
    <cellStyle name="Comma [0] 5 2 2 3 3" xfId="824"/>
    <cellStyle name="Comma [0] 5 2 2 3 3 2" xfId="2161"/>
    <cellStyle name="Comma [0] 5 2 2 3 4" xfId="1042"/>
    <cellStyle name="Comma [0] 5 2 2 3 4 2" xfId="2377"/>
    <cellStyle name="Comma [0] 5 2 2 3 5" xfId="1550"/>
    <cellStyle name="Comma [0] 5 2 2 4" xfId="380"/>
    <cellStyle name="Comma [0] 5 2 2 4 2" xfId="1717"/>
    <cellStyle name="Comma [0] 5 2 2 5" xfId="674"/>
    <cellStyle name="Comma [0] 5 2 2 5 2" xfId="2011"/>
    <cellStyle name="Comma [0] 5 2 2 6" xfId="1404"/>
    <cellStyle name="Comma [0] 5 2 3" xfId="100"/>
    <cellStyle name="Comma [0] 5 2 3 2" xfId="250"/>
    <cellStyle name="Comma [0] 5 2 3 2 2" xfId="570"/>
    <cellStyle name="Comma [0] 5 2 3 2 2 2" xfId="1271"/>
    <cellStyle name="Comma [0] 5 2 3 2 2 2 2" xfId="2605"/>
    <cellStyle name="Comma [0] 5 2 3 2 2 3" xfId="1907"/>
    <cellStyle name="Comma [0] 5 2 3 2 3" xfId="870"/>
    <cellStyle name="Comma [0] 5 2 3 2 3 2" xfId="2207"/>
    <cellStyle name="Comma [0] 5 2 3 2 4" xfId="1077"/>
    <cellStyle name="Comma [0] 5 2 3 2 4 2" xfId="2412"/>
    <cellStyle name="Comma [0] 5 2 3 2 5" xfId="1596"/>
    <cellStyle name="Comma [0] 5 2 3 3" xfId="426"/>
    <cellStyle name="Comma [0] 5 2 3 3 2" xfId="1763"/>
    <cellStyle name="Comma [0] 5 2 3 4" xfId="720"/>
    <cellStyle name="Comma [0] 5 2 3 4 2" xfId="2057"/>
    <cellStyle name="Comma [0] 5 2 3 5" xfId="1450"/>
    <cellStyle name="Comma [0] 5 2 4" xfId="177"/>
    <cellStyle name="Comma [0] 5 2 4 2" xfId="498"/>
    <cellStyle name="Comma [0] 5 2 4 2 2" xfId="1221"/>
    <cellStyle name="Comma [0] 5 2 4 2 2 2" xfId="2555"/>
    <cellStyle name="Comma [0] 5 2 4 2 3" xfId="1835"/>
    <cellStyle name="Comma [0] 5 2 4 3" xfId="797"/>
    <cellStyle name="Comma [0] 5 2 4 3 2" xfId="2134"/>
    <cellStyle name="Comma [0] 5 2 4 4" xfId="1026"/>
    <cellStyle name="Comma [0] 5 2 4 4 2" xfId="2362"/>
    <cellStyle name="Comma [0] 5 2 4 5" xfId="1524"/>
    <cellStyle name="Comma [0] 5 2 5" xfId="354"/>
    <cellStyle name="Comma [0] 5 2 5 2" xfId="1691"/>
    <cellStyle name="Comma [0] 5 2 6" xfId="648"/>
    <cellStyle name="Comma [0] 5 2 6 2" xfId="1985"/>
    <cellStyle name="Comma [0] 5 2 7" xfId="1378"/>
    <cellStyle name="Comma [0] 5 3" xfId="53"/>
    <cellStyle name="Comma [0] 5 3 2" xfId="125"/>
    <cellStyle name="Comma [0] 5 3 2 2" xfId="275"/>
    <cellStyle name="Comma [0] 5 3 2 2 2" xfId="595"/>
    <cellStyle name="Comma [0] 5 3 2 2 2 2" xfId="1285"/>
    <cellStyle name="Comma [0] 5 3 2 2 2 2 2" xfId="2619"/>
    <cellStyle name="Comma [0] 5 3 2 2 2 3" xfId="1932"/>
    <cellStyle name="Comma [0] 5 3 2 2 3" xfId="895"/>
    <cellStyle name="Comma [0] 5 3 2 2 3 2" xfId="2232"/>
    <cellStyle name="Comma [0] 5 3 2 2 4" xfId="1091"/>
    <cellStyle name="Comma [0] 5 3 2 2 4 2" xfId="2426"/>
    <cellStyle name="Comma [0] 5 3 2 2 5" xfId="1621"/>
    <cellStyle name="Comma [0] 5 3 2 3" xfId="451"/>
    <cellStyle name="Comma [0] 5 3 2 3 2" xfId="1788"/>
    <cellStyle name="Comma [0] 5 3 2 4" xfId="745"/>
    <cellStyle name="Comma [0] 5 3 2 4 2" xfId="2082"/>
    <cellStyle name="Comma [0] 5 3 2 5" xfId="1475"/>
    <cellStyle name="Comma [0] 5 3 3" xfId="203"/>
    <cellStyle name="Comma [0] 5 3 3 2" xfId="523"/>
    <cellStyle name="Comma [0] 5 3 3 2 2" xfId="1235"/>
    <cellStyle name="Comma [0] 5 3 3 2 2 2" xfId="2569"/>
    <cellStyle name="Comma [0] 5 3 3 2 3" xfId="1860"/>
    <cellStyle name="Comma [0] 5 3 3 3" xfId="823"/>
    <cellStyle name="Comma [0] 5 3 3 3 2" xfId="2160"/>
    <cellStyle name="Comma [0] 5 3 3 4" xfId="1041"/>
    <cellStyle name="Comma [0] 5 3 3 4 2" xfId="2376"/>
    <cellStyle name="Comma [0] 5 3 3 5" xfId="1549"/>
    <cellStyle name="Comma [0] 5 3 4" xfId="379"/>
    <cellStyle name="Comma [0] 5 3 4 2" xfId="1716"/>
    <cellStyle name="Comma [0] 5 3 5" xfId="673"/>
    <cellStyle name="Comma [0] 5 3 5 2" xfId="2010"/>
    <cellStyle name="Comma [0] 5 3 6" xfId="1403"/>
    <cellStyle name="Comma [0] 5 4" xfId="91"/>
    <cellStyle name="Comma [0] 5 4 2" xfId="241"/>
    <cellStyle name="Comma [0] 5 4 2 2" xfId="561"/>
    <cellStyle name="Comma [0] 5 4 2 2 2" xfId="1263"/>
    <cellStyle name="Comma [0] 5 4 2 2 2 2" xfId="2597"/>
    <cellStyle name="Comma [0] 5 4 2 2 3" xfId="1898"/>
    <cellStyle name="Comma [0] 5 4 2 3" xfId="861"/>
    <cellStyle name="Comma [0] 5 4 2 3 2" xfId="2198"/>
    <cellStyle name="Comma [0] 5 4 2 4" xfId="1069"/>
    <cellStyle name="Comma [0] 5 4 2 4 2" xfId="2404"/>
    <cellStyle name="Comma [0] 5 4 2 5" xfId="1587"/>
    <cellStyle name="Comma [0] 5 4 3" xfId="417"/>
    <cellStyle name="Comma [0] 5 4 3 2" xfId="1754"/>
    <cellStyle name="Comma [0] 5 4 4" xfId="711"/>
    <cellStyle name="Comma [0] 5 4 4 2" xfId="2048"/>
    <cellStyle name="Comma [0] 5 4 5" xfId="1441"/>
    <cellStyle name="Comma [0] 5 5" xfId="165"/>
    <cellStyle name="Comma [0] 5 5 2" xfId="489"/>
    <cellStyle name="Comma [0] 5 5 2 2" xfId="1213"/>
    <cellStyle name="Comma [0] 5 5 2 2 2" xfId="2547"/>
    <cellStyle name="Comma [0] 5 5 2 3" xfId="1826"/>
    <cellStyle name="Comma [0] 5 5 3" xfId="785"/>
    <cellStyle name="Comma [0] 5 5 3 2" xfId="2122"/>
    <cellStyle name="Comma [0] 5 5 4" xfId="1016"/>
    <cellStyle name="Comma [0] 5 5 4 2" xfId="2352"/>
    <cellStyle name="Comma [0] 5 5 5" xfId="1513"/>
    <cellStyle name="Comma [0] 5 6" xfId="343"/>
    <cellStyle name="Comma [0] 5 6 2" xfId="1680"/>
    <cellStyle name="Comma [0] 5 7" xfId="637"/>
    <cellStyle name="Comma [0] 5 7 2" xfId="1974"/>
    <cellStyle name="Comma [0] 5 8" xfId="1367"/>
    <cellStyle name="Comma [0] 6" xfId="21"/>
    <cellStyle name="Comma [0] 6 2" xfId="28"/>
    <cellStyle name="Comma [0] 6 2 2" xfId="56"/>
    <cellStyle name="Comma [0] 6 2 2 2" xfId="128"/>
    <cellStyle name="Comma [0] 6 2 2 2 2" xfId="278"/>
    <cellStyle name="Comma [0] 6 2 2 2 2 2" xfId="598"/>
    <cellStyle name="Comma [0] 6 2 2 2 2 2 2" xfId="1288"/>
    <cellStyle name="Comma [0] 6 2 2 2 2 2 2 2" xfId="2622"/>
    <cellStyle name="Comma [0] 6 2 2 2 2 2 3" xfId="1935"/>
    <cellStyle name="Comma [0] 6 2 2 2 2 3" xfId="898"/>
    <cellStyle name="Comma [0] 6 2 2 2 2 3 2" xfId="2235"/>
    <cellStyle name="Comma [0] 6 2 2 2 2 4" xfId="1094"/>
    <cellStyle name="Comma [0] 6 2 2 2 2 4 2" xfId="2429"/>
    <cellStyle name="Comma [0] 6 2 2 2 2 5" xfId="1624"/>
    <cellStyle name="Comma [0] 6 2 2 2 3" xfId="454"/>
    <cellStyle name="Comma [0] 6 2 2 2 3 2" xfId="1791"/>
    <cellStyle name="Comma [0] 6 2 2 2 4" xfId="748"/>
    <cellStyle name="Comma [0] 6 2 2 2 4 2" xfId="2085"/>
    <cellStyle name="Comma [0] 6 2 2 2 5" xfId="1478"/>
    <cellStyle name="Comma [0] 6 2 2 3" xfId="206"/>
    <cellStyle name="Comma [0] 6 2 2 3 2" xfId="526"/>
    <cellStyle name="Comma [0] 6 2 2 3 2 2" xfId="1238"/>
    <cellStyle name="Comma [0] 6 2 2 3 2 2 2" xfId="2572"/>
    <cellStyle name="Comma [0] 6 2 2 3 2 3" xfId="1863"/>
    <cellStyle name="Comma [0] 6 2 2 3 3" xfId="826"/>
    <cellStyle name="Comma [0] 6 2 2 3 3 2" xfId="2163"/>
    <cellStyle name="Comma [0] 6 2 2 3 4" xfId="1044"/>
    <cellStyle name="Comma [0] 6 2 2 3 4 2" xfId="2379"/>
    <cellStyle name="Comma [0] 6 2 2 3 5" xfId="1552"/>
    <cellStyle name="Comma [0] 6 2 2 4" xfId="382"/>
    <cellStyle name="Comma [0] 6 2 2 4 2" xfId="1719"/>
    <cellStyle name="Comma [0] 6 2 2 5" xfId="676"/>
    <cellStyle name="Comma [0] 6 2 2 5 2" xfId="2013"/>
    <cellStyle name="Comma [0] 6 2 2 6" xfId="1406"/>
    <cellStyle name="Comma [0] 6 2 3" xfId="101"/>
    <cellStyle name="Comma [0] 6 2 3 2" xfId="251"/>
    <cellStyle name="Comma [0] 6 2 3 2 2" xfId="571"/>
    <cellStyle name="Comma [0] 6 2 3 2 2 2" xfId="1272"/>
    <cellStyle name="Comma [0] 6 2 3 2 2 2 2" xfId="2606"/>
    <cellStyle name="Comma [0] 6 2 3 2 2 3" xfId="1908"/>
    <cellStyle name="Comma [0] 6 2 3 2 3" xfId="871"/>
    <cellStyle name="Comma [0] 6 2 3 2 3 2" xfId="2208"/>
    <cellStyle name="Comma [0] 6 2 3 2 4" xfId="1078"/>
    <cellStyle name="Comma [0] 6 2 3 2 4 2" xfId="2413"/>
    <cellStyle name="Comma [0] 6 2 3 2 5" xfId="1597"/>
    <cellStyle name="Comma [0] 6 2 3 3" xfId="427"/>
    <cellStyle name="Comma [0] 6 2 3 3 2" xfId="1764"/>
    <cellStyle name="Comma [0] 6 2 3 4" xfId="721"/>
    <cellStyle name="Comma [0] 6 2 3 4 2" xfId="2058"/>
    <cellStyle name="Comma [0] 6 2 3 5" xfId="1451"/>
    <cellStyle name="Comma [0] 6 2 4" xfId="178"/>
    <cellStyle name="Comma [0] 6 2 4 2" xfId="499"/>
    <cellStyle name="Comma [0] 6 2 4 2 2" xfId="1222"/>
    <cellStyle name="Comma [0] 6 2 4 2 2 2" xfId="2556"/>
    <cellStyle name="Comma [0] 6 2 4 2 3" xfId="1836"/>
    <cellStyle name="Comma [0] 6 2 4 3" xfId="798"/>
    <cellStyle name="Comma [0] 6 2 4 3 2" xfId="2135"/>
    <cellStyle name="Comma [0] 6 2 4 4" xfId="1027"/>
    <cellStyle name="Comma [0] 6 2 4 4 2" xfId="2363"/>
    <cellStyle name="Comma [0] 6 2 4 5" xfId="1525"/>
    <cellStyle name="Comma [0] 6 2 5" xfId="355"/>
    <cellStyle name="Comma [0] 6 2 5 2" xfId="1692"/>
    <cellStyle name="Comma [0] 6 2 6" xfId="649"/>
    <cellStyle name="Comma [0] 6 2 6 2" xfId="1986"/>
    <cellStyle name="Comma [0] 6 2 7" xfId="1379"/>
    <cellStyle name="Comma [0] 6 3" xfId="55"/>
    <cellStyle name="Comma [0] 6 3 2" xfId="127"/>
    <cellStyle name="Comma [0] 6 3 2 2" xfId="277"/>
    <cellStyle name="Comma [0] 6 3 2 2 2" xfId="597"/>
    <cellStyle name="Comma [0] 6 3 2 2 2 2" xfId="1287"/>
    <cellStyle name="Comma [0] 6 3 2 2 2 2 2" xfId="2621"/>
    <cellStyle name="Comma [0] 6 3 2 2 2 3" xfId="1934"/>
    <cellStyle name="Comma [0] 6 3 2 2 3" xfId="897"/>
    <cellStyle name="Comma [0] 6 3 2 2 3 2" xfId="2234"/>
    <cellStyle name="Comma [0] 6 3 2 2 4" xfId="1093"/>
    <cellStyle name="Comma [0] 6 3 2 2 4 2" xfId="2428"/>
    <cellStyle name="Comma [0] 6 3 2 2 5" xfId="1623"/>
    <cellStyle name="Comma [0] 6 3 2 3" xfId="453"/>
    <cellStyle name="Comma [0] 6 3 2 3 2" xfId="1790"/>
    <cellStyle name="Comma [0] 6 3 2 4" xfId="747"/>
    <cellStyle name="Comma [0] 6 3 2 4 2" xfId="2084"/>
    <cellStyle name="Comma [0] 6 3 2 5" xfId="1477"/>
    <cellStyle name="Comma [0] 6 3 3" xfId="205"/>
    <cellStyle name="Comma [0] 6 3 3 2" xfId="525"/>
    <cellStyle name="Comma [0] 6 3 3 2 2" xfId="1237"/>
    <cellStyle name="Comma [0] 6 3 3 2 2 2" xfId="2571"/>
    <cellStyle name="Comma [0] 6 3 3 2 3" xfId="1862"/>
    <cellStyle name="Comma [0] 6 3 3 3" xfId="825"/>
    <cellStyle name="Comma [0] 6 3 3 3 2" xfId="2162"/>
    <cellStyle name="Comma [0] 6 3 3 4" xfId="1043"/>
    <cellStyle name="Comma [0] 6 3 3 4 2" xfId="2378"/>
    <cellStyle name="Comma [0] 6 3 3 5" xfId="1551"/>
    <cellStyle name="Comma [0] 6 3 4" xfId="381"/>
    <cellStyle name="Comma [0] 6 3 4 2" xfId="1718"/>
    <cellStyle name="Comma [0] 6 3 5" xfId="675"/>
    <cellStyle name="Comma [0] 6 3 5 2" xfId="2012"/>
    <cellStyle name="Comma [0] 6 3 6" xfId="1405"/>
    <cellStyle name="Comma [0] 6 4" xfId="96"/>
    <cellStyle name="Comma [0] 6 4 2" xfId="246"/>
    <cellStyle name="Comma [0] 6 4 2 2" xfId="566"/>
    <cellStyle name="Comma [0] 6 4 2 2 2" xfId="1268"/>
    <cellStyle name="Comma [0] 6 4 2 2 2 2" xfId="2602"/>
    <cellStyle name="Comma [0] 6 4 2 2 3" xfId="1903"/>
    <cellStyle name="Comma [0] 6 4 2 3" xfId="866"/>
    <cellStyle name="Comma [0] 6 4 2 3 2" xfId="2203"/>
    <cellStyle name="Comma [0] 6 4 2 4" xfId="1074"/>
    <cellStyle name="Comma [0] 6 4 2 4 2" xfId="2409"/>
    <cellStyle name="Comma [0] 6 4 2 5" xfId="1592"/>
    <cellStyle name="Comma [0] 6 4 3" xfId="422"/>
    <cellStyle name="Comma [0] 6 4 3 2" xfId="1759"/>
    <cellStyle name="Comma [0] 6 4 4" xfId="716"/>
    <cellStyle name="Comma [0] 6 4 4 2" xfId="2053"/>
    <cellStyle name="Comma [0] 6 4 5" xfId="1446"/>
    <cellStyle name="Comma [0] 6 5" xfId="171"/>
    <cellStyle name="Comma [0] 6 5 2" xfId="494"/>
    <cellStyle name="Comma [0] 6 5 2 2" xfId="1218"/>
    <cellStyle name="Comma [0] 6 5 2 2 2" xfId="2552"/>
    <cellStyle name="Comma [0] 6 5 2 3" xfId="1831"/>
    <cellStyle name="Comma [0] 6 5 3" xfId="791"/>
    <cellStyle name="Comma [0] 6 5 3 2" xfId="2128"/>
    <cellStyle name="Comma [0] 6 5 4" xfId="1022"/>
    <cellStyle name="Comma [0] 6 5 4 2" xfId="2358"/>
    <cellStyle name="Comma [0] 6 5 5" xfId="1519"/>
    <cellStyle name="Comma [0] 6 6" xfId="349"/>
    <cellStyle name="Comma [0] 6 6 2" xfId="1686"/>
    <cellStyle name="Comma [0] 6 7" xfId="643"/>
    <cellStyle name="Comma [0] 6 7 2" xfId="1980"/>
    <cellStyle name="Comma [0] 6 8" xfId="1373"/>
    <cellStyle name="Comma [0] 7" xfId="156"/>
    <cellStyle name="Comma [0] 7 2" xfId="481"/>
    <cellStyle name="Comma [0] 7 2 2" xfId="1206"/>
    <cellStyle name="Comma [0] 7 2 2 2" xfId="2540"/>
    <cellStyle name="Comma [0] 7 2 3" xfId="1818"/>
    <cellStyle name="Comma [0] 7 3" xfId="776"/>
    <cellStyle name="Comma [0] 7 3 2" xfId="2113"/>
    <cellStyle name="Comma [0] 7 4" xfId="1008"/>
    <cellStyle name="Comma [0] 7 4 2" xfId="2345"/>
    <cellStyle name="Comma [0] 7 5" xfId="1505"/>
    <cellStyle name="Comma [0] 8" xfId="309"/>
    <cellStyle name="Comma [0] 8 2" xfId="316"/>
    <cellStyle name="Comma [0] 8 2 2" xfId="1119"/>
    <cellStyle name="Comma [0] 8 2 2 2" xfId="2453"/>
    <cellStyle name="Comma [0] 8 2 3" xfId="1659"/>
    <cellStyle name="Comma [0] 8 3" xfId="317"/>
    <cellStyle name="Comma [0] 8 3 2" xfId="1359"/>
    <cellStyle name="Comma [0] 8 3 2 2" xfId="2689"/>
    <cellStyle name="Comma [0] 8 4" xfId="323"/>
    <cellStyle name="Comma [0] 8 4 2" xfId="1122"/>
    <cellStyle name="Comma [0] 8 4 2 2" xfId="2456"/>
    <cellStyle name="Comma [0] 8 4 3" xfId="1663"/>
    <cellStyle name="Comma [0] 8 5" xfId="626"/>
    <cellStyle name="Comma [0] 8 5 2" xfId="1307"/>
    <cellStyle name="Comma [0] 8 5 2 2" xfId="2641"/>
    <cellStyle name="Comma [0] 8 5 3" xfId="1963"/>
    <cellStyle name="Comma [0] 8 6" xfId="928"/>
    <cellStyle name="Comma [0] 8 6 2" xfId="2265"/>
    <cellStyle name="Comma [0] 8 7" xfId="1115"/>
    <cellStyle name="Comma [0] 8 7 2" xfId="2449"/>
    <cellStyle name="Comma [0] 8 8" xfId="1653"/>
    <cellStyle name="Comma [0] 9" xfId="313"/>
    <cellStyle name="Comma [0] 9 2" xfId="1657"/>
    <cellStyle name="Comma 10" xfId="43"/>
    <cellStyle name="Comma 10 2" xfId="57"/>
    <cellStyle name="Comma 10 2 2" xfId="129"/>
    <cellStyle name="Comma 10 2 2 2" xfId="279"/>
    <cellStyle name="Comma 10 2 2 2 2" xfId="599"/>
    <cellStyle name="Comma 10 2 2 2 2 2" xfId="1936"/>
    <cellStyle name="Comma 10 2 2 2 3" xfId="899"/>
    <cellStyle name="Comma 10 2 2 2 3 2" xfId="2236"/>
    <cellStyle name="Comma 10 2 2 2 4" xfId="1625"/>
    <cellStyle name="Comma 10 2 2 3" xfId="455"/>
    <cellStyle name="Comma 10 2 2 3 2" xfId="1792"/>
    <cellStyle name="Comma 10 2 2 4" xfId="749"/>
    <cellStyle name="Comma 10 2 2 4 2" xfId="2086"/>
    <cellStyle name="Comma 10 2 2 5" xfId="1479"/>
    <cellStyle name="Comma 10 2 3" xfId="207"/>
    <cellStyle name="Comma 10 2 3 2" xfId="527"/>
    <cellStyle name="Comma 10 2 3 2 2" xfId="1864"/>
    <cellStyle name="Comma 10 2 3 3" xfId="827"/>
    <cellStyle name="Comma 10 2 3 3 2" xfId="2164"/>
    <cellStyle name="Comma 10 2 3 4" xfId="1553"/>
    <cellStyle name="Comma 10 2 4" xfId="383"/>
    <cellStyle name="Comma 10 2 4 2" xfId="1720"/>
    <cellStyle name="Comma 10 2 5" xfId="677"/>
    <cellStyle name="Comma 10 2 5 2" xfId="2014"/>
    <cellStyle name="Comma 10 2 6" xfId="1407"/>
    <cellStyle name="Comma 10 3" xfId="116"/>
    <cellStyle name="Comma 10 3 2" xfId="266"/>
    <cellStyle name="Comma 10 3 2 2" xfId="586"/>
    <cellStyle name="Comma 10 3 2 2 2" xfId="1923"/>
    <cellStyle name="Comma 10 3 2 3" xfId="886"/>
    <cellStyle name="Comma 10 3 2 3 2" xfId="2223"/>
    <cellStyle name="Comma 10 3 2 4" xfId="1612"/>
    <cellStyle name="Comma 10 3 3" xfId="442"/>
    <cellStyle name="Comma 10 3 3 2" xfId="1779"/>
    <cellStyle name="Comma 10 3 4" xfId="736"/>
    <cellStyle name="Comma 10 3 4 2" xfId="2073"/>
    <cellStyle name="Comma 10 3 5" xfId="1466"/>
    <cellStyle name="Comma 10 4" xfId="193"/>
    <cellStyle name="Comma 10 4 2" xfId="514"/>
    <cellStyle name="Comma 10 4 2 2" xfId="1851"/>
    <cellStyle name="Comma 10 4 3" xfId="813"/>
    <cellStyle name="Comma 10 4 3 2" xfId="2150"/>
    <cellStyle name="Comma 10 4 4" xfId="1540"/>
    <cellStyle name="Comma 10 5" xfId="370"/>
    <cellStyle name="Comma 10 5 2" xfId="1707"/>
    <cellStyle name="Comma 10 6" xfId="664"/>
    <cellStyle name="Comma 10 6 2" xfId="2001"/>
    <cellStyle name="Comma 10 7" xfId="1349"/>
    <cellStyle name="Comma 10 7 2" xfId="2681"/>
    <cellStyle name="Comma 10 8" xfId="1394"/>
    <cellStyle name="Comma 11" xfId="44"/>
    <cellStyle name="Comma 11 2" xfId="58"/>
    <cellStyle name="Comma 11 2 2" xfId="130"/>
    <cellStyle name="Comma 11 2 2 2" xfId="280"/>
    <cellStyle name="Comma 11 2 2 2 2" xfId="600"/>
    <cellStyle name="Comma 11 2 2 2 2 2" xfId="1937"/>
    <cellStyle name="Comma 11 2 2 2 3" xfId="900"/>
    <cellStyle name="Comma 11 2 2 2 3 2" xfId="2237"/>
    <cellStyle name="Comma 11 2 2 2 4" xfId="1626"/>
    <cellStyle name="Comma 11 2 2 3" xfId="456"/>
    <cellStyle name="Comma 11 2 2 3 2" xfId="1793"/>
    <cellStyle name="Comma 11 2 2 4" xfId="750"/>
    <cellStyle name="Comma 11 2 2 4 2" xfId="2087"/>
    <cellStyle name="Comma 11 2 2 5" xfId="1480"/>
    <cellStyle name="Comma 11 2 3" xfId="208"/>
    <cellStyle name="Comma 11 2 3 2" xfId="528"/>
    <cellStyle name="Comma 11 2 3 2 2" xfId="1865"/>
    <cellStyle name="Comma 11 2 3 3" xfId="828"/>
    <cellStyle name="Comma 11 2 3 3 2" xfId="2165"/>
    <cellStyle name="Comma 11 2 3 4" xfId="1554"/>
    <cellStyle name="Comma 11 2 4" xfId="384"/>
    <cellStyle name="Comma 11 2 4 2" xfId="1721"/>
    <cellStyle name="Comma 11 2 5" xfId="678"/>
    <cellStyle name="Comma 11 2 5 2" xfId="2015"/>
    <cellStyle name="Comma 11 2 6" xfId="1408"/>
    <cellStyle name="Comma 11 3" xfId="117"/>
    <cellStyle name="Comma 11 3 2" xfId="267"/>
    <cellStyle name="Comma 11 3 2 2" xfId="587"/>
    <cellStyle name="Comma 11 3 2 2 2" xfId="1924"/>
    <cellStyle name="Comma 11 3 2 3" xfId="887"/>
    <cellStyle name="Comma 11 3 2 3 2" xfId="2224"/>
    <cellStyle name="Comma 11 3 2 4" xfId="1613"/>
    <cellStyle name="Comma 11 3 3" xfId="443"/>
    <cellStyle name="Comma 11 3 3 2" xfId="1780"/>
    <cellStyle name="Comma 11 3 4" xfId="737"/>
    <cellStyle name="Comma 11 3 4 2" xfId="2074"/>
    <cellStyle name="Comma 11 3 5" xfId="1467"/>
    <cellStyle name="Comma 11 4" xfId="194"/>
    <cellStyle name="Comma 11 4 2" xfId="515"/>
    <cellStyle name="Comma 11 4 2 2" xfId="1852"/>
    <cellStyle name="Comma 11 4 3" xfId="814"/>
    <cellStyle name="Comma 11 4 3 2" xfId="2151"/>
    <cellStyle name="Comma 11 4 4" xfId="1541"/>
    <cellStyle name="Comma 11 5" xfId="371"/>
    <cellStyle name="Comma 11 5 2" xfId="1708"/>
    <cellStyle name="Comma 11 6" xfId="665"/>
    <cellStyle name="Comma 11 6 2" xfId="2002"/>
    <cellStyle name="Comma 11 7" xfId="1395"/>
    <cellStyle name="Comma 12" xfId="45"/>
    <cellStyle name="Comma 12 2" xfId="59"/>
    <cellStyle name="Comma 12 2 2" xfId="131"/>
    <cellStyle name="Comma 12 2 2 2" xfId="281"/>
    <cellStyle name="Comma 12 2 2 2 2" xfId="601"/>
    <cellStyle name="Comma 12 2 2 2 2 2" xfId="1938"/>
    <cellStyle name="Comma 12 2 2 2 3" xfId="901"/>
    <cellStyle name="Comma 12 2 2 2 3 2" xfId="2238"/>
    <cellStyle name="Comma 12 2 2 2 4" xfId="1627"/>
    <cellStyle name="Comma 12 2 2 3" xfId="457"/>
    <cellStyle name="Comma 12 2 2 3 2" xfId="1794"/>
    <cellStyle name="Comma 12 2 2 4" xfId="751"/>
    <cellStyle name="Comma 12 2 2 4 2" xfId="2088"/>
    <cellStyle name="Comma 12 2 2 5" xfId="1481"/>
    <cellStyle name="Comma 12 2 3" xfId="209"/>
    <cellStyle name="Comma 12 2 3 2" xfId="529"/>
    <cellStyle name="Comma 12 2 3 2 2" xfId="1866"/>
    <cellStyle name="Comma 12 2 3 3" xfId="829"/>
    <cellStyle name="Comma 12 2 3 3 2" xfId="2166"/>
    <cellStyle name="Comma 12 2 3 4" xfId="1555"/>
    <cellStyle name="Comma 12 2 4" xfId="385"/>
    <cellStyle name="Comma 12 2 4 2" xfId="1722"/>
    <cellStyle name="Comma 12 2 5" xfId="679"/>
    <cellStyle name="Comma 12 2 5 2" xfId="2016"/>
    <cellStyle name="Comma 12 2 6" xfId="1409"/>
    <cellStyle name="Comma 12 3" xfId="118"/>
    <cellStyle name="Comma 12 3 2" xfId="268"/>
    <cellStyle name="Comma 12 3 2 2" xfId="588"/>
    <cellStyle name="Comma 12 3 2 2 2" xfId="1925"/>
    <cellStyle name="Comma 12 3 2 3" xfId="888"/>
    <cellStyle name="Comma 12 3 2 3 2" xfId="2225"/>
    <cellStyle name="Comma 12 3 2 4" xfId="1614"/>
    <cellStyle name="Comma 12 3 3" xfId="444"/>
    <cellStyle name="Comma 12 3 3 2" xfId="1781"/>
    <cellStyle name="Comma 12 3 4" xfId="738"/>
    <cellStyle name="Comma 12 3 4 2" xfId="2075"/>
    <cellStyle name="Comma 12 3 5" xfId="1468"/>
    <cellStyle name="Comma 12 4" xfId="195"/>
    <cellStyle name="Comma 12 4 2" xfId="516"/>
    <cellStyle name="Comma 12 4 2 2" xfId="1853"/>
    <cellStyle name="Comma 12 4 3" xfId="815"/>
    <cellStyle name="Comma 12 4 3 2" xfId="2152"/>
    <cellStyle name="Comma 12 4 4" xfId="1542"/>
    <cellStyle name="Comma 12 5" xfId="372"/>
    <cellStyle name="Comma 12 5 2" xfId="1709"/>
    <cellStyle name="Comma 12 6" xfId="666"/>
    <cellStyle name="Comma 12 6 2" xfId="2003"/>
    <cellStyle name="Comma 12 7" xfId="1396"/>
    <cellStyle name="Comma 13" xfId="84"/>
    <cellStyle name="Comma 13 2" xfId="234"/>
    <cellStyle name="Comma 13 2 2" xfId="554"/>
    <cellStyle name="Comma 13 2 2 2" xfId="1257"/>
    <cellStyle name="Comma 13 2 2 2 2" xfId="2591"/>
    <cellStyle name="Comma 13 2 2 3" xfId="1891"/>
    <cellStyle name="Comma 13 2 3" xfId="854"/>
    <cellStyle name="Comma 13 2 3 2" xfId="2191"/>
    <cellStyle name="Comma 13 2 4" xfId="1063"/>
    <cellStyle name="Comma 13 2 4 2" xfId="2398"/>
    <cellStyle name="Comma 13 2 5" xfId="1580"/>
    <cellStyle name="Comma 13 3" xfId="410"/>
    <cellStyle name="Comma 13 3 2" xfId="1747"/>
    <cellStyle name="Comma 13 4" xfId="704"/>
    <cellStyle name="Comma 13 4 2" xfId="2041"/>
    <cellStyle name="Comma 13 5" xfId="1434"/>
    <cellStyle name="Comma 14" xfId="82"/>
    <cellStyle name="Comma 14 2" xfId="232"/>
    <cellStyle name="Comma 14 2 2" xfId="552"/>
    <cellStyle name="Comma 14 2 2 2" xfId="1255"/>
    <cellStyle name="Comma 14 2 2 2 2" xfId="2589"/>
    <cellStyle name="Comma 14 2 2 3" xfId="1889"/>
    <cellStyle name="Comma 14 2 3" xfId="852"/>
    <cellStyle name="Comma 14 2 3 2" xfId="2189"/>
    <cellStyle name="Comma 14 2 4" xfId="1061"/>
    <cellStyle name="Comma 14 2 4 2" xfId="2396"/>
    <cellStyle name="Comma 14 2 5" xfId="1578"/>
    <cellStyle name="Comma 14 3" xfId="408"/>
    <cellStyle name="Comma 14 3 2" xfId="1745"/>
    <cellStyle name="Comma 14 4" xfId="702"/>
    <cellStyle name="Comma 14 4 2" xfId="2039"/>
    <cellStyle name="Comma 14 5" xfId="1432"/>
    <cellStyle name="Comma 15" xfId="157"/>
    <cellStyle name="Comma 15 2" xfId="482"/>
    <cellStyle name="Comma 15 2 2" xfId="1207"/>
    <cellStyle name="Comma 15 2 2 2" xfId="2541"/>
    <cellStyle name="Comma 15 2 3" xfId="1819"/>
    <cellStyle name="Comma 15 3" xfId="777"/>
    <cellStyle name="Comma 15 3 2" xfId="2114"/>
    <cellStyle name="Comma 15 4" xfId="1009"/>
    <cellStyle name="Comma 15 4 2" xfId="2346"/>
    <cellStyle name="Comma 15 5" xfId="1506"/>
    <cellStyle name="Comma 16" xfId="321"/>
    <cellStyle name="Comma 16 2" xfId="930"/>
    <cellStyle name="Comma 16 2 2" xfId="2267"/>
    <cellStyle name="Comma 17" xfId="332"/>
    <cellStyle name="Comma 17 2" xfId="1129"/>
    <cellStyle name="Comma 17 2 2" xfId="2463"/>
    <cellStyle name="Comma 17 3" xfId="1670"/>
    <cellStyle name="Comma 2" xfId="13"/>
    <cellStyle name="Comma 2 10" xfId="1365"/>
    <cellStyle name="Comma 2 2" xfId="29"/>
    <cellStyle name="Comma 2 2 2" xfId="61"/>
    <cellStyle name="Comma 2 2 2 2" xfId="133"/>
    <cellStyle name="Comma 2 2 2 2 2" xfId="283"/>
    <cellStyle name="Comma 2 2 2 2 2 2" xfId="603"/>
    <cellStyle name="Comma 2 2 2 2 2 2 2" xfId="1290"/>
    <cellStyle name="Comma 2 2 2 2 2 2 2 2" xfId="2624"/>
    <cellStyle name="Comma 2 2 2 2 2 2 3" xfId="1940"/>
    <cellStyle name="Comma 2 2 2 2 2 3" xfId="903"/>
    <cellStyle name="Comma 2 2 2 2 2 3 2" xfId="2240"/>
    <cellStyle name="Comma 2 2 2 2 2 4" xfId="1096"/>
    <cellStyle name="Comma 2 2 2 2 2 4 2" xfId="2431"/>
    <cellStyle name="Comma 2 2 2 2 2 5" xfId="1629"/>
    <cellStyle name="Comma 2 2 2 2 3" xfId="459"/>
    <cellStyle name="Comma 2 2 2 2 3 2" xfId="1190"/>
    <cellStyle name="Comma 2 2 2 2 3 2 2" xfId="2524"/>
    <cellStyle name="Comma 2 2 2 2 3 3" xfId="1796"/>
    <cellStyle name="Comma 2 2 2 2 4" xfId="753"/>
    <cellStyle name="Comma 2 2 2 2 4 2" xfId="2090"/>
    <cellStyle name="Comma 2 2 2 2 5" xfId="992"/>
    <cellStyle name="Comma 2 2 2 2 5 2" xfId="2329"/>
    <cellStyle name="Comma 2 2 2 2 6" xfId="1483"/>
    <cellStyle name="Comma 2 2 2 3" xfId="211"/>
    <cellStyle name="Comma 2 2 2 3 2" xfId="531"/>
    <cellStyle name="Comma 2 2 2 3 2 2" xfId="1240"/>
    <cellStyle name="Comma 2 2 2 3 2 2 2" xfId="2574"/>
    <cellStyle name="Comma 2 2 2 3 2 3" xfId="1868"/>
    <cellStyle name="Comma 2 2 2 3 3" xfId="831"/>
    <cellStyle name="Comma 2 2 2 3 3 2" xfId="2168"/>
    <cellStyle name="Comma 2 2 2 3 4" xfId="1046"/>
    <cellStyle name="Comma 2 2 2 3 4 2" xfId="2381"/>
    <cellStyle name="Comma 2 2 2 3 5" xfId="1557"/>
    <cellStyle name="Comma 2 2 2 4" xfId="387"/>
    <cellStyle name="Comma 2 2 2 4 2" xfId="1154"/>
    <cellStyle name="Comma 2 2 2 4 2 2" xfId="2488"/>
    <cellStyle name="Comma 2 2 2 4 3" xfId="1724"/>
    <cellStyle name="Comma 2 2 2 5" xfId="681"/>
    <cellStyle name="Comma 2 2 2 5 2" xfId="2018"/>
    <cellStyle name="Comma 2 2 2 6" xfId="956"/>
    <cellStyle name="Comma 2 2 2 6 2" xfId="2293"/>
    <cellStyle name="Comma 2 2 2 7" xfId="1411"/>
    <cellStyle name="Comma 2 2 3" xfId="102"/>
    <cellStyle name="Comma 2 2 3 2" xfId="252"/>
    <cellStyle name="Comma 2 2 3 2 2" xfId="572"/>
    <cellStyle name="Comma 2 2 3 2 2 2" xfId="1273"/>
    <cellStyle name="Comma 2 2 3 2 2 2 2" xfId="2607"/>
    <cellStyle name="Comma 2 2 3 2 2 3" xfId="1909"/>
    <cellStyle name="Comma 2 2 3 2 3" xfId="872"/>
    <cellStyle name="Comma 2 2 3 2 3 2" xfId="2209"/>
    <cellStyle name="Comma 2 2 3 2 4" xfId="1079"/>
    <cellStyle name="Comma 2 2 3 2 4 2" xfId="2414"/>
    <cellStyle name="Comma 2 2 3 2 5" xfId="1598"/>
    <cellStyle name="Comma 2 2 3 3" xfId="428"/>
    <cellStyle name="Comma 2 2 3 3 2" xfId="1179"/>
    <cellStyle name="Comma 2 2 3 3 2 2" xfId="2513"/>
    <cellStyle name="Comma 2 2 3 3 3" xfId="1765"/>
    <cellStyle name="Comma 2 2 3 4" xfId="722"/>
    <cellStyle name="Comma 2 2 3 4 2" xfId="2059"/>
    <cellStyle name="Comma 2 2 3 5" xfId="981"/>
    <cellStyle name="Comma 2 2 3 5 2" xfId="2318"/>
    <cellStyle name="Comma 2 2 3 6" xfId="1452"/>
    <cellStyle name="Comma 2 2 4" xfId="179"/>
    <cellStyle name="Comma 2 2 4 2" xfId="500"/>
    <cellStyle name="Comma 2 2 4 2 2" xfId="1223"/>
    <cellStyle name="Comma 2 2 4 2 2 2" xfId="2557"/>
    <cellStyle name="Comma 2 2 4 2 3" xfId="1837"/>
    <cellStyle name="Comma 2 2 4 3" xfId="799"/>
    <cellStyle name="Comma 2 2 4 3 2" xfId="2136"/>
    <cellStyle name="Comma 2 2 4 4" xfId="1028"/>
    <cellStyle name="Comma 2 2 4 4 2" xfId="2364"/>
    <cellStyle name="Comma 2 2 4 5" xfId="1526"/>
    <cellStyle name="Comma 2 2 5" xfId="356"/>
    <cellStyle name="Comma 2 2 5 2" xfId="1143"/>
    <cellStyle name="Comma 2 2 5 2 2" xfId="2477"/>
    <cellStyle name="Comma 2 2 5 3" xfId="1693"/>
    <cellStyle name="Comma 2 2 6" xfId="650"/>
    <cellStyle name="Comma 2 2 6 2" xfId="1987"/>
    <cellStyle name="Comma 2 2 7" xfId="945"/>
    <cellStyle name="Comma 2 2 7 2" xfId="2282"/>
    <cellStyle name="Comma 2 2 8" xfId="1380"/>
    <cellStyle name="Comma 2 3" xfId="60"/>
    <cellStyle name="Comma 2 3 2" xfId="132"/>
    <cellStyle name="Comma 2 3 2 2" xfId="282"/>
    <cellStyle name="Comma 2 3 2 2 2" xfId="602"/>
    <cellStyle name="Comma 2 3 2 2 2 2" xfId="1289"/>
    <cellStyle name="Comma 2 3 2 2 2 2 2" xfId="2623"/>
    <cellStyle name="Comma 2 3 2 2 2 3" xfId="1939"/>
    <cellStyle name="Comma 2 3 2 2 3" xfId="902"/>
    <cellStyle name="Comma 2 3 2 2 3 2" xfId="2239"/>
    <cellStyle name="Comma 2 3 2 2 4" xfId="1095"/>
    <cellStyle name="Comma 2 3 2 2 4 2" xfId="2430"/>
    <cellStyle name="Comma 2 3 2 2 5" xfId="1628"/>
    <cellStyle name="Comma 2 3 2 3" xfId="458"/>
    <cellStyle name="Comma 2 3 2 3 2" xfId="1189"/>
    <cellStyle name="Comma 2 3 2 3 2 2" xfId="2523"/>
    <cellStyle name="Comma 2 3 2 3 3" xfId="1795"/>
    <cellStyle name="Comma 2 3 2 4" xfId="752"/>
    <cellStyle name="Comma 2 3 2 4 2" xfId="2089"/>
    <cellStyle name="Comma 2 3 2 5" xfId="991"/>
    <cellStyle name="Comma 2 3 2 5 2" xfId="2328"/>
    <cellStyle name="Comma 2 3 2 6" xfId="1482"/>
    <cellStyle name="Comma 2 3 3" xfId="210"/>
    <cellStyle name="Comma 2 3 3 2" xfId="530"/>
    <cellStyle name="Comma 2 3 3 2 2" xfId="1239"/>
    <cellStyle name="Comma 2 3 3 2 2 2" xfId="2573"/>
    <cellStyle name="Comma 2 3 3 2 3" xfId="1867"/>
    <cellStyle name="Comma 2 3 3 3" xfId="830"/>
    <cellStyle name="Comma 2 3 3 3 2" xfId="2167"/>
    <cellStyle name="Comma 2 3 3 4" xfId="1045"/>
    <cellStyle name="Comma 2 3 3 4 2" xfId="2380"/>
    <cellStyle name="Comma 2 3 3 5" xfId="1556"/>
    <cellStyle name="Comma 2 3 4" xfId="386"/>
    <cellStyle name="Comma 2 3 4 2" xfId="1153"/>
    <cellStyle name="Comma 2 3 4 2 2" xfId="2487"/>
    <cellStyle name="Comma 2 3 4 3" xfId="1723"/>
    <cellStyle name="Comma 2 3 5" xfId="680"/>
    <cellStyle name="Comma 2 3 5 2" xfId="2017"/>
    <cellStyle name="Comma 2 3 6" xfId="955"/>
    <cellStyle name="Comma 2 3 6 2" xfId="2292"/>
    <cellStyle name="Comma 2 3 7" xfId="1410"/>
    <cellStyle name="Comma 2 4" xfId="89"/>
    <cellStyle name="Comma 2 4 2" xfId="239"/>
    <cellStyle name="Comma 2 4 2 2" xfId="559"/>
    <cellStyle name="Comma 2 4 2 2 2" xfId="1261"/>
    <cellStyle name="Comma 2 4 2 2 2 2" xfId="2595"/>
    <cellStyle name="Comma 2 4 2 2 3" xfId="1896"/>
    <cellStyle name="Comma 2 4 2 3" xfId="859"/>
    <cellStyle name="Comma 2 4 2 3 2" xfId="2196"/>
    <cellStyle name="Comma 2 4 2 4" xfId="1067"/>
    <cellStyle name="Comma 2 4 2 4 2" xfId="2402"/>
    <cellStyle name="Comma 2 4 2 5" xfId="1585"/>
    <cellStyle name="Comma 2 4 3" xfId="415"/>
    <cellStyle name="Comma 2 4 3 2" xfId="1172"/>
    <cellStyle name="Comma 2 4 3 2 2" xfId="2506"/>
    <cellStyle name="Comma 2 4 3 3" xfId="1752"/>
    <cellStyle name="Comma 2 4 4" xfId="709"/>
    <cellStyle name="Comma 2 4 4 2" xfId="2046"/>
    <cellStyle name="Comma 2 4 5" xfId="974"/>
    <cellStyle name="Comma 2 4 5 2" xfId="2311"/>
    <cellStyle name="Comma 2 4 6" xfId="1439"/>
    <cellStyle name="Comma 2 5" xfId="163"/>
    <cellStyle name="Comma 2 5 2" xfId="487"/>
    <cellStyle name="Comma 2 5 2 2" xfId="1211"/>
    <cellStyle name="Comma 2 5 2 2 2" xfId="2545"/>
    <cellStyle name="Comma 2 5 2 3" xfId="1824"/>
    <cellStyle name="Comma 2 5 3" xfId="783"/>
    <cellStyle name="Comma 2 5 3 2" xfId="2120"/>
    <cellStyle name="Comma 2 5 4" xfId="1014"/>
    <cellStyle name="Comma 2 5 4 2" xfId="2350"/>
    <cellStyle name="Comma 2 5 5" xfId="1511"/>
    <cellStyle name="Comma 2 6" xfId="333"/>
    <cellStyle name="Comma 2 6 2" xfId="1671"/>
    <cellStyle name="Comma 2 7" xfId="341"/>
    <cellStyle name="Comma 2 7 2" xfId="1134"/>
    <cellStyle name="Comma 2 7 2 2" xfId="2468"/>
    <cellStyle name="Comma 2 7 3" xfId="1678"/>
    <cellStyle name="Comma 2 8" xfId="635"/>
    <cellStyle name="Comma 2 8 2" xfId="1972"/>
    <cellStyle name="Comma 2 9" xfId="936"/>
    <cellStyle name="Comma 2 9 2" xfId="2273"/>
    <cellStyle name="Comma 3" xfId="14"/>
    <cellStyle name="Comma 3 2" xfId="30"/>
    <cellStyle name="Comma 3 2 2" xfId="63"/>
    <cellStyle name="Comma 3 2 2 2" xfId="135"/>
    <cellStyle name="Comma 3 2 2 2 2" xfId="285"/>
    <cellStyle name="Comma 3 2 2 2 2 2" xfId="605"/>
    <cellStyle name="Comma 3 2 2 2 2 2 2" xfId="1292"/>
    <cellStyle name="Comma 3 2 2 2 2 2 2 2" xfId="2626"/>
    <cellStyle name="Comma 3 2 2 2 2 2 3" xfId="1942"/>
    <cellStyle name="Comma 3 2 2 2 2 3" xfId="905"/>
    <cellStyle name="Comma 3 2 2 2 2 3 2" xfId="2242"/>
    <cellStyle name="Comma 3 2 2 2 2 4" xfId="1098"/>
    <cellStyle name="Comma 3 2 2 2 2 4 2" xfId="2433"/>
    <cellStyle name="Comma 3 2 2 2 2 5" xfId="1631"/>
    <cellStyle name="Comma 3 2 2 2 3" xfId="461"/>
    <cellStyle name="Comma 3 2 2 2 3 2" xfId="1192"/>
    <cellStyle name="Comma 3 2 2 2 3 2 2" xfId="2526"/>
    <cellStyle name="Comma 3 2 2 2 3 3" xfId="1798"/>
    <cellStyle name="Comma 3 2 2 2 4" xfId="755"/>
    <cellStyle name="Comma 3 2 2 2 4 2" xfId="2092"/>
    <cellStyle name="Comma 3 2 2 2 5" xfId="994"/>
    <cellStyle name="Comma 3 2 2 2 5 2" xfId="2331"/>
    <cellStyle name="Comma 3 2 2 2 6" xfId="1485"/>
    <cellStyle name="Comma 3 2 2 3" xfId="213"/>
    <cellStyle name="Comma 3 2 2 3 2" xfId="533"/>
    <cellStyle name="Comma 3 2 2 3 2 2" xfId="1242"/>
    <cellStyle name="Comma 3 2 2 3 2 2 2" xfId="2576"/>
    <cellStyle name="Comma 3 2 2 3 2 3" xfId="1870"/>
    <cellStyle name="Comma 3 2 2 3 3" xfId="833"/>
    <cellStyle name="Comma 3 2 2 3 3 2" xfId="2170"/>
    <cellStyle name="Comma 3 2 2 3 4" xfId="1048"/>
    <cellStyle name="Comma 3 2 2 3 4 2" xfId="2383"/>
    <cellStyle name="Comma 3 2 2 3 5" xfId="1559"/>
    <cellStyle name="Comma 3 2 2 4" xfId="389"/>
    <cellStyle name="Comma 3 2 2 4 2" xfId="1156"/>
    <cellStyle name="Comma 3 2 2 4 2 2" xfId="2490"/>
    <cellStyle name="Comma 3 2 2 4 3" xfId="1726"/>
    <cellStyle name="Comma 3 2 2 5" xfId="683"/>
    <cellStyle name="Comma 3 2 2 5 2" xfId="2020"/>
    <cellStyle name="Comma 3 2 2 6" xfId="958"/>
    <cellStyle name="Comma 3 2 2 6 2" xfId="2295"/>
    <cellStyle name="Comma 3 2 2 7" xfId="1413"/>
    <cellStyle name="Comma 3 2 3" xfId="103"/>
    <cellStyle name="Comma 3 2 3 2" xfId="253"/>
    <cellStyle name="Comma 3 2 3 2 2" xfId="573"/>
    <cellStyle name="Comma 3 2 3 2 2 2" xfId="1274"/>
    <cellStyle name="Comma 3 2 3 2 2 2 2" xfId="2608"/>
    <cellStyle name="Comma 3 2 3 2 2 3" xfId="1910"/>
    <cellStyle name="Comma 3 2 3 2 3" xfId="873"/>
    <cellStyle name="Comma 3 2 3 2 3 2" xfId="2210"/>
    <cellStyle name="Comma 3 2 3 2 4" xfId="1080"/>
    <cellStyle name="Comma 3 2 3 2 4 2" xfId="2415"/>
    <cellStyle name="Comma 3 2 3 2 5" xfId="1599"/>
    <cellStyle name="Comma 3 2 3 3" xfId="429"/>
    <cellStyle name="Comma 3 2 3 3 2" xfId="1180"/>
    <cellStyle name="Comma 3 2 3 3 2 2" xfId="2514"/>
    <cellStyle name="Comma 3 2 3 3 3" xfId="1766"/>
    <cellStyle name="Comma 3 2 3 4" xfId="723"/>
    <cellStyle name="Comma 3 2 3 4 2" xfId="2060"/>
    <cellStyle name="Comma 3 2 3 5" xfId="982"/>
    <cellStyle name="Comma 3 2 3 5 2" xfId="2319"/>
    <cellStyle name="Comma 3 2 3 6" xfId="1453"/>
    <cellStyle name="Comma 3 2 4" xfId="180"/>
    <cellStyle name="Comma 3 2 4 2" xfId="501"/>
    <cellStyle name="Comma 3 2 4 2 2" xfId="1224"/>
    <cellStyle name="Comma 3 2 4 2 2 2" xfId="2558"/>
    <cellStyle name="Comma 3 2 4 2 3" xfId="1838"/>
    <cellStyle name="Comma 3 2 4 3" xfId="800"/>
    <cellStyle name="Comma 3 2 4 3 2" xfId="2137"/>
    <cellStyle name="Comma 3 2 4 4" xfId="1029"/>
    <cellStyle name="Comma 3 2 4 4 2" xfId="2365"/>
    <cellStyle name="Comma 3 2 4 5" xfId="1527"/>
    <cellStyle name="Comma 3 2 5" xfId="357"/>
    <cellStyle name="Comma 3 2 5 2" xfId="1144"/>
    <cellStyle name="Comma 3 2 5 2 2" xfId="2478"/>
    <cellStyle name="Comma 3 2 5 3" xfId="1694"/>
    <cellStyle name="Comma 3 2 6" xfId="651"/>
    <cellStyle name="Comma 3 2 6 2" xfId="1988"/>
    <cellStyle name="Comma 3 2 7" xfId="946"/>
    <cellStyle name="Comma 3 2 7 2" xfId="2283"/>
    <cellStyle name="Comma 3 2 8" xfId="1381"/>
    <cellStyle name="Comma 3 3" xfId="62"/>
    <cellStyle name="Comma 3 3 2" xfId="134"/>
    <cellStyle name="Comma 3 3 2 2" xfId="284"/>
    <cellStyle name="Comma 3 3 2 2 2" xfId="604"/>
    <cellStyle name="Comma 3 3 2 2 2 2" xfId="1291"/>
    <cellStyle name="Comma 3 3 2 2 2 2 2" xfId="2625"/>
    <cellStyle name="Comma 3 3 2 2 2 3" xfId="1941"/>
    <cellStyle name="Comma 3 3 2 2 3" xfId="904"/>
    <cellStyle name="Comma 3 3 2 2 3 2" xfId="2241"/>
    <cellStyle name="Comma 3 3 2 2 4" xfId="1097"/>
    <cellStyle name="Comma 3 3 2 2 4 2" xfId="2432"/>
    <cellStyle name="Comma 3 3 2 2 5" xfId="1630"/>
    <cellStyle name="Comma 3 3 2 3" xfId="460"/>
    <cellStyle name="Comma 3 3 2 3 2" xfId="1191"/>
    <cellStyle name="Comma 3 3 2 3 2 2" xfId="2525"/>
    <cellStyle name="Comma 3 3 2 3 3" xfId="1797"/>
    <cellStyle name="Comma 3 3 2 4" xfId="754"/>
    <cellStyle name="Comma 3 3 2 4 2" xfId="2091"/>
    <cellStyle name="Comma 3 3 2 5" xfId="993"/>
    <cellStyle name="Comma 3 3 2 5 2" xfId="2330"/>
    <cellStyle name="Comma 3 3 2 6" xfId="1484"/>
    <cellStyle name="Comma 3 3 3" xfId="212"/>
    <cellStyle name="Comma 3 3 3 2" xfId="532"/>
    <cellStyle name="Comma 3 3 3 2 2" xfId="1241"/>
    <cellStyle name="Comma 3 3 3 2 2 2" xfId="2575"/>
    <cellStyle name="Comma 3 3 3 2 3" xfId="1869"/>
    <cellStyle name="Comma 3 3 3 3" xfId="832"/>
    <cellStyle name="Comma 3 3 3 3 2" xfId="2169"/>
    <cellStyle name="Comma 3 3 3 4" xfId="1047"/>
    <cellStyle name="Comma 3 3 3 4 2" xfId="2382"/>
    <cellStyle name="Comma 3 3 3 5" xfId="1558"/>
    <cellStyle name="Comma 3 3 4" xfId="388"/>
    <cellStyle name="Comma 3 3 4 2" xfId="1155"/>
    <cellStyle name="Comma 3 3 4 2 2" xfId="2489"/>
    <cellStyle name="Comma 3 3 4 3" xfId="1725"/>
    <cellStyle name="Comma 3 3 5" xfId="682"/>
    <cellStyle name="Comma 3 3 5 2" xfId="2019"/>
    <cellStyle name="Comma 3 3 6" xfId="957"/>
    <cellStyle name="Comma 3 3 6 2" xfId="2294"/>
    <cellStyle name="Comma 3 3 7" xfId="1412"/>
    <cellStyle name="Comma 3 4" xfId="90"/>
    <cellStyle name="Comma 3 4 2" xfId="240"/>
    <cellStyle name="Comma 3 4 2 2" xfId="560"/>
    <cellStyle name="Comma 3 4 2 2 2" xfId="1262"/>
    <cellStyle name="Comma 3 4 2 2 2 2" xfId="2596"/>
    <cellStyle name="Comma 3 4 2 2 3" xfId="1897"/>
    <cellStyle name="Comma 3 4 2 3" xfId="860"/>
    <cellStyle name="Comma 3 4 2 3 2" xfId="2197"/>
    <cellStyle name="Comma 3 4 2 4" xfId="1068"/>
    <cellStyle name="Comma 3 4 2 4 2" xfId="2403"/>
    <cellStyle name="Comma 3 4 2 5" xfId="1586"/>
    <cellStyle name="Comma 3 4 3" xfId="416"/>
    <cellStyle name="Comma 3 4 3 2" xfId="1173"/>
    <cellStyle name="Comma 3 4 3 2 2" xfId="2507"/>
    <cellStyle name="Comma 3 4 3 3" xfId="1753"/>
    <cellStyle name="Comma 3 4 4" xfId="710"/>
    <cellStyle name="Comma 3 4 4 2" xfId="2047"/>
    <cellStyle name="Comma 3 4 5" xfId="975"/>
    <cellStyle name="Comma 3 4 5 2" xfId="2312"/>
    <cellStyle name="Comma 3 4 6" xfId="1440"/>
    <cellStyle name="Comma 3 5" xfId="164"/>
    <cellStyle name="Comma 3 5 2" xfId="488"/>
    <cellStyle name="Comma 3 5 2 2" xfId="1212"/>
    <cellStyle name="Comma 3 5 2 2 2" xfId="2546"/>
    <cellStyle name="Comma 3 5 2 3" xfId="1825"/>
    <cellStyle name="Comma 3 5 3" xfId="784"/>
    <cellStyle name="Comma 3 5 3 2" xfId="2121"/>
    <cellStyle name="Comma 3 5 4" xfId="1015"/>
    <cellStyle name="Comma 3 5 4 2" xfId="2351"/>
    <cellStyle name="Comma 3 5 5" xfId="1512"/>
    <cellStyle name="Comma 3 6" xfId="342"/>
    <cellStyle name="Comma 3 6 2" xfId="1135"/>
    <cellStyle name="Comma 3 6 2 2" xfId="2469"/>
    <cellStyle name="Comma 3 6 3" xfId="1679"/>
    <cellStyle name="Comma 3 7" xfId="636"/>
    <cellStyle name="Comma 3 7 2" xfId="1973"/>
    <cellStyle name="Comma 3 8" xfId="937"/>
    <cellStyle name="Comma 3 8 2" xfId="2274"/>
    <cellStyle name="Comma 3 9" xfId="1366"/>
    <cellStyle name="Comma 4" xfId="37"/>
    <cellStyle name="Comma 4 2" xfId="64"/>
    <cellStyle name="Comma 4 2 2" xfId="136"/>
    <cellStyle name="Comma 4 2 2 2" xfId="286"/>
    <cellStyle name="Comma 4 2 2 2 2" xfId="606"/>
    <cellStyle name="Comma 4 2 2 2 2 2" xfId="1943"/>
    <cellStyle name="Comma 4 2 2 2 3" xfId="906"/>
    <cellStyle name="Comma 4 2 2 2 3 2" xfId="2243"/>
    <cellStyle name="Comma 4 2 2 2 4" xfId="1632"/>
    <cellStyle name="Comma 4 2 2 3" xfId="462"/>
    <cellStyle name="Comma 4 2 2 3 2" xfId="1799"/>
    <cellStyle name="Comma 4 2 2 4" xfId="756"/>
    <cellStyle name="Comma 4 2 2 4 2" xfId="2093"/>
    <cellStyle name="Comma 4 2 2 5" xfId="1486"/>
    <cellStyle name="Comma 4 2 3" xfId="214"/>
    <cellStyle name="Comma 4 2 3 2" xfId="534"/>
    <cellStyle name="Comma 4 2 3 2 2" xfId="1871"/>
    <cellStyle name="Comma 4 2 3 3" xfId="834"/>
    <cellStyle name="Comma 4 2 3 3 2" xfId="2171"/>
    <cellStyle name="Comma 4 2 3 4" xfId="1560"/>
    <cellStyle name="Comma 4 2 4" xfId="390"/>
    <cellStyle name="Comma 4 2 4 2" xfId="1727"/>
    <cellStyle name="Comma 4 2 5" xfId="684"/>
    <cellStyle name="Comma 4 2 5 2" xfId="2021"/>
    <cellStyle name="Comma 4 2 6" xfId="1414"/>
    <cellStyle name="Comma 4 3" xfId="110"/>
    <cellStyle name="Comma 4 3 2" xfId="260"/>
    <cellStyle name="Comma 4 3 2 2" xfId="580"/>
    <cellStyle name="Comma 4 3 2 2 2" xfId="1917"/>
    <cellStyle name="Comma 4 3 2 3" xfId="880"/>
    <cellStyle name="Comma 4 3 2 3 2" xfId="2217"/>
    <cellStyle name="Comma 4 3 2 4" xfId="1606"/>
    <cellStyle name="Comma 4 3 3" xfId="436"/>
    <cellStyle name="Comma 4 3 3 2" xfId="1773"/>
    <cellStyle name="Comma 4 3 4" xfId="730"/>
    <cellStyle name="Comma 4 3 4 2" xfId="2067"/>
    <cellStyle name="Comma 4 3 5" xfId="1460"/>
    <cellStyle name="Comma 4 4" xfId="187"/>
    <cellStyle name="Comma 4 4 2" xfId="508"/>
    <cellStyle name="Comma 4 4 2 2" xfId="1845"/>
    <cellStyle name="Comma 4 4 3" xfId="807"/>
    <cellStyle name="Comma 4 4 3 2" xfId="2144"/>
    <cellStyle name="Comma 4 4 4" xfId="1534"/>
    <cellStyle name="Comma 4 5" xfId="364"/>
    <cellStyle name="Comma 4 5 2" xfId="1701"/>
    <cellStyle name="Comma 4 6" xfId="658"/>
    <cellStyle name="Comma 4 6 2" xfId="1995"/>
    <cellStyle name="Comma 4 7" xfId="1388"/>
    <cellStyle name="Comma 5" xfId="38"/>
    <cellStyle name="Comma 5 2" xfId="65"/>
    <cellStyle name="Comma 5 2 2" xfId="137"/>
    <cellStyle name="Comma 5 2 2 2" xfId="287"/>
    <cellStyle name="Comma 5 2 2 2 2" xfId="607"/>
    <cellStyle name="Comma 5 2 2 2 2 2" xfId="1944"/>
    <cellStyle name="Comma 5 2 2 2 3" xfId="907"/>
    <cellStyle name="Comma 5 2 2 2 3 2" xfId="2244"/>
    <cellStyle name="Comma 5 2 2 2 4" xfId="1633"/>
    <cellStyle name="Comma 5 2 2 3" xfId="463"/>
    <cellStyle name="Comma 5 2 2 3 2" xfId="1800"/>
    <cellStyle name="Comma 5 2 2 4" xfId="757"/>
    <cellStyle name="Comma 5 2 2 4 2" xfId="2094"/>
    <cellStyle name="Comma 5 2 2 5" xfId="1487"/>
    <cellStyle name="Comma 5 2 3" xfId="215"/>
    <cellStyle name="Comma 5 2 3 2" xfId="535"/>
    <cellStyle name="Comma 5 2 3 2 2" xfId="1872"/>
    <cellStyle name="Comma 5 2 3 3" xfId="835"/>
    <cellStyle name="Comma 5 2 3 3 2" xfId="2172"/>
    <cellStyle name="Comma 5 2 3 4" xfId="1561"/>
    <cellStyle name="Comma 5 2 4" xfId="391"/>
    <cellStyle name="Comma 5 2 4 2" xfId="1728"/>
    <cellStyle name="Comma 5 2 5" xfId="685"/>
    <cellStyle name="Comma 5 2 5 2" xfId="2022"/>
    <cellStyle name="Comma 5 2 6" xfId="1415"/>
    <cellStyle name="Comma 5 3" xfId="111"/>
    <cellStyle name="Comma 5 3 2" xfId="261"/>
    <cellStyle name="Comma 5 3 2 2" xfId="581"/>
    <cellStyle name="Comma 5 3 2 2 2" xfId="1918"/>
    <cellStyle name="Comma 5 3 2 3" xfId="881"/>
    <cellStyle name="Comma 5 3 2 3 2" xfId="2218"/>
    <cellStyle name="Comma 5 3 2 4" xfId="1607"/>
    <cellStyle name="Comma 5 3 3" xfId="437"/>
    <cellStyle name="Comma 5 3 3 2" xfId="1774"/>
    <cellStyle name="Comma 5 3 4" xfId="731"/>
    <cellStyle name="Comma 5 3 4 2" xfId="2068"/>
    <cellStyle name="Comma 5 3 5" xfId="1461"/>
    <cellStyle name="Comma 5 4" xfId="188"/>
    <cellStyle name="Comma 5 4 2" xfId="509"/>
    <cellStyle name="Comma 5 4 2 2" xfId="1846"/>
    <cellStyle name="Comma 5 4 3" xfId="808"/>
    <cellStyle name="Comma 5 4 3 2" xfId="2145"/>
    <cellStyle name="Comma 5 4 4" xfId="1535"/>
    <cellStyle name="Comma 5 5" xfId="365"/>
    <cellStyle name="Comma 5 5 2" xfId="1702"/>
    <cellStyle name="Comma 5 6" xfId="659"/>
    <cellStyle name="Comma 5 6 2" xfId="1996"/>
    <cellStyle name="Comma 5 7" xfId="1389"/>
    <cellStyle name="Comma 6" xfId="39"/>
    <cellStyle name="Comma 6 2" xfId="66"/>
    <cellStyle name="Comma 6 2 2" xfId="138"/>
    <cellStyle name="Comma 6 2 2 2" xfId="288"/>
    <cellStyle name="Comma 6 2 2 2 2" xfId="608"/>
    <cellStyle name="Comma 6 2 2 2 2 2" xfId="1945"/>
    <cellStyle name="Comma 6 2 2 2 3" xfId="908"/>
    <cellStyle name="Comma 6 2 2 2 3 2" xfId="2245"/>
    <cellStyle name="Comma 6 2 2 2 4" xfId="1634"/>
    <cellStyle name="Comma 6 2 2 3" xfId="464"/>
    <cellStyle name="Comma 6 2 2 3 2" xfId="1801"/>
    <cellStyle name="Comma 6 2 2 4" xfId="758"/>
    <cellStyle name="Comma 6 2 2 4 2" xfId="2095"/>
    <cellStyle name="Comma 6 2 2 5" xfId="1488"/>
    <cellStyle name="Comma 6 2 3" xfId="216"/>
    <cellStyle name="Comma 6 2 3 2" xfId="536"/>
    <cellStyle name="Comma 6 2 3 2 2" xfId="1873"/>
    <cellStyle name="Comma 6 2 3 3" xfId="836"/>
    <cellStyle name="Comma 6 2 3 3 2" xfId="2173"/>
    <cellStyle name="Comma 6 2 3 4" xfId="1562"/>
    <cellStyle name="Comma 6 2 4" xfId="392"/>
    <cellStyle name="Comma 6 2 4 2" xfId="1729"/>
    <cellStyle name="Comma 6 2 5" xfId="686"/>
    <cellStyle name="Comma 6 2 5 2" xfId="2023"/>
    <cellStyle name="Comma 6 2 6" xfId="1416"/>
    <cellStyle name="Comma 6 3" xfId="112"/>
    <cellStyle name="Comma 6 3 2" xfId="262"/>
    <cellStyle name="Comma 6 3 2 2" xfId="582"/>
    <cellStyle name="Comma 6 3 2 2 2" xfId="1919"/>
    <cellStyle name="Comma 6 3 2 3" xfId="882"/>
    <cellStyle name="Comma 6 3 2 3 2" xfId="2219"/>
    <cellStyle name="Comma 6 3 2 4" xfId="1608"/>
    <cellStyle name="Comma 6 3 3" xfId="438"/>
    <cellStyle name="Comma 6 3 3 2" xfId="1775"/>
    <cellStyle name="Comma 6 3 4" xfId="732"/>
    <cellStyle name="Comma 6 3 4 2" xfId="2069"/>
    <cellStyle name="Comma 6 3 5" xfId="1462"/>
    <cellStyle name="Comma 6 4" xfId="189"/>
    <cellStyle name="Comma 6 4 2" xfId="510"/>
    <cellStyle name="Comma 6 4 2 2" xfId="1847"/>
    <cellStyle name="Comma 6 4 3" xfId="809"/>
    <cellStyle name="Comma 6 4 3 2" xfId="2146"/>
    <cellStyle name="Comma 6 4 4" xfId="1536"/>
    <cellStyle name="Comma 6 5" xfId="366"/>
    <cellStyle name="Comma 6 5 2" xfId="1703"/>
    <cellStyle name="Comma 6 6" xfId="660"/>
    <cellStyle name="Comma 6 6 2" xfId="1997"/>
    <cellStyle name="Comma 6 7" xfId="1390"/>
    <cellStyle name="Comma 7" xfId="40"/>
    <cellStyle name="Comma 7 2" xfId="67"/>
    <cellStyle name="Comma 7 2 2" xfId="139"/>
    <cellStyle name="Comma 7 2 2 2" xfId="289"/>
    <cellStyle name="Comma 7 2 2 2 2" xfId="609"/>
    <cellStyle name="Comma 7 2 2 2 2 2" xfId="1946"/>
    <cellStyle name="Comma 7 2 2 2 3" xfId="909"/>
    <cellStyle name="Comma 7 2 2 2 3 2" xfId="2246"/>
    <cellStyle name="Comma 7 2 2 2 4" xfId="1635"/>
    <cellStyle name="Comma 7 2 2 3" xfId="465"/>
    <cellStyle name="Comma 7 2 2 3 2" xfId="1802"/>
    <cellStyle name="Comma 7 2 2 4" xfId="759"/>
    <cellStyle name="Comma 7 2 2 4 2" xfId="2096"/>
    <cellStyle name="Comma 7 2 2 5" xfId="1489"/>
    <cellStyle name="Comma 7 2 3" xfId="217"/>
    <cellStyle name="Comma 7 2 3 2" xfId="537"/>
    <cellStyle name="Comma 7 2 3 2 2" xfId="1874"/>
    <cellStyle name="Comma 7 2 3 3" xfId="837"/>
    <cellStyle name="Comma 7 2 3 3 2" xfId="2174"/>
    <cellStyle name="Comma 7 2 3 4" xfId="1563"/>
    <cellStyle name="Comma 7 2 4" xfId="393"/>
    <cellStyle name="Comma 7 2 4 2" xfId="1730"/>
    <cellStyle name="Comma 7 2 5" xfId="687"/>
    <cellStyle name="Comma 7 2 5 2" xfId="2024"/>
    <cellStyle name="Comma 7 2 6" xfId="1417"/>
    <cellStyle name="Comma 7 3" xfId="113"/>
    <cellStyle name="Comma 7 3 2" xfId="263"/>
    <cellStyle name="Comma 7 3 2 2" xfId="583"/>
    <cellStyle name="Comma 7 3 2 2 2" xfId="1920"/>
    <cellStyle name="Comma 7 3 2 3" xfId="883"/>
    <cellStyle name="Comma 7 3 2 3 2" xfId="2220"/>
    <cellStyle name="Comma 7 3 2 4" xfId="1609"/>
    <cellStyle name="Comma 7 3 3" xfId="439"/>
    <cellStyle name="Comma 7 3 3 2" xfId="1776"/>
    <cellStyle name="Comma 7 3 4" xfId="733"/>
    <cellStyle name="Comma 7 3 4 2" xfId="2070"/>
    <cellStyle name="Comma 7 3 5" xfId="1463"/>
    <cellStyle name="Comma 7 4" xfId="190"/>
    <cellStyle name="Comma 7 4 2" xfId="511"/>
    <cellStyle name="Comma 7 4 2 2" xfId="1848"/>
    <cellStyle name="Comma 7 4 3" xfId="810"/>
    <cellStyle name="Comma 7 4 3 2" xfId="2147"/>
    <cellStyle name="Comma 7 4 4" xfId="1537"/>
    <cellStyle name="Comma 7 5" xfId="367"/>
    <cellStyle name="Comma 7 5 2" xfId="1704"/>
    <cellStyle name="Comma 7 6" xfId="661"/>
    <cellStyle name="Comma 7 6 2" xfId="1998"/>
    <cellStyle name="Comma 7 7" xfId="1391"/>
    <cellStyle name="Comma 8" xfId="41"/>
    <cellStyle name="Comma 8 2" xfId="68"/>
    <cellStyle name="Comma 8 2 2" xfId="140"/>
    <cellStyle name="Comma 8 2 2 2" xfId="290"/>
    <cellStyle name="Comma 8 2 2 2 2" xfId="610"/>
    <cellStyle name="Comma 8 2 2 2 2 2" xfId="1947"/>
    <cellStyle name="Comma 8 2 2 2 3" xfId="910"/>
    <cellStyle name="Comma 8 2 2 2 3 2" xfId="2247"/>
    <cellStyle name="Comma 8 2 2 2 4" xfId="1636"/>
    <cellStyle name="Comma 8 2 2 3" xfId="466"/>
    <cellStyle name="Comma 8 2 2 3 2" xfId="1803"/>
    <cellStyle name="Comma 8 2 2 4" xfId="760"/>
    <cellStyle name="Comma 8 2 2 4 2" xfId="2097"/>
    <cellStyle name="Comma 8 2 2 5" xfId="1490"/>
    <cellStyle name="Comma 8 2 3" xfId="218"/>
    <cellStyle name="Comma 8 2 3 2" xfId="538"/>
    <cellStyle name="Comma 8 2 3 2 2" xfId="1875"/>
    <cellStyle name="Comma 8 2 3 3" xfId="838"/>
    <cellStyle name="Comma 8 2 3 3 2" xfId="2175"/>
    <cellStyle name="Comma 8 2 3 4" xfId="1564"/>
    <cellStyle name="Comma 8 2 4" xfId="394"/>
    <cellStyle name="Comma 8 2 4 2" xfId="1731"/>
    <cellStyle name="Comma 8 2 5" xfId="688"/>
    <cellStyle name="Comma 8 2 5 2" xfId="2025"/>
    <cellStyle name="Comma 8 2 6" xfId="1418"/>
    <cellStyle name="Comma 8 3" xfId="114"/>
    <cellStyle name="Comma 8 3 2" xfId="264"/>
    <cellStyle name="Comma 8 3 2 2" xfId="584"/>
    <cellStyle name="Comma 8 3 2 2 2" xfId="1921"/>
    <cellStyle name="Comma 8 3 2 3" xfId="884"/>
    <cellStyle name="Comma 8 3 2 3 2" xfId="2221"/>
    <cellStyle name="Comma 8 3 2 4" xfId="1610"/>
    <cellStyle name="Comma 8 3 3" xfId="440"/>
    <cellStyle name="Comma 8 3 3 2" xfId="1777"/>
    <cellStyle name="Comma 8 3 4" xfId="734"/>
    <cellStyle name="Comma 8 3 4 2" xfId="2071"/>
    <cellStyle name="Comma 8 3 5" xfId="1464"/>
    <cellStyle name="Comma 8 4" xfId="191"/>
    <cellStyle name="Comma 8 4 2" xfId="512"/>
    <cellStyle name="Comma 8 4 2 2" xfId="1849"/>
    <cellStyle name="Comma 8 4 3" xfId="811"/>
    <cellStyle name="Comma 8 4 3 2" xfId="2148"/>
    <cellStyle name="Comma 8 4 4" xfId="1538"/>
    <cellStyle name="Comma 8 5" xfId="368"/>
    <cellStyle name="Comma 8 5 2" xfId="1705"/>
    <cellStyle name="Comma 8 6" xfId="662"/>
    <cellStyle name="Comma 8 6 2" xfId="1999"/>
    <cellStyle name="Comma 8 7" xfId="1392"/>
    <cellStyle name="Comma 9" xfId="42"/>
    <cellStyle name="Comma 9 2" xfId="69"/>
    <cellStyle name="Comma 9 2 2" xfId="141"/>
    <cellStyle name="Comma 9 2 2 2" xfId="291"/>
    <cellStyle name="Comma 9 2 2 2 2" xfId="611"/>
    <cellStyle name="Comma 9 2 2 2 2 2" xfId="1948"/>
    <cellStyle name="Comma 9 2 2 2 3" xfId="911"/>
    <cellStyle name="Comma 9 2 2 2 3 2" xfId="2248"/>
    <cellStyle name="Comma 9 2 2 2 4" xfId="1637"/>
    <cellStyle name="Comma 9 2 2 3" xfId="467"/>
    <cellStyle name="Comma 9 2 2 3 2" xfId="1804"/>
    <cellStyle name="Comma 9 2 2 4" xfId="761"/>
    <cellStyle name="Comma 9 2 2 4 2" xfId="2098"/>
    <cellStyle name="Comma 9 2 2 5" xfId="1491"/>
    <cellStyle name="Comma 9 2 3" xfId="219"/>
    <cellStyle name="Comma 9 2 3 2" xfId="539"/>
    <cellStyle name="Comma 9 2 3 2 2" xfId="1876"/>
    <cellStyle name="Comma 9 2 3 3" xfId="839"/>
    <cellStyle name="Comma 9 2 3 3 2" xfId="2176"/>
    <cellStyle name="Comma 9 2 3 4" xfId="1565"/>
    <cellStyle name="Comma 9 2 4" xfId="395"/>
    <cellStyle name="Comma 9 2 4 2" xfId="1732"/>
    <cellStyle name="Comma 9 2 5" xfId="689"/>
    <cellStyle name="Comma 9 2 5 2" xfId="2026"/>
    <cellStyle name="Comma 9 2 6" xfId="1419"/>
    <cellStyle name="Comma 9 3" xfId="115"/>
    <cellStyle name="Comma 9 3 2" xfId="265"/>
    <cellStyle name="Comma 9 3 2 2" xfId="585"/>
    <cellStyle name="Comma 9 3 2 2 2" xfId="1922"/>
    <cellStyle name="Comma 9 3 2 3" xfId="885"/>
    <cellStyle name="Comma 9 3 2 3 2" xfId="2222"/>
    <cellStyle name="Comma 9 3 2 4" xfId="1611"/>
    <cellStyle name="Comma 9 3 3" xfId="441"/>
    <cellStyle name="Comma 9 3 3 2" xfId="1778"/>
    <cellStyle name="Comma 9 3 4" xfId="735"/>
    <cellStyle name="Comma 9 3 4 2" xfId="2072"/>
    <cellStyle name="Comma 9 3 5" xfId="1465"/>
    <cellStyle name="Comma 9 4" xfId="192"/>
    <cellStyle name="Comma 9 4 2" xfId="513"/>
    <cellStyle name="Comma 9 4 2 2" xfId="1850"/>
    <cellStyle name="Comma 9 4 3" xfId="812"/>
    <cellStyle name="Comma 9 4 3 2" xfId="2149"/>
    <cellStyle name="Comma 9 4 4" xfId="1539"/>
    <cellStyle name="Comma 9 5" xfId="369"/>
    <cellStyle name="Comma 9 5 2" xfId="1706"/>
    <cellStyle name="Comma 9 6" xfId="663"/>
    <cellStyle name="Comma 9 6 2" xfId="2000"/>
    <cellStyle name="Comma 9 7" xfId="1393"/>
    <cellStyle name="Currency 2" xfId="1353"/>
    <cellStyle name="Normal" xfId="0" builtinId="0"/>
    <cellStyle name="Normal 10" xfId="306"/>
    <cellStyle name="Normal 10 2" xfId="926"/>
    <cellStyle name="Normal 10 2 2" xfId="2263"/>
    <cellStyle name="Normal 11" xfId="307"/>
    <cellStyle name="Normal 11 2" xfId="624"/>
    <cellStyle name="Normal 11 2 2" xfId="1305"/>
    <cellStyle name="Normal 11 2 2 2" xfId="2639"/>
    <cellStyle name="Normal 11 2 3" xfId="1961"/>
    <cellStyle name="Normal 11 3" xfId="1113"/>
    <cellStyle name="Normal 11 3 2" xfId="2447"/>
    <cellStyle name="Normal 11 4" xfId="1651"/>
    <cellStyle name="Normal 12" xfId="308"/>
    <cellStyle name="Normal 12 2" xfId="330"/>
    <cellStyle name="Normal 12 2 2" xfId="1128"/>
    <cellStyle name="Normal 12 2 2 2" xfId="1350"/>
    <cellStyle name="Normal 12 2 2 2 2" xfId="2682"/>
    <cellStyle name="Normal 12 2 2 3" xfId="2462"/>
    <cellStyle name="Normal 12 2 3" xfId="1348"/>
    <cellStyle name="Normal 12 2 3 2" xfId="2680"/>
    <cellStyle name="Normal 12 2 4" xfId="1669"/>
    <cellStyle name="Normal 12 3" xfId="625"/>
    <cellStyle name="Normal 12 3 2" xfId="1306"/>
    <cellStyle name="Normal 12 3 2 2" xfId="2640"/>
    <cellStyle name="Normal 12 3 3" xfId="1962"/>
    <cellStyle name="Normal 12 4" xfId="1114"/>
    <cellStyle name="Normal 12 4 2" xfId="2448"/>
    <cellStyle name="Normal 12 5" xfId="1652"/>
    <cellStyle name="Normal 13" xfId="311"/>
    <cellStyle name="Normal 13 2" xfId="322"/>
    <cellStyle name="Normal 13 2 2" xfId="1121"/>
    <cellStyle name="Normal 13 2 2 2" xfId="2455"/>
    <cellStyle name="Normal 13 2 3" xfId="1662"/>
    <cellStyle name="Normal 13 3" xfId="628"/>
    <cellStyle name="Normal 13 3 2" xfId="1308"/>
    <cellStyle name="Normal 13 3 2 2" xfId="2642"/>
    <cellStyle name="Normal 13 3 3" xfId="1965"/>
    <cellStyle name="Normal 13 4" xfId="927"/>
    <cellStyle name="Normal 13 4 2" xfId="2264"/>
    <cellStyle name="Normal 13 5" xfId="1116"/>
    <cellStyle name="Normal 13 5 2" xfId="2450"/>
    <cellStyle name="Normal 13 6" xfId="1655"/>
    <cellStyle name="Normal 14" xfId="1345"/>
    <cellStyle name="Normal 14 2" xfId="2677"/>
    <cellStyle name="Normal 15" xfId="1357"/>
    <cellStyle name="Normal 15 2" xfId="2687"/>
    <cellStyle name="Normal 16" xfId="2690"/>
    <cellStyle name="Normal 2" xfId="3"/>
    <cellStyle name="Normal 2 2" xfId="9"/>
    <cellStyle name="Normal 2 2 2" xfId="160"/>
    <cellStyle name="Normal 2 2 2 2" xfId="780"/>
    <cellStyle name="Normal 2 2 2 2 2" xfId="2117"/>
    <cellStyle name="Normal 2 2 2 3" xfId="1012"/>
    <cellStyle name="Normal 2 2 3" xfId="338"/>
    <cellStyle name="Normal 2 2 3 2" xfId="1352"/>
    <cellStyle name="Normal 2 2 4" xfId="1351"/>
    <cellStyle name="Normal 2 2 4 2" xfId="1355"/>
    <cellStyle name="Normal 2 2 4 2 2" xfId="1356"/>
    <cellStyle name="Normal 2 2 4 2 2 2" xfId="2686"/>
    <cellStyle name="Normal 2 2 4 2 3" xfId="2685"/>
    <cellStyle name="Normal 2 2 4 3" xfId="2683"/>
    <cellStyle name="Normal 2 2 5" xfId="1354"/>
    <cellStyle name="Normal 2 2 5 2" xfId="2684"/>
    <cellStyle name="Normal 2 3" xfId="1"/>
    <cellStyle name="Normal 2 3 2" xfId="23"/>
    <cellStyle name="Normal 2 3 2 2" xfId="173"/>
    <cellStyle name="Normal 2 3 2 2 2" xfId="312"/>
    <cellStyle name="Normal 2 3 2 2 2 2" xfId="629"/>
    <cellStyle name="Normal 2 3 2 2 2 2 2" xfId="1309"/>
    <cellStyle name="Normal 2 3 2 2 2 2 2 2" xfId="2643"/>
    <cellStyle name="Normal 2 3 2 2 2 2 3" xfId="1966"/>
    <cellStyle name="Normal 2 3 2 2 2 3" xfId="1117"/>
    <cellStyle name="Normal 2 3 2 2 2 3 2" xfId="2451"/>
    <cellStyle name="Normal 2 3 2 2 2 4" xfId="1656"/>
    <cellStyle name="Normal 2 3 2 2 3" xfId="315"/>
    <cellStyle name="Normal 2 3 2 2 3 2" xfId="1118"/>
    <cellStyle name="Normal 2 3 2 2 3 2 2" xfId="2452"/>
    <cellStyle name="Normal 2 3 2 2 3 3" xfId="1358"/>
    <cellStyle name="Normal 2 3 2 2 3 3 2" xfId="2688"/>
    <cellStyle name="Normal 2 3 2 2 3 4" xfId="1658"/>
    <cellStyle name="Normal 2 3 2 2 4" xfId="319"/>
    <cellStyle name="Normal 2 3 2 2 4 2" xfId="1120"/>
    <cellStyle name="Normal 2 3 2 2 4 2 2" xfId="2454"/>
    <cellStyle name="Normal 2 3 2 2 4 3" xfId="1660"/>
    <cellStyle name="Normal 2 3 2 2 5" xfId="793"/>
    <cellStyle name="Normal 2 3 2 2 5 2" xfId="2130"/>
    <cellStyle name="Normal 2 3 2 2 6" xfId="1023"/>
    <cellStyle name="Normal 2 3 2 2 6 2" xfId="2359"/>
    <cellStyle name="Normal 2 3 2 2 7" xfId="1520"/>
    <cellStyle name="Normal 2 3 2 3" xfId="350"/>
    <cellStyle name="Normal 2 3 2 3 2" xfId="1141"/>
    <cellStyle name="Normal 2 3 2 3 2 2" xfId="2475"/>
    <cellStyle name="Normal 2 3 2 3 3" xfId="1687"/>
    <cellStyle name="Normal 2 3 2 4" xfId="644"/>
    <cellStyle name="Normal 2 3 2 4 2" xfId="1981"/>
    <cellStyle name="Normal 2 3 2 5" xfId="943"/>
    <cellStyle name="Normal 2 3 2 5 2" xfId="2280"/>
    <cellStyle name="Normal 2 3 2 6" xfId="1374"/>
    <cellStyle name="Normal 2 3 3" xfId="931"/>
    <cellStyle name="Normal 2 3 3 2" xfId="2268"/>
    <cellStyle name="Normal 2 3 4" xfId="1310"/>
    <cellStyle name="Normal 2 4 2" xfId="18"/>
    <cellStyle name="Normal 2 4 2 2" xfId="168"/>
    <cellStyle name="Normal 2 4 2 2 2" xfId="788"/>
    <cellStyle name="Normal 2 4 2 2 2 2" xfId="2125"/>
    <cellStyle name="Normal 2 4 2 2 3" xfId="1019"/>
    <cellStyle name="Normal 2 4 2 2 3 2" xfId="2355"/>
    <cellStyle name="Normal 2 4 2 2 4" xfId="1516"/>
    <cellStyle name="Normal 2 4 2 3" xfId="346"/>
    <cellStyle name="Normal 2 4 2 3 2" xfId="1138"/>
    <cellStyle name="Normal 2 4 2 3 2 2" xfId="2472"/>
    <cellStyle name="Normal 2 4 2 3 3" xfId="1683"/>
    <cellStyle name="Normal 2 4 2 4" xfId="640"/>
    <cellStyle name="Normal 2 4 2 4 2" xfId="1977"/>
    <cellStyle name="Normal 2 4 2 5" xfId="940"/>
    <cellStyle name="Normal 2 4 2 5 2" xfId="2277"/>
    <cellStyle name="Normal 2 4 2 6" xfId="1370"/>
    <cellStyle name="Normal 3" xfId="7"/>
    <cellStyle name="Normal 3 2" xfId="31"/>
    <cellStyle name="Normal 3 2 2" xfId="71"/>
    <cellStyle name="Normal 3 2 2 2" xfId="143"/>
    <cellStyle name="Normal 3 2 2 2 2" xfId="293"/>
    <cellStyle name="Normal 3 2 2 2 2 2" xfId="613"/>
    <cellStyle name="Normal 3 2 2 2 2 2 2" xfId="1294"/>
    <cellStyle name="Normal 3 2 2 2 2 2 2 2" xfId="2628"/>
    <cellStyle name="Normal 3 2 2 2 2 2 3" xfId="1950"/>
    <cellStyle name="Normal 3 2 2 2 2 3" xfId="913"/>
    <cellStyle name="Normal 3 2 2 2 2 3 2" xfId="2250"/>
    <cellStyle name="Normal 3 2 2 2 2 4" xfId="1100"/>
    <cellStyle name="Normal 3 2 2 2 2 4 2" xfId="2435"/>
    <cellStyle name="Normal 3 2 2 2 2 5" xfId="1639"/>
    <cellStyle name="Normal 3 2 2 2 3" xfId="469"/>
    <cellStyle name="Normal 3 2 2 2 3 2" xfId="1194"/>
    <cellStyle name="Normal 3 2 2 2 3 2 2" xfId="2528"/>
    <cellStyle name="Normal 3 2 2 2 3 3" xfId="1806"/>
    <cellStyle name="Normal 3 2 2 2 4" xfId="763"/>
    <cellStyle name="Normal 3 2 2 2 4 2" xfId="2100"/>
    <cellStyle name="Normal 3 2 2 2 5" xfId="996"/>
    <cellStyle name="Normal 3 2 2 2 5 2" xfId="2333"/>
    <cellStyle name="Normal 3 2 2 2 6" xfId="1493"/>
    <cellStyle name="Normal 3 2 2 3" xfId="221"/>
    <cellStyle name="Normal 3 2 2 3 2" xfId="541"/>
    <cellStyle name="Normal 3 2 2 3 2 2" xfId="1244"/>
    <cellStyle name="Normal 3 2 2 3 2 2 2" xfId="2578"/>
    <cellStyle name="Normal 3 2 2 3 2 3" xfId="1878"/>
    <cellStyle name="Normal 3 2 2 3 3" xfId="841"/>
    <cellStyle name="Normal 3 2 2 3 3 2" xfId="2178"/>
    <cellStyle name="Normal 3 2 2 3 4" xfId="1050"/>
    <cellStyle name="Normal 3 2 2 3 4 2" xfId="2385"/>
    <cellStyle name="Normal 3 2 2 3 5" xfId="1567"/>
    <cellStyle name="Normal 3 2 2 4" xfId="397"/>
    <cellStyle name="Normal 3 2 2 4 2" xfId="1158"/>
    <cellStyle name="Normal 3 2 2 4 2 2" xfId="2492"/>
    <cellStyle name="Normal 3 2 2 4 3" xfId="1734"/>
    <cellStyle name="Normal 3 2 2 5" xfId="691"/>
    <cellStyle name="Normal 3 2 2 5 2" xfId="2028"/>
    <cellStyle name="Normal 3 2 2 6" xfId="960"/>
    <cellStyle name="Normal 3 2 2 6 2" xfId="2297"/>
    <cellStyle name="Normal 3 2 2 7" xfId="1421"/>
    <cellStyle name="Normal 3 2 3" xfId="104"/>
    <cellStyle name="Normal 3 2 3 2" xfId="254"/>
    <cellStyle name="Normal 3 2 3 2 2" xfId="574"/>
    <cellStyle name="Normal 3 2 3 2 2 2" xfId="1275"/>
    <cellStyle name="Normal 3 2 3 2 2 2 2" xfId="2609"/>
    <cellStyle name="Normal 3 2 3 2 2 3" xfId="1911"/>
    <cellStyle name="Normal 3 2 3 2 3" xfId="874"/>
    <cellStyle name="Normal 3 2 3 2 3 2" xfId="2211"/>
    <cellStyle name="Normal 3 2 3 2 4" xfId="1081"/>
    <cellStyle name="Normal 3 2 3 2 4 2" xfId="2416"/>
    <cellStyle name="Normal 3 2 3 2 5" xfId="1600"/>
    <cellStyle name="Normal 3 2 3 3" xfId="430"/>
    <cellStyle name="Normal 3 2 3 3 2" xfId="1181"/>
    <cellStyle name="Normal 3 2 3 3 2 2" xfId="2515"/>
    <cellStyle name="Normal 3 2 3 3 3" xfId="1767"/>
    <cellStyle name="Normal 3 2 3 4" xfId="724"/>
    <cellStyle name="Normal 3 2 3 4 2" xfId="2061"/>
    <cellStyle name="Normal 3 2 3 5" xfId="983"/>
    <cellStyle name="Normal 3 2 3 5 2" xfId="2320"/>
    <cellStyle name="Normal 3 2 3 6" xfId="1454"/>
    <cellStyle name="Normal 3 2 4" xfId="181"/>
    <cellStyle name="Normal 3 2 4 2" xfId="502"/>
    <cellStyle name="Normal 3 2 4 2 2" xfId="1225"/>
    <cellStyle name="Normal 3 2 4 2 2 2" xfId="2559"/>
    <cellStyle name="Normal 3 2 4 2 3" xfId="1839"/>
    <cellStyle name="Normal 3 2 4 3" xfId="801"/>
    <cellStyle name="Normal 3 2 4 3 2" xfId="2138"/>
    <cellStyle name="Normal 3 2 4 4" xfId="1030"/>
    <cellStyle name="Normal 3 2 4 4 2" xfId="2366"/>
    <cellStyle name="Normal 3 2 4 5" xfId="1528"/>
    <cellStyle name="Normal 3 2 5" xfId="358"/>
    <cellStyle name="Normal 3 2 5 2" xfId="1145"/>
    <cellStyle name="Normal 3 2 5 2 2" xfId="2479"/>
    <cellStyle name="Normal 3 2 5 3" xfId="1695"/>
    <cellStyle name="Normal 3 2 6" xfId="652"/>
    <cellStyle name="Normal 3 2 6 2" xfId="1989"/>
    <cellStyle name="Normal 3 2 7" xfId="947"/>
    <cellStyle name="Normal 3 2 7 2" xfId="2284"/>
    <cellStyle name="Normal 3 2 8" xfId="1382"/>
    <cellStyle name="Normal 3 3" xfId="70"/>
    <cellStyle name="Normal 3 3 2" xfId="142"/>
    <cellStyle name="Normal 3 3 2 2" xfId="292"/>
    <cellStyle name="Normal 3 3 2 2 2" xfId="612"/>
    <cellStyle name="Normal 3 3 2 2 2 2" xfId="1293"/>
    <cellStyle name="Normal 3 3 2 2 2 2 2" xfId="2627"/>
    <cellStyle name="Normal 3 3 2 2 2 3" xfId="1949"/>
    <cellStyle name="Normal 3 3 2 2 3" xfId="912"/>
    <cellStyle name="Normal 3 3 2 2 3 2" xfId="2249"/>
    <cellStyle name="Normal 3 3 2 2 4" xfId="1099"/>
    <cellStyle name="Normal 3 3 2 2 4 2" xfId="2434"/>
    <cellStyle name="Normal 3 3 2 2 5" xfId="1638"/>
    <cellStyle name="Normal 3 3 2 3" xfId="468"/>
    <cellStyle name="Normal 3 3 2 3 2" xfId="1193"/>
    <cellStyle name="Normal 3 3 2 3 2 2" xfId="2527"/>
    <cellStyle name="Normal 3 3 2 3 3" xfId="1805"/>
    <cellStyle name="Normal 3 3 2 4" xfId="762"/>
    <cellStyle name="Normal 3 3 2 4 2" xfId="2099"/>
    <cellStyle name="Normal 3 3 2 5" xfId="995"/>
    <cellStyle name="Normal 3 3 2 5 2" xfId="2332"/>
    <cellStyle name="Normal 3 3 2 6" xfId="1492"/>
    <cellStyle name="Normal 3 3 3" xfId="220"/>
    <cellStyle name="Normal 3 3 3 2" xfId="540"/>
    <cellStyle name="Normal 3 3 3 2 2" xfId="1243"/>
    <cellStyle name="Normal 3 3 3 2 2 2" xfId="2577"/>
    <cellStyle name="Normal 3 3 3 2 3" xfId="1877"/>
    <cellStyle name="Normal 3 3 3 3" xfId="840"/>
    <cellStyle name="Normal 3 3 3 3 2" xfId="2177"/>
    <cellStyle name="Normal 3 3 3 4" xfId="1049"/>
    <cellStyle name="Normal 3 3 3 4 2" xfId="2384"/>
    <cellStyle name="Normal 3 3 3 5" xfId="1566"/>
    <cellStyle name="Normal 3 3 4" xfId="396"/>
    <cellStyle name="Normal 3 3 4 2" xfId="1157"/>
    <cellStyle name="Normal 3 3 4 2 2" xfId="2491"/>
    <cellStyle name="Normal 3 3 4 3" xfId="1733"/>
    <cellStyle name="Normal 3 3 5" xfId="690"/>
    <cellStyle name="Normal 3 3 5 2" xfId="2027"/>
    <cellStyle name="Normal 3 3 6" xfId="959"/>
    <cellStyle name="Normal 3 3 6 2" xfId="2296"/>
    <cellStyle name="Normal 3 3 7" xfId="1420"/>
    <cellStyle name="Normal 3 4" xfId="85"/>
    <cellStyle name="Normal 3 4 2" xfId="235"/>
    <cellStyle name="Normal 3 4 2 2" xfId="555"/>
    <cellStyle name="Normal 3 4 2 2 2" xfId="1258"/>
    <cellStyle name="Normal 3 4 2 2 2 2" xfId="2592"/>
    <cellStyle name="Normal 3 4 2 2 3" xfId="1892"/>
    <cellStyle name="Normal 3 4 2 3" xfId="855"/>
    <cellStyle name="Normal 3 4 2 3 2" xfId="2192"/>
    <cellStyle name="Normal 3 4 2 4" xfId="1064"/>
    <cellStyle name="Normal 3 4 2 4 2" xfId="2399"/>
    <cellStyle name="Normal 3 4 2 5" xfId="1581"/>
    <cellStyle name="Normal 3 4 3" xfId="411"/>
    <cellStyle name="Normal 3 4 3 2" xfId="1170"/>
    <cellStyle name="Normal 3 4 3 2 2" xfId="2504"/>
    <cellStyle name="Normal 3 4 3 3" xfId="1748"/>
    <cellStyle name="Normal 3 4 4" xfId="705"/>
    <cellStyle name="Normal 3 4 4 2" xfId="2042"/>
    <cellStyle name="Normal 3 4 5" xfId="972"/>
    <cellStyle name="Normal 3 4 5 2" xfId="2309"/>
    <cellStyle name="Normal 3 4 6" xfId="1435"/>
    <cellStyle name="Normal 3 5" xfId="158"/>
    <cellStyle name="Normal 3 5 2" xfId="483"/>
    <cellStyle name="Normal 3 5 2 2" xfId="1208"/>
    <cellStyle name="Normal 3 5 2 2 2" xfId="2542"/>
    <cellStyle name="Normal 3 5 2 3" xfId="1820"/>
    <cellStyle name="Normal 3 5 3" xfId="778"/>
    <cellStyle name="Normal 3 5 3 2" xfId="2115"/>
    <cellStyle name="Normal 3 5 4" xfId="1010"/>
    <cellStyle name="Normal 3 5 4 2" xfId="2347"/>
    <cellStyle name="Normal 3 5 5" xfId="1507"/>
    <cellStyle name="Normal 3 6" xfId="336"/>
    <cellStyle name="Normal 3 6 2" xfId="1132"/>
    <cellStyle name="Normal 3 6 2 2" xfId="2466"/>
    <cellStyle name="Normal 3 6 3" xfId="1674"/>
    <cellStyle name="Normal 3 7" xfId="631"/>
    <cellStyle name="Normal 3 7 2" xfId="1968"/>
    <cellStyle name="Normal 3 8" xfId="934"/>
    <cellStyle name="Normal 3 8 2" xfId="2271"/>
    <cellStyle name="Normal 3 9" xfId="1361"/>
    <cellStyle name="Normal 4" xfId="12"/>
    <cellStyle name="Normal 4 2" xfId="32"/>
    <cellStyle name="Normal 4 2 2" xfId="73"/>
    <cellStyle name="Normal 4 2 2 2" xfId="145"/>
    <cellStyle name="Normal 4 2 2 2 2" xfId="295"/>
    <cellStyle name="Normal 4 2 2 2 2 2" xfId="615"/>
    <cellStyle name="Normal 4 2 2 2 2 2 2" xfId="1296"/>
    <cellStyle name="Normal 4 2 2 2 2 2 2 2" xfId="2630"/>
    <cellStyle name="Normal 4 2 2 2 2 2 3" xfId="1952"/>
    <cellStyle name="Normal 4 2 2 2 2 3" xfId="915"/>
    <cellStyle name="Normal 4 2 2 2 2 3 2" xfId="2252"/>
    <cellStyle name="Normal 4 2 2 2 2 4" xfId="1102"/>
    <cellStyle name="Normal 4 2 2 2 2 4 2" xfId="2437"/>
    <cellStyle name="Normal 4 2 2 2 2 5" xfId="1641"/>
    <cellStyle name="Normal 4 2 2 2 3" xfId="471"/>
    <cellStyle name="Normal 4 2 2 2 3 2" xfId="1196"/>
    <cellStyle name="Normal 4 2 2 2 3 2 2" xfId="2530"/>
    <cellStyle name="Normal 4 2 2 2 3 3" xfId="1808"/>
    <cellStyle name="Normal 4 2 2 2 4" xfId="765"/>
    <cellStyle name="Normal 4 2 2 2 4 2" xfId="2102"/>
    <cellStyle name="Normal 4 2 2 2 5" xfId="998"/>
    <cellStyle name="Normal 4 2 2 2 5 2" xfId="2335"/>
    <cellStyle name="Normal 4 2 2 2 6" xfId="1495"/>
    <cellStyle name="Normal 4 2 2 3" xfId="223"/>
    <cellStyle name="Normal 4 2 2 3 2" xfId="543"/>
    <cellStyle name="Normal 4 2 2 3 2 2" xfId="1246"/>
    <cellStyle name="Normal 4 2 2 3 2 2 2" xfId="2580"/>
    <cellStyle name="Normal 4 2 2 3 2 3" xfId="1880"/>
    <cellStyle name="Normal 4 2 2 3 3" xfId="843"/>
    <cellStyle name="Normal 4 2 2 3 3 2" xfId="2180"/>
    <cellStyle name="Normal 4 2 2 3 4" xfId="1052"/>
    <cellStyle name="Normal 4 2 2 3 4 2" xfId="2387"/>
    <cellStyle name="Normal 4 2 2 3 5" xfId="1569"/>
    <cellStyle name="Normal 4 2 2 4" xfId="399"/>
    <cellStyle name="Normal 4 2 2 4 2" xfId="1160"/>
    <cellStyle name="Normal 4 2 2 4 2 2" xfId="2494"/>
    <cellStyle name="Normal 4 2 2 4 3" xfId="1736"/>
    <cellStyle name="Normal 4 2 2 5" xfId="693"/>
    <cellStyle name="Normal 4 2 2 5 2" xfId="2030"/>
    <cellStyle name="Normal 4 2 2 6" xfId="962"/>
    <cellStyle name="Normal 4 2 2 6 2" xfId="2299"/>
    <cellStyle name="Normal 4 2 2 7" xfId="1423"/>
    <cellStyle name="Normal 4 2 3" xfId="105"/>
    <cellStyle name="Normal 4 2 3 2" xfId="255"/>
    <cellStyle name="Normal 4 2 3 2 2" xfId="575"/>
    <cellStyle name="Normal 4 2 3 2 2 2" xfId="1276"/>
    <cellStyle name="Normal 4 2 3 2 2 2 2" xfId="2610"/>
    <cellStyle name="Normal 4 2 3 2 2 3" xfId="1912"/>
    <cellStyle name="Normal 4 2 3 2 3" xfId="875"/>
    <cellStyle name="Normal 4 2 3 2 3 2" xfId="2212"/>
    <cellStyle name="Normal 4 2 3 2 4" xfId="1082"/>
    <cellStyle name="Normal 4 2 3 2 4 2" xfId="2417"/>
    <cellStyle name="Normal 4 2 3 2 5" xfId="1601"/>
    <cellStyle name="Normal 4 2 3 3" xfId="431"/>
    <cellStyle name="Normal 4 2 3 3 2" xfId="1182"/>
    <cellStyle name="Normal 4 2 3 3 2 2" xfId="2516"/>
    <cellStyle name="Normal 4 2 3 3 3" xfId="1768"/>
    <cellStyle name="Normal 4 2 3 4" xfId="725"/>
    <cellStyle name="Normal 4 2 3 4 2" xfId="2062"/>
    <cellStyle name="Normal 4 2 3 5" xfId="984"/>
    <cellStyle name="Normal 4 2 3 5 2" xfId="2321"/>
    <cellStyle name="Normal 4 2 3 6" xfId="1455"/>
    <cellStyle name="Normal 4 2 4" xfId="182"/>
    <cellStyle name="Normal 4 2 4 2" xfId="503"/>
    <cellStyle name="Normal 4 2 4 2 2" xfId="1226"/>
    <cellStyle name="Normal 4 2 4 2 2 2" xfId="2560"/>
    <cellStyle name="Normal 4 2 4 2 3" xfId="1840"/>
    <cellStyle name="Normal 4 2 4 3" xfId="802"/>
    <cellStyle name="Normal 4 2 4 3 2" xfId="2139"/>
    <cellStyle name="Normal 4 2 4 4" xfId="1031"/>
    <cellStyle name="Normal 4 2 4 4 2" xfId="2367"/>
    <cellStyle name="Normal 4 2 4 5" xfId="1529"/>
    <cellStyle name="Normal 4 2 5" xfId="359"/>
    <cellStyle name="Normal 4 2 5 2" xfId="1146"/>
    <cellStyle name="Normal 4 2 5 2 2" xfId="2480"/>
    <cellStyle name="Normal 4 2 5 3" xfId="1696"/>
    <cellStyle name="Normal 4 2 6" xfId="653"/>
    <cellStyle name="Normal 4 2 6 2" xfId="1990"/>
    <cellStyle name="Normal 4 2 7" xfId="948"/>
    <cellStyle name="Normal 4 2 7 2" xfId="2285"/>
    <cellStyle name="Normal 4 2 8" xfId="1383"/>
    <cellStyle name="Normal 4 3" xfId="72"/>
    <cellStyle name="Normal 4 3 2" xfId="144"/>
    <cellStyle name="Normal 4 3 2 2" xfId="294"/>
    <cellStyle name="Normal 4 3 2 2 2" xfId="614"/>
    <cellStyle name="Normal 4 3 2 2 2 2" xfId="1295"/>
    <cellStyle name="Normal 4 3 2 2 2 2 2" xfId="2629"/>
    <cellStyle name="Normal 4 3 2 2 2 3" xfId="1951"/>
    <cellStyle name="Normal 4 3 2 2 3" xfId="914"/>
    <cellStyle name="Normal 4 3 2 2 3 2" xfId="2251"/>
    <cellStyle name="Normal 4 3 2 2 4" xfId="1101"/>
    <cellStyle name="Normal 4 3 2 2 4 2" xfId="2436"/>
    <cellStyle name="Normal 4 3 2 2 5" xfId="1640"/>
    <cellStyle name="Normal 4 3 2 3" xfId="470"/>
    <cellStyle name="Normal 4 3 2 3 2" xfId="1195"/>
    <cellStyle name="Normal 4 3 2 3 2 2" xfId="2529"/>
    <cellStyle name="Normal 4 3 2 3 3" xfId="1807"/>
    <cellStyle name="Normal 4 3 2 4" xfId="764"/>
    <cellStyle name="Normal 4 3 2 4 2" xfId="2101"/>
    <cellStyle name="Normal 4 3 2 5" xfId="997"/>
    <cellStyle name="Normal 4 3 2 5 2" xfId="2334"/>
    <cellStyle name="Normal 4 3 2 6" xfId="1494"/>
    <cellStyle name="Normal 4 3 3" xfId="222"/>
    <cellStyle name="Normal 4 3 3 2" xfId="542"/>
    <cellStyle name="Normal 4 3 3 2 2" xfId="1245"/>
    <cellStyle name="Normal 4 3 3 2 2 2" xfId="2579"/>
    <cellStyle name="Normal 4 3 3 2 3" xfId="1879"/>
    <cellStyle name="Normal 4 3 3 3" xfId="842"/>
    <cellStyle name="Normal 4 3 3 3 2" xfId="2179"/>
    <cellStyle name="Normal 4 3 3 4" xfId="1051"/>
    <cellStyle name="Normal 4 3 3 4 2" xfId="2386"/>
    <cellStyle name="Normal 4 3 3 5" xfId="1568"/>
    <cellStyle name="Normal 4 3 4" xfId="398"/>
    <cellStyle name="Normal 4 3 4 2" xfId="1159"/>
    <cellStyle name="Normal 4 3 4 2 2" xfId="2493"/>
    <cellStyle name="Normal 4 3 4 3" xfId="1735"/>
    <cellStyle name="Normal 4 3 5" xfId="692"/>
    <cellStyle name="Normal 4 3 5 2" xfId="2029"/>
    <cellStyle name="Normal 4 3 6" xfId="961"/>
    <cellStyle name="Normal 4 3 6 2" xfId="2298"/>
    <cellStyle name="Normal 4 3 7" xfId="1422"/>
    <cellStyle name="Normal 4 4" xfId="88"/>
    <cellStyle name="Normal 4 4 2" xfId="238"/>
    <cellStyle name="Normal 4 4 2 2" xfId="558"/>
    <cellStyle name="Normal 4 4 2 2 2" xfId="1260"/>
    <cellStyle name="Normal 4 4 2 2 2 2" xfId="2594"/>
    <cellStyle name="Normal 4 4 2 2 3" xfId="1895"/>
    <cellStyle name="Normal 4 4 2 3" xfId="858"/>
    <cellStyle name="Normal 4 4 2 3 2" xfId="2195"/>
    <cellStyle name="Normal 4 4 2 4" xfId="1066"/>
    <cellStyle name="Normal 4 4 2 4 2" xfId="2401"/>
    <cellStyle name="Normal 4 4 2 5" xfId="1584"/>
    <cellStyle name="Normal 4 4 3" xfId="414"/>
    <cellStyle name="Normal 4 4 3 2" xfId="1171"/>
    <cellStyle name="Normal 4 4 3 2 2" xfId="2505"/>
    <cellStyle name="Normal 4 4 3 3" xfId="1751"/>
    <cellStyle name="Normal 4 4 4" xfId="708"/>
    <cellStyle name="Normal 4 4 4 2" xfId="2045"/>
    <cellStyle name="Normal 4 4 5" xfId="973"/>
    <cellStyle name="Normal 4 4 5 2" xfId="2310"/>
    <cellStyle name="Normal 4 4 6" xfId="1438"/>
    <cellStyle name="Normal 4 5" xfId="162"/>
    <cellStyle name="Normal 4 5 2" xfId="486"/>
    <cellStyle name="Normal 4 5 2 2" xfId="1210"/>
    <cellStyle name="Normal 4 5 2 2 2" xfId="2544"/>
    <cellStyle name="Normal 4 5 2 3" xfId="1823"/>
    <cellStyle name="Normal 4 5 3" xfId="782"/>
    <cellStyle name="Normal 4 5 3 2" xfId="2119"/>
    <cellStyle name="Normal 4 5 4" xfId="1013"/>
    <cellStyle name="Normal 4 5 4 2" xfId="2349"/>
    <cellStyle name="Normal 4 5 5" xfId="1510"/>
    <cellStyle name="Normal 4 6" xfId="340"/>
    <cellStyle name="Normal 4 6 2" xfId="1133"/>
    <cellStyle name="Normal 4 6 2 2" xfId="2467"/>
    <cellStyle name="Normal 4 6 3" xfId="1677"/>
    <cellStyle name="Normal 4 7" xfId="634"/>
    <cellStyle name="Normal 4 7 2" xfId="1971"/>
    <cellStyle name="Normal 4 8" xfId="935"/>
    <cellStyle name="Normal 4 8 2" xfId="2272"/>
    <cellStyle name="Normal 4 9" xfId="1364"/>
    <cellStyle name="Normal 5" xfId="16"/>
    <cellStyle name="Normal 5 2" xfId="33"/>
    <cellStyle name="Normal 5 2 2" xfId="75"/>
    <cellStyle name="Normal 5 2 2 2" xfId="147"/>
    <cellStyle name="Normal 5 2 2 2 2" xfId="297"/>
    <cellStyle name="Normal 5 2 2 2 2 2" xfId="617"/>
    <cellStyle name="Normal 5 2 2 2 2 2 2" xfId="1298"/>
    <cellStyle name="Normal 5 2 2 2 2 2 2 2" xfId="2632"/>
    <cellStyle name="Normal 5 2 2 2 2 2 3" xfId="1954"/>
    <cellStyle name="Normal 5 2 2 2 2 3" xfId="917"/>
    <cellStyle name="Normal 5 2 2 2 2 3 2" xfId="2254"/>
    <cellStyle name="Normal 5 2 2 2 2 4" xfId="1104"/>
    <cellStyle name="Normal 5 2 2 2 2 4 2" xfId="2439"/>
    <cellStyle name="Normal 5 2 2 2 2 5" xfId="1643"/>
    <cellStyle name="Normal 5 2 2 2 3" xfId="473"/>
    <cellStyle name="Normal 5 2 2 2 3 2" xfId="1198"/>
    <cellStyle name="Normal 5 2 2 2 3 2 2" xfId="2532"/>
    <cellStyle name="Normal 5 2 2 2 3 3" xfId="1810"/>
    <cellStyle name="Normal 5 2 2 2 4" xfId="767"/>
    <cellStyle name="Normal 5 2 2 2 4 2" xfId="2104"/>
    <cellStyle name="Normal 5 2 2 2 5" xfId="1000"/>
    <cellStyle name="Normal 5 2 2 2 5 2" xfId="2337"/>
    <cellStyle name="Normal 5 2 2 2 6" xfId="1497"/>
    <cellStyle name="Normal 5 2 2 3" xfId="225"/>
    <cellStyle name="Normal 5 2 2 3 2" xfId="545"/>
    <cellStyle name="Normal 5 2 2 3 2 2" xfId="1248"/>
    <cellStyle name="Normal 5 2 2 3 2 2 2" xfId="2582"/>
    <cellStyle name="Normal 5 2 2 3 2 3" xfId="1882"/>
    <cellStyle name="Normal 5 2 2 3 3" xfId="845"/>
    <cellStyle name="Normal 5 2 2 3 3 2" xfId="2182"/>
    <cellStyle name="Normal 5 2 2 3 4" xfId="1054"/>
    <cellStyle name="Normal 5 2 2 3 4 2" xfId="2389"/>
    <cellStyle name="Normal 5 2 2 3 5" xfId="1571"/>
    <cellStyle name="Normal 5 2 2 4" xfId="401"/>
    <cellStyle name="Normal 5 2 2 4 2" xfId="1162"/>
    <cellStyle name="Normal 5 2 2 4 2 2" xfId="2496"/>
    <cellStyle name="Normal 5 2 2 4 3" xfId="1738"/>
    <cellStyle name="Normal 5 2 2 5" xfId="695"/>
    <cellStyle name="Normal 5 2 2 5 2" xfId="2032"/>
    <cellStyle name="Normal 5 2 2 6" xfId="964"/>
    <cellStyle name="Normal 5 2 2 6 2" xfId="2301"/>
    <cellStyle name="Normal 5 2 2 7" xfId="1425"/>
    <cellStyle name="Normal 5 2 3" xfId="106"/>
    <cellStyle name="Normal 5 2 3 2" xfId="256"/>
    <cellStyle name="Normal 5 2 3 2 2" xfId="576"/>
    <cellStyle name="Normal 5 2 3 2 2 2" xfId="1277"/>
    <cellStyle name="Normal 5 2 3 2 2 2 2" xfId="2611"/>
    <cellStyle name="Normal 5 2 3 2 2 3" xfId="1913"/>
    <cellStyle name="Normal 5 2 3 2 3" xfId="876"/>
    <cellStyle name="Normal 5 2 3 2 3 2" xfId="2213"/>
    <cellStyle name="Normal 5 2 3 2 4" xfId="1083"/>
    <cellStyle name="Normal 5 2 3 2 4 2" xfId="2418"/>
    <cellStyle name="Normal 5 2 3 2 5" xfId="1602"/>
    <cellStyle name="Normal 5 2 3 3" xfId="432"/>
    <cellStyle name="Normal 5 2 3 3 2" xfId="1183"/>
    <cellStyle name="Normal 5 2 3 3 2 2" xfId="2517"/>
    <cellStyle name="Normal 5 2 3 3 3" xfId="1769"/>
    <cellStyle name="Normal 5 2 3 4" xfId="726"/>
    <cellStyle name="Normal 5 2 3 4 2" xfId="2063"/>
    <cellStyle name="Normal 5 2 3 5" xfId="985"/>
    <cellStyle name="Normal 5 2 3 5 2" xfId="2322"/>
    <cellStyle name="Normal 5 2 3 6" xfId="1456"/>
    <cellStyle name="Normal 5 2 4" xfId="183"/>
    <cellStyle name="Normal 5 2 4 2" xfId="504"/>
    <cellStyle name="Normal 5 2 4 2 2" xfId="1227"/>
    <cellStyle name="Normal 5 2 4 2 2 2" xfId="2561"/>
    <cellStyle name="Normal 5 2 4 2 3" xfId="1841"/>
    <cellStyle name="Normal 5 2 4 3" xfId="803"/>
    <cellStyle name="Normal 5 2 4 3 2" xfId="2140"/>
    <cellStyle name="Normal 5 2 4 4" xfId="1032"/>
    <cellStyle name="Normal 5 2 4 4 2" xfId="2368"/>
    <cellStyle name="Normal 5 2 4 5" xfId="1530"/>
    <cellStyle name="Normal 5 2 5" xfId="360"/>
    <cellStyle name="Normal 5 2 5 2" xfId="1147"/>
    <cellStyle name="Normal 5 2 5 2 2" xfId="2481"/>
    <cellStyle name="Normal 5 2 5 3" xfId="1697"/>
    <cellStyle name="Normal 5 2 6" xfId="654"/>
    <cellStyle name="Normal 5 2 6 2" xfId="1991"/>
    <cellStyle name="Normal 5 2 7" xfId="949"/>
    <cellStyle name="Normal 5 2 7 2" xfId="2286"/>
    <cellStyle name="Normal 5 2 8" xfId="1384"/>
    <cellStyle name="Normal 5 3" xfId="74"/>
    <cellStyle name="Normal 5 3 2" xfId="146"/>
    <cellStyle name="Normal 5 3 2 2" xfId="296"/>
    <cellStyle name="Normal 5 3 2 2 2" xfId="616"/>
    <cellStyle name="Normal 5 3 2 2 2 2" xfId="1297"/>
    <cellStyle name="Normal 5 3 2 2 2 2 2" xfId="2631"/>
    <cellStyle name="Normal 5 3 2 2 2 3" xfId="1953"/>
    <cellStyle name="Normal 5 3 2 2 3" xfId="916"/>
    <cellStyle name="Normal 5 3 2 2 3 2" xfId="2253"/>
    <cellStyle name="Normal 5 3 2 2 4" xfId="1103"/>
    <cellStyle name="Normal 5 3 2 2 4 2" xfId="2438"/>
    <cellStyle name="Normal 5 3 2 2 5" xfId="1642"/>
    <cellStyle name="Normal 5 3 2 3" xfId="472"/>
    <cellStyle name="Normal 5 3 2 3 2" xfId="1197"/>
    <cellStyle name="Normal 5 3 2 3 2 2" xfId="2531"/>
    <cellStyle name="Normal 5 3 2 3 3" xfId="1809"/>
    <cellStyle name="Normal 5 3 2 4" xfId="766"/>
    <cellStyle name="Normal 5 3 2 4 2" xfId="2103"/>
    <cellStyle name="Normal 5 3 2 5" xfId="999"/>
    <cellStyle name="Normal 5 3 2 5 2" xfId="2336"/>
    <cellStyle name="Normal 5 3 2 6" xfId="1496"/>
    <cellStyle name="Normal 5 3 3" xfId="224"/>
    <cellStyle name="Normal 5 3 3 2" xfId="544"/>
    <cellStyle name="Normal 5 3 3 2 2" xfId="1247"/>
    <cellStyle name="Normal 5 3 3 2 2 2" xfId="2581"/>
    <cellStyle name="Normal 5 3 3 2 3" xfId="1881"/>
    <cellStyle name="Normal 5 3 3 3" xfId="844"/>
    <cellStyle name="Normal 5 3 3 3 2" xfId="2181"/>
    <cellStyle name="Normal 5 3 3 4" xfId="1053"/>
    <cellStyle name="Normal 5 3 3 4 2" xfId="2388"/>
    <cellStyle name="Normal 5 3 3 5" xfId="1570"/>
    <cellStyle name="Normal 5 3 4" xfId="400"/>
    <cellStyle name="Normal 5 3 4 2" xfId="1161"/>
    <cellStyle name="Normal 5 3 4 2 2" xfId="2495"/>
    <cellStyle name="Normal 5 3 4 3" xfId="1737"/>
    <cellStyle name="Normal 5 3 5" xfId="694"/>
    <cellStyle name="Normal 5 3 5 2" xfId="2031"/>
    <cellStyle name="Normal 5 3 6" xfId="963"/>
    <cellStyle name="Normal 5 3 6 2" xfId="2300"/>
    <cellStyle name="Normal 5 3 7" xfId="1424"/>
    <cellStyle name="Normal 5 4" xfId="92"/>
    <cellStyle name="Normal 5 4 2" xfId="242"/>
    <cellStyle name="Normal 5 4 2 2" xfId="562"/>
    <cellStyle name="Normal 5 4 2 2 2" xfId="1264"/>
    <cellStyle name="Normal 5 4 2 2 2 2" xfId="2598"/>
    <cellStyle name="Normal 5 4 2 2 3" xfId="1899"/>
    <cellStyle name="Normal 5 4 2 3" xfId="862"/>
    <cellStyle name="Normal 5 4 2 3 2" xfId="2199"/>
    <cellStyle name="Normal 5 4 2 4" xfId="1070"/>
    <cellStyle name="Normal 5 4 2 4 2" xfId="2405"/>
    <cellStyle name="Normal 5 4 2 5" xfId="1588"/>
    <cellStyle name="Normal 5 4 3" xfId="418"/>
    <cellStyle name="Normal 5 4 3 2" xfId="1174"/>
    <cellStyle name="Normal 5 4 3 2 2" xfId="2508"/>
    <cellStyle name="Normal 5 4 3 3" xfId="1755"/>
    <cellStyle name="Normal 5 4 4" xfId="712"/>
    <cellStyle name="Normal 5 4 4 2" xfId="2049"/>
    <cellStyle name="Normal 5 4 5" xfId="976"/>
    <cellStyle name="Normal 5 4 5 2" xfId="2313"/>
    <cellStyle name="Normal 5 4 6" xfId="1442"/>
    <cellStyle name="Normal 5 5" xfId="166"/>
    <cellStyle name="Normal 5 5 2" xfId="490"/>
    <cellStyle name="Normal 5 5 2 2" xfId="1214"/>
    <cellStyle name="Normal 5 5 2 2 2" xfId="2548"/>
    <cellStyle name="Normal 5 5 2 3" xfId="1827"/>
    <cellStyle name="Normal 5 5 3" xfId="786"/>
    <cellStyle name="Normal 5 5 3 2" xfId="2123"/>
    <cellStyle name="Normal 5 5 4" xfId="1017"/>
    <cellStyle name="Normal 5 5 4 2" xfId="2353"/>
    <cellStyle name="Normal 5 5 5" xfId="1514"/>
    <cellStyle name="Normal 5 6" xfId="344"/>
    <cellStyle name="Normal 5 6 2" xfId="1136"/>
    <cellStyle name="Normal 5 6 2 2" xfId="2470"/>
    <cellStyle name="Normal 5 6 3" xfId="1681"/>
    <cellStyle name="Normal 5 7" xfId="638"/>
    <cellStyle name="Normal 5 7 2" xfId="1975"/>
    <cellStyle name="Normal 5 8" xfId="938"/>
    <cellStyle name="Normal 5 8 2" xfId="2275"/>
    <cellStyle name="Normal 5 9" xfId="1368"/>
    <cellStyle name="Normal 6" xfId="19"/>
    <cellStyle name="Normal 6 2" xfId="34"/>
    <cellStyle name="Normal 6 2 2" xfId="77"/>
    <cellStyle name="Normal 6 2 2 2" xfId="149"/>
    <cellStyle name="Normal 6 2 2 2 2" xfId="299"/>
    <cellStyle name="Normal 6 2 2 2 2 2" xfId="619"/>
    <cellStyle name="Normal 6 2 2 2 2 2 2" xfId="1300"/>
    <cellStyle name="Normal 6 2 2 2 2 2 2 2" xfId="2634"/>
    <cellStyle name="Normal 6 2 2 2 2 2 3" xfId="1956"/>
    <cellStyle name="Normal 6 2 2 2 2 3" xfId="919"/>
    <cellStyle name="Normal 6 2 2 2 2 3 2" xfId="2256"/>
    <cellStyle name="Normal 6 2 2 2 2 4" xfId="1106"/>
    <cellStyle name="Normal 6 2 2 2 2 4 2" xfId="2441"/>
    <cellStyle name="Normal 6 2 2 2 2 5" xfId="1645"/>
    <cellStyle name="Normal 6 2 2 2 3" xfId="475"/>
    <cellStyle name="Normal 6 2 2 2 3 2" xfId="1200"/>
    <cellStyle name="Normal 6 2 2 2 3 2 2" xfId="2534"/>
    <cellStyle name="Normal 6 2 2 2 3 3" xfId="1812"/>
    <cellStyle name="Normal 6 2 2 2 4" xfId="769"/>
    <cellStyle name="Normal 6 2 2 2 4 2" xfId="2106"/>
    <cellStyle name="Normal 6 2 2 2 5" xfId="1002"/>
    <cellStyle name="Normal 6 2 2 2 5 2" xfId="2339"/>
    <cellStyle name="Normal 6 2 2 2 6" xfId="1499"/>
    <cellStyle name="Normal 6 2 2 3" xfId="227"/>
    <cellStyle name="Normal 6 2 2 3 2" xfId="547"/>
    <cellStyle name="Normal 6 2 2 3 2 2" xfId="1250"/>
    <cellStyle name="Normal 6 2 2 3 2 2 2" xfId="2584"/>
    <cellStyle name="Normal 6 2 2 3 2 3" xfId="1884"/>
    <cellStyle name="Normal 6 2 2 3 3" xfId="847"/>
    <cellStyle name="Normal 6 2 2 3 3 2" xfId="2184"/>
    <cellStyle name="Normal 6 2 2 3 4" xfId="1056"/>
    <cellStyle name="Normal 6 2 2 3 4 2" xfId="2391"/>
    <cellStyle name="Normal 6 2 2 3 5" xfId="1573"/>
    <cellStyle name="Normal 6 2 2 4" xfId="326"/>
    <cellStyle name="Normal 6 2 2 4 2" xfId="1125"/>
    <cellStyle name="Normal 6 2 2 4 2 2" xfId="2459"/>
    <cellStyle name="Normal 6 2 2 4 3" xfId="1666"/>
    <cellStyle name="Normal 6 2 2 5" xfId="403"/>
    <cellStyle name="Normal 6 2 2 5 2" xfId="1164"/>
    <cellStyle name="Normal 6 2 2 5 2 2" xfId="2498"/>
    <cellStyle name="Normal 6 2 2 5 3" xfId="1740"/>
    <cellStyle name="Normal 6 2 2 6" xfId="697"/>
    <cellStyle name="Normal 6 2 2 6 2" xfId="2034"/>
    <cellStyle name="Normal 6 2 2 7" xfId="966"/>
    <cellStyle name="Normal 6 2 2 7 2" xfId="2303"/>
    <cellStyle name="Normal 6 2 2 8" xfId="1427"/>
    <cellStyle name="Normal 6 2 3" xfId="107"/>
    <cellStyle name="Normal 6 2 3 2" xfId="257"/>
    <cellStyle name="Normal 6 2 3 2 2" xfId="577"/>
    <cellStyle name="Normal 6 2 3 2 2 2" xfId="1278"/>
    <cellStyle name="Normal 6 2 3 2 2 2 2" xfId="2612"/>
    <cellStyle name="Normal 6 2 3 2 2 3" xfId="1914"/>
    <cellStyle name="Normal 6 2 3 2 3" xfId="877"/>
    <cellStyle name="Normal 6 2 3 2 3 2" xfId="2214"/>
    <cellStyle name="Normal 6 2 3 2 4" xfId="1084"/>
    <cellStyle name="Normal 6 2 3 2 4 2" xfId="2419"/>
    <cellStyle name="Normal 6 2 3 2 5" xfId="1603"/>
    <cellStyle name="Normal 6 2 3 3" xfId="433"/>
    <cellStyle name="Normal 6 2 3 3 2" xfId="1184"/>
    <cellStyle name="Normal 6 2 3 3 2 2" xfId="2518"/>
    <cellStyle name="Normal 6 2 3 3 3" xfId="1770"/>
    <cellStyle name="Normal 6 2 3 4" xfId="727"/>
    <cellStyle name="Normal 6 2 3 4 2" xfId="2064"/>
    <cellStyle name="Normal 6 2 3 5" xfId="986"/>
    <cellStyle name="Normal 6 2 3 5 2" xfId="2323"/>
    <cellStyle name="Normal 6 2 3 6" xfId="1457"/>
    <cellStyle name="Normal 6 2 4" xfId="184"/>
    <cellStyle name="Normal 6 2 4 2" xfId="505"/>
    <cellStyle name="Normal 6 2 4 2 2" xfId="1228"/>
    <cellStyle name="Normal 6 2 4 2 2 2" xfId="2562"/>
    <cellStyle name="Normal 6 2 4 2 3" xfId="1842"/>
    <cellStyle name="Normal 6 2 4 3" xfId="804"/>
    <cellStyle name="Normal 6 2 4 3 2" xfId="2141"/>
    <cellStyle name="Normal 6 2 4 4" xfId="1033"/>
    <cellStyle name="Normal 6 2 4 4 2" xfId="2369"/>
    <cellStyle name="Normal 6 2 4 5" xfId="1531"/>
    <cellStyle name="Normal 6 2 5" xfId="361"/>
    <cellStyle name="Normal 6 2 5 2" xfId="1148"/>
    <cellStyle name="Normal 6 2 5 2 2" xfId="2482"/>
    <cellStyle name="Normal 6 2 5 3" xfId="1698"/>
    <cellStyle name="Normal 6 2 6" xfId="655"/>
    <cellStyle name="Normal 6 2 6 2" xfId="1992"/>
    <cellStyle name="Normal 6 2 7" xfId="950"/>
    <cellStyle name="Normal 6 2 7 2" xfId="2287"/>
    <cellStyle name="Normal 6 2 8" xfId="1385"/>
    <cellStyle name="Normal 6 3" xfId="76"/>
    <cellStyle name="Normal 6 3 2" xfId="148"/>
    <cellStyle name="Normal 6 3 2 2" xfId="298"/>
    <cellStyle name="Normal 6 3 2 2 2" xfId="618"/>
    <cellStyle name="Normal 6 3 2 2 2 2" xfId="1299"/>
    <cellStyle name="Normal 6 3 2 2 2 2 2" xfId="2633"/>
    <cellStyle name="Normal 6 3 2 2 2 3" xfId="1955"/>
    <cellStyle name="Normal 6 3 2 2 3" xfId="918"/>
    <cellStyle name="Normal 6 3 2 2 3 2" xfId="2255"/>
    <cellStyle name="Normal 6 3 2 2 4" xfId="1105"/>
    <cellStyle name="Normal 6 3 2 2 4 2" xfId="2440"/>
    <cellStyle name="Normal 6 3 2 2 5" xfId="1644"/>
    <cellStyle name="Normal 6 3 2 3" xfId="474"/>
    <cellStyle name="Normal 6 3 2 3 2" xfId="1199"/>
    <cellStyle name="Normal 6 3 2 3 2 2" xfId="2533"/>
    <cellStyle name="Normal 6 3 2 3 3" xfId="1811"/>
    <cellStyle name="Normal 6 3 2 4" xfId="768"/>
    <cellStyle name="Normal 6 3 2 4 2" xfId="2105"/>
    <cellStyle name="Normal 6 3 2 5" xfId="1001"/>
    <cellStyle name="Normal 6 3 2 5 2" xfId="2338"/>
    <cellStyle name="Normal 6 3 2 6" xfId="1498"/>
    <cellStyle name="Normal 6 3 3" xfId="226"/>
    <cellStyle name="Normal 6 3 3 2" xfId="546"/>
    <cellStyle name="Normal 6 3 3 2 2" xfId="1249"/>
    <cellStyle name="Normal 6 3 3 2 2 2" xfId="2583"/>
    <cellStyle name="Normal 6 3 3 2 3" xfId="1883"/>
    <cellStyle name="Normal 6 3 3 3" xfId="846"/>
    <cellStyle name="Normal 6 3 3 3 2" xfId="2183"/>
    <cellStyle name="Normal 6 3 3 4" xfId="1055"/>
    <cellStyle name="Normal 6 3 3 4 2" xfId="2390"/>
    <cellStyle name="Normal 6 3 3 5" xfId="1572"/>
    <cellStyle name="Normal 6 3 4" xfId="402"/>
    <cellStyle name="Normal 6 3 4 2" xfId="1163"/>
    <cellStyle name="Normal 6 3 4 2 2" xfId="2497"/>
    <cellStyle name="Normal 6 3 4 3" xfId="1739"/>
    <cellStyle name="Normal 6 3 5" xfId="696"/>
    <cellStyle name="Normal 6 3 5 2" xfId="2033"/>
    <cellStyle name="Normal 6 3 6" xfId="965"/>
    <cellStyle name="Normal 6 3 6 2" xfId="2302"/>
    <cellStyle name="Normal 6 3 7" xfId="1426"/>
    <cellStyle name="Normal 6 4" xfId="94"/>
    <cellStyle name="Normal 6 4 2" xfId="244"/>
    <cellStyle name="Normal 6 4 2 2" xfId="564"/>
    <cellStyle name="Normal 6 4 2 2 2" xfId="1266"/>
    <cellStyle name="Normal 6 4 2 2 2 2" xfId="2600"/>
    <cellStyle name="Normal 6 4 2 2 3" xfId="1901"/>
    <cellStyle name="Normal 6 4 2 3" xfId="864"/>
    <cellStyle name="Normal 6 4 2 3 2" xfId="2201"/>
    <cellStyle name="Normal 6 4 2 4" xfId="1072"/>
    <cellStyle name="Normal 6 4 2 4 2" xfId="2407"/>
    <cellStyle name="Normal 6 4 2 5" xfId="1590"/>
    <cellStyle name="Normal 6 4 3" xfId="420"/>
    <cellStyle name="Normal 6 4 3 2" xfId="1176"/>
    <cellStyle name="Normal 6 4 3 2 2" xfId="2510"/>
    <cellStyle name="Normal 6 4 3 3" xfId="1757"/>
    <cellStyle name="Normal 6 4 4" xfId="714"/>
    <cellStyle name="Normal 6 4 4 2" xfId="2051"/>
    <cellStyle name="Normal 6 4 5" xfId="978"/>
    <cellStyle name="Normal 6 4 5 2" xfId="2315"/>
    <cellStyle name="Normal 6 4 6" xfId="1444"/>
    <cellStyle name="Normal 6 5" xfId="169"/>
    <cellStyle name="Normal 6 5 2" xfId="492"/>
    <cellStyle name="Normal 6 5 2 2" xfId="1216"/>
    <cellStyle name="Normal 6 5 2 2 2" xfId="2550"/>
    <cellStyle name="Normal 6 5 2 3" xfId="1829"/>
    <cellStyle name="Normal 6 5 3" xfId="789"/>
    <cellStyle name="Normal 6 5 3 2" xfId="2126"/>
    <cellStyle name="Normal 6 5 4" xfId="1020"/>
    <cellStyle name="Normal 6 5 4 2" xfId="2356"/>
    <cellStyle name="Normal 6 5 5" xfId="1517"/>
    <cellStyle name="Normal 6 6" xfId="347"/>
    <cellStyle name="Normal 6 6 2" xfId="1139"/>
    <cellStyle name="Normal 6 6 2 2" xfId="2473"/>
    <cellStyle name="Normal 6 6 3" xfId="1684"/>
    <cellStyle name="Normal 6 7" xfId="641"/>
    <cellStyle name="Normal 6 7 2" xfId="1978"/>
    <cellStyle name="Normal 6 8" xfId="941"/>
    <cellStyle name="Normal 6 8 2" xfId="2278"/>
    <cellStyle name="Normal 6 9" xfId="1371"/>
    <cellStyle name="Normal 7" xfId="22"/>
    <cellStyle name="Normal 7 2" xfId="172"/>
    <cellStyle name="Normal 7 2 2" xfId="314"/>
    <cellStyle name="Normal 7 2 3" xfId="792"/>
    <cellStyle name="Normal 7 2 3 2" xfId="2129"/>
    <cellStyle name="Normal 8" xfId="46"/>
    <cellStyle name="Normal 8 2" xfId="196"/>
    <cellStyle name="Normal 8 2 2" xfId="816"/>
    <cellStyle name="Normal 8 2 2 2" xfId="2153"/>
    <cellStyle name="Normal 8 2 3" xfId="1036"/>
    <cellStyle name="Normal 8 3" xfId="318"/>
    <cellStyle name="Normal 9" xfId="304"/>
    <cellStyle name="Normal 9 2" xfId="329"/>
    <cellStyle name="Normal 9 2 2" xfId="1127"/>
    <cellStyle name="Normal 9 2 2 2" xfId="2461"/>
    <cellStyle name="Normal 9 2 3" xfId="1668"/>
    <cellStyle name="Normal 9 3" xfId="924"/>
    <cellStyle name="Normal 9 3 2" xfId="2261"/>
    <cellStyle name="Normal 9 4" xfId="1111"/>
    <cellStyle name="Normal 9 4 2" xfId="2446"/>
    <cellStyle name="Normal 9 5" xfId="1650"/>
    <cellStyle name="Per cent 2" xfId="305"/>
    <cellStyle name="Per cent 2 2" xfId="925"/>
    <cellStyle name="Per cent 2 2 2" xfId="2262"/>
    <cellStyle name="Per cent 2 3" xfId="1112"/>
    <cellStyle name="Percent" xfId="2" builtinId="5"/>
    <cellStyle name="Percent 2" xfId="5"/>
    <cellStyle name="Percent 2 2" xfId="10"/>
    <cellStyle name="Percent 2 3" xfId="933"/>
    <cellStyle name="Percent 2 3 2" xfId="2270"/>
    <cellStyle name="Percent 2 4" xfId="1312"/>
    <cellStyle name="Percent 3" xfId="17"/>
    <cellStyle name="Percent 3 2" xfId="35"/>
    <cellStyle name="Percent 3 2 2" xfId="79"/>
    <cellStyle name="Percent 3 2 2 2" xfId="151"/>
    <cellStyle name="Percent 3 2 2 2 2" xfId="301"/>
    <cellStyle name="Percent 3 2 2 2 2 2" xfId="621"/>
    <cellStyle name="Percent 3 2 2 2 2 2 2" xfId="1302"/>
    <cellStyle name="Percent 3 2 2 2 2 2 2 2" xfId="2636"/>
    <cellStyle name="Percent 3 2 2 2 2 2 3" xfId="1958"/>
    <cellStyle name="Percent 3 2 2 2 2 3" xfId="921"/>
    <cellStyle name="Percent 3 2 2 2 2 3 2" xfId="2258"/>
    <cellStyle name="Percent 3 2 2 2 2 4" xfId="1108"/>
    <cellStyle name="Percent 3 2 2 2 2 4 2" xfId="2443"/>
    <cellStyle name="Percent 3 2 2 2 2 5" xfId="1647"/>
    <cellStyle name="Percent 3 2 2 2 3" xfId="477"/>
    <cellStyle name="Percent 3 2 2 2 3 2" xfId="1202"/>
    <cellStyle name="Percent 3 2 2 2 3 2 2" xfId="2536"/>
    <cellStyle name="Percent 3 2 2 2 3 3" xfId="1814"/>
    <cellStyle name="Percent 3 2 2 2 4" xfId="771"/>
    <cellStyle name="Percent 3 2 2 2 4 2" xfId="2108"/>
    <cellStyle name="Percent 3 2 2 2 5" xfId="1004"/>
    <cellStyle name="Percent 3 2 2 2 5 2" xfId="2341"/>
    <cellStyle name="Percent 3 2 2 2 6" xfId="1501"/>
    <cellStyle name="Percent 3 2 2 3" xfId="229"/>
    <cellStyle name="Percent 3 2 2 3 2" xfId="549"/>
    <cellStyle name="Percent 3 2 2 3 2 2" xfId="1252"/>
    <cellStyle name="Percent 3 2 2 3 2 2 2" xfId="2586"/>
    <cellStyle name="Percent 3 2 2 3 2 3" xfId="1886"/>
    <cellStyle name="Percent 3 2 2 3 3" xfId="849"/>
    <cellStyle name="Percent 3 2 2 3 3 2" xfId="2186"/>
    <cellStyle name="Percent 3 2 2 3 4" xfId="1058"/>
    <cellStyle name="Percent 3 2 2 3 4 2" xfId="2393"/>
    <cellStyle name="Percent 3 2 2 3 5" xfId="1575"/>
    <cellStyle name="Percent 3 2 2 4" xfId="405"/>
    <cellStyle name="Percent 3 2 2 4 2" xfId="1166"/>
    <cellStyle name="Percent 3 2 2 4 2 2" xfId="2500"/>
    <cellStyle name="Percent 3 2 2 4 3" xfId="1742"/>
    <cellStyle name="Percent 3 2 2 5" xfId="699"/>
    <cellStyle name="Percent 3 2 2 5 2" xfId="2036"/>
    <cellStyle name="Percent 3 2 2 6" xfId="968"/>
    <cellStyle name="Percent 3 2 2 6 2" xfId="2305"/>
    <cellStyle name="Percent 3 2 2 7" xfId="1429"/>
    <cellStyle name="Percent 3 2 3" xfId="108"/>
    <cellStyle name="Percent 3 2 3 2" xfId="258"/>
    <cellStyle name="Percent 3 2 3 2 2" xfId="578"/>
    <cellStyle name="Percent 3 2 3 2 2 2" xfId="1279"/>
    <cellStyle name="Percent 3 2 3 2 2 2 2" xfId="2613"/>
    <cellStyle name="Percent 3 2 3 2 2 3" xfId="1915"/>
    <cellStyle name="Percent 3 2 3 2 3" xfId="878"/>
    <cellStyle name="Percent 3 2 3 2 3 2" xfId="2215"/>
    <cellStyle name="Percent 3 2 3 2 4" xfId="1085"/>
    <cellStyle name="Percent 3 2 3 2 4 2" xfId="2420"/>
    <cellStyle name="Percent 3 2 3 2 5" xfId="1604"/>
    <cellStyle name="Percent 3 2 3 3" xfId="434"/>
    <cellStyle name="Percent 3 2 3 3 2" xfId="1185"/>
    <cellStyle name="Percent 3 2 3 3 2 2" xfId="2519"/>
    <cellStyle name="Percent 3 2 3 3 3" xfId="1771"/>
    <cellStyle name="Percent 3 2 3 4" xfId="728"/>
    <cellStyle name="Percent 3 2 3 4 2" xfId="2065"/>
    <cellStyle name="Percent 3 2 3 5" xfId="987"/>
    <cellStyle name="Percent 3 2 3 5 2" xfId="2324"/>
    <cellStyle name="Percent 3 2 3 6" xfId="1458"/>
    <cellStyle name="Percent 3 2 4" xfId="185"/>
    <cellStyle name="Percent 3 2 4 2" xfId="506"/>
    <cellStyle name="Percent 3 2 4 2 2" xfId="1229"/>
    <cellStyle name="Percent 3 2 4 2 2 2" xfId="2563"/>
    <cellStyle name="Percent 3 2 4 2 3" xfId="1843"/>
    <cellStyle name="Percent 3 2 4 3" xfId="805"/>
    <cellStyle name="Percent 3 2 4 3 2" xfId="2142"/>
    <cellStyle name="Percent 3 2 4 4" xfId="1034"/>
    <cellStyle name="Percent 3 2 4 4 2" xfId="2370"/>
    <cellStyle name="Percent 3 2 4 5" xfId="1532"/>
    <cellStyle name="Percent 3 2 5" xfId="324"/>
    <cellStyle name="Percent 3 2 5 2" xfId="1123"/>
    <cellStyle name="Percent 3 2 5 2 2" xfId="2457"/>
    <cellStyle name="Percent 3 2 5 3" xfId="1664"/>
    <cellStyle name="Percent 3 2 6" xfId="362"/>
    <cellStyle name="Percent 3 2 6 2" xfId="1149"/>
    <cellStyle name="Percent 3 2 6 2 2" xfId="2483"/>
    <cellStyle name="Percent 3 2 6 3" xfId="1699"/>
    <cellStyle name="Percent 3 2 7" xfId="656"/>
    <cellStyle name="Percent 3 2 7 2" xfId="1993"/>
    <cellStyle name="Percent 3 2 8" xfId="951"/>
    <cellStyle name="Percent 3 2 8 2" xfId="2288"/>
    <cellStyle name="Percent 3 2 9" xfId="1386"/>
    <cellStyle name="Percent 3 3" xfId="78"/>
    <cellStyle name="Percent 3 3 2" xfId="150"/>
    <cellStyle name="Percent 3 3 2 2" xfId="300"/>
    <cellStyle name="Percent 3 3 2 2 2" xfId="620"/>
    <cellStyle name="Percent 3 3 2 2 2 2" xfId="1301"/>
    <cellStyle name="Percent 3 3 2 2 2 2 2" xfId="2635"/>
    <cellStyle name="Percent 3 3 2 2 2 3" xfId="1957"/>
    <cellStyle name="Percent 3 3 2 2 3" xfId="920"/>
    <cellStyle name="Percent 3 3 2 2 3 2" xfId="2257"/>
    <cellStyle name="Percent 3 3 2 2 4" xfId="1107"/>
    <cellStyle name="Percent 3 3 2 2 4 2" xfId="2442"/>
    <cellStyle name="Percent 3 3 2 2 5" xfId="1646"/>
    <cellStyle name="Percent 3 3 2 3" xfId="476"/>
    <cellStyle name="Percent 3 3 2 3 2" xfId="1201"/>
    <cellStyle name="Percent 3 3 2 3 2 2" xfId="2535"/>
    <cellStyle name="Percent 3 3 2 3 3" xfId="1813"/>
    <cellStyle name="Percent 3 3 2 4" xfId="770"/>
    <cellStyle name="Percent 3 3 2 4 2" xfId="2107"/>
    <cellStyle name="Percent 3 3 2 5" xfId="1003"/>
    <cellStyle name="Percent 3 3 2 5 2" xfId="2340"/>
    <cellStyle name="Percent 3 3 2 6" xfId="1500"/>
    <cellStyle name="Percent 3 3 3" xfId="228"/>
    <cellStyle name="Percent 3 3 3 2" xfId="548"/>
    <cellStyle name="Percent 3 3 3 2 2" xfId="1251"/>
    <cellStyle name="Percent 3 3 3 2 2 2" xfId="2585"/>
    <cellStyle name="Percent 3 3 3 2 3" xfId="1885"/>
    <cellStyle name="Percent 3 3 3 3" xfId="848"/>
    <cellStyle name="Percent 3 3 3 3 2" xfId="2185"/>
    <cellStyle name="Percent 3 3 3 4" xfId="1057"/>
    <cellStyle name="Percent 3 3 3 4 2" xfId="2392"/>
    <cellStyle name="Percent 3 3 3 5" xfId="1574"/>
    <cellStyle name="Percent 3 3 4" xfId="404"/>
    <cellStyle name="Percent 3 3 4 2" xfId="1165"/>
    <cellStyle name="Percent 3 3 4 2 2" xfId="2499"/>
    <cellStyle name="Percent 3 3 4 3" xfId="1741"/>
    <cellStyle name="Percent 3 3 5" xfId="698"/>
    <cellStyle name="Percent 3 3 5 2" xfId="2035"/>
    <cellStyle name="Percent 3 3 6" xfId="967"/>
    <cellStyle name="Percent 3 3 6 2" xfId="2304"/>
    <cellStyle name="Percent 3 3 7" xfId="1428"/>
    <cellStyle name="Percent 3 4" xfId="93"/>
    <cellStyle name="Percent 3 4 2" xfId="243"/>
    <cellStyle name="Percent 3 4 2 2" xfId="563"/>
    <cellStyle name="Percent 3 4 2 2 2" xfId="1265"/>
    <cellStyle name="Percent 3 4 2 2 2 2" xfId="2599"/>
    <cellStyle name="Percent 3 4 2 2 3" xfId="1900"/>
    <cellStyle name="Percent 3 4 2 3" xfId="863"/>
    <cellStyle name="Percent 3 4 2 3 2" xfId="2200"/>
    <cellStyle name="Percent 3 4 2 4" xfId="1071"/>
    <cellStyle name="Percent 3 4 2 4 2" xfId="2406"/>
    <cellStyle name="Percent 3 4 2 5" xfId="1589"/>
    <cellStyle name="Percent 3 4 3" xfId="419"/>
    <cellStyle name="Percent 3 4 3 2" xfId="1175"/>
    <cellStyle name="Percent 3 4 3 2 2" xfId="2509"/>
    <cellStyle name="Percent 3 4 3 3" xfId="1756"/>
    <cellStyle name="Percent 3 4 4" xfId="713"/>
    <cellStyle name="Percent 3 4 4 2" xfId="2050"/>
    <cellStyle name="Percent 3 4 5" xfId="977"/>
    <cellStyle name="Percent 3 4 5 2" xfId="2314"/>
    <cellStyle name="Percent 3 4 6" xfId="1443"/>
    <cellStyle name="Percent 3 5" xfId="167"/>
    <cellStyle name="Percent 3 5 2" xfId="491"/>
    <cellStyle name="Percent 3 5 2 2" xfId="1215"/>
    <cellStyle name="Percent 3 5 2 2 2" xfId="2549"/>
    <cellStyle name="Percent 3 5 2 3" xfId="1828"/>
    <cellStyle name="Percent 3 5 3" xfId="787"/>
    <cellStyle name="Percent 3 5 3 2" xfId="2124"/>
    <cellStyle name="Percent 3 5 4" xfId="1018"/>
    <cellStyle name="Percent 3 5 4 2" xfId="2354"/>
    <cellStyle name="Percent 3 5 5" xfId="1515"/>
    <cellStyle name="Percent 3 6" xfId="345"/>
    <cellStyle name="Percent 3 6 2" xfId="1137"/>
    <cellStyle name="Percent 3 6 2 2" xfId="2471"/>
    <cellStyle name="Percent 3 6 3" xfId="1682"/>
    <cellStyle name="Percent 3 7" xfId="639"/>
    <cellStyle name="Percent 3 7 2" xfId="1976"/>
    <cellStyle name="Percent 3 8" xfId="939"/>
    <cellStyle name="Percent 3 8 2" xfId="2276"/>
    <cellStyle name="Percent 3 9" xfId="1369"/>
    <cellStyle name="Percent 4" xfId="20"/>
    <cellStyle name="Percent 4 2" xfId="36"/>
    <cellStyle name="Percent 4 2 2" xfId="81"/>
    <cellStyle name="Percent 4 2 2 2" xfId="153"/>
    <cellStyle name="Percent 4 2 2 2 2" xfId="303"/>
    <cellStyle name="Percent 4 2 2 2 2 2" xfId="623"/>
    <cellStyle name="Percent 4 2 2 2 2 2 2" xfId="1304"/>
    <cellStyle name="Percent 4 2 2 2 2 2 2 2" xfId="2638"/>
    <cellStyle name="Percent 4 2 2 2 2 2 3" xfId="1960"/>
    <cellStyle name="Percent 4 2 2 2 2 3" xfId="923"/>
    <cellStyle name="Percent 4 2 2 2 2 3 2" xfId="2260"/>
    <cellStyle name="Percent 4 2 2 2 2 4" xfId="1110"/>
    <cellStyle name="Percent 4 2 2 2 2 4 2" xfId="2445"/>
    <cellStyle name="Percent 4 2 2 2 2 5" xfId="1649"/>
    <cellStyle name="Percent 4 2 2 2 3" xfId="479"/>
    <cellStyle name="Percent 4 2 2 2 3 2" xfId="1204"/>
    <cellStyle name="Percent 4 2 2 2 3 2 2" xfId="2538"/>
    <cellStyle name="Percent 4 2 2 2 3 3" xfId="1816"/>
    <cellStyle name="Percent 4 2 2 2 4" xfId="773"/>
    <cellStyle name="Percent 4 2 2 2 4 2" xfId="2110"/>
    <cellStyle name="Percent 4 2 2 2 5" xfId="1006"/>
    <cellStyle name="Percent 4 2 2 2 5 2" xfId="2343"/>
    <cellStyle name="Percent 4 2 2 2 6" xfId="1503"/>
    <cellStyle name="Percent 4 2 2 3" xfId="231"/>
    <cellStyle name="Percent 4 2 2 3 2" xfId="551"/>
    <cellStyle name="Percent 4 2 2 3 2 2" xfId="1254"/>
    <cellStyle name="Percent 4 2 2 3 2 2 2" xfId="2588"/>
    <cellStyle name="Percent 4 2 2 3 2 3" xfId="1888"/>
    <cellStyle name="Percent 4 2 2 3 3" xfId="851"/>
    <cellStyle name="Percent 4 2 2 3 3 2" xfId="2188"/>
    <cellStyle name="Percent 4 2 2 3 4" xfId="1060"/>
    <cellStyle name="Percent 4 2 2 3 4 2" xfId="2395"/>
    <cellStyle name="Percent 4 2 2 3 5" xfId="1577"/>
    <cellStyle name="Percent 4 2 2 4" xfId="327"/>
    <cellStyle name="Percent 4 2 2 4 2" xfId="1126"/>
    <cellStyle name="Percent 4 2 2 4 2 2" xfId="2460"/>
    <cellStyle name="Percent 4 2 2 4 3" xfId="1667"/>
    <cellStyle name="Percent 4 2 2 5" xfId="407"/>
    <cellStyle name="Percent 4 2 2 5 2" xfId="1168"/>
    <cellStyle name="Percent 4 2 2 5 2 2" xfId="2502"/>
    <cellStyle name="Percent 4 2 2 5 3" xfId="1744"/>
    <cellStyle name="Percent 4 2 2 6" xfId="701"/>
    <cellStyle name="Percent 4 2 2 6 2" xfId="2038"/>
    <cellStyle name="Percent 4 2 2 7" xfId="970"/>
    <cellStyle name="Percent 4 2 2 7 2" xfId="2307"/>
    <cellStyle name="Percent 4 2 2 8" xfId="1431"/>
    <cellStyle name="Percent 4 2 3" xfId="109"/>
    <cellStyle name="Percent 4 2 3 2" xfId="259"/>
    <cellStyle name="Percent 4 2 3 2 2" xfId="579"/>
    <cellStyle name="Percent 4 2 3 2 2 2" xfId="1280"/>
    <cellStyle name="Percent 4 2 3 2 2 2 2" xfId="2614"/>
    <cellStyle name="Percent 4 2 3 2 2 3" xfId="1916"/>
    <cellStyle name="Percent 4 2 3 2 3" xfId="879"/>
    <cellStyle name="Percent 4 2 3 2 3 2" xfId="2216"/>
    <cellStyle name="Percent 4 2 3 2 4" xfId="1086"/>
    <cellStyle name="Percent 4 2 3 2 4 2" xfId="2421"/>
    <cellStyle name="Percent 4 2 3 2 5" xfId="1605"/>
    <cellStyle name="Percent 4 2 3 3" xfId="435"/>
    <cellStyle name="Percent 4 2 3 3 2" xfId="1186"/>
    <cellStyle name="Percent 4 2 3 3 2 2" xfId="2520"/>
    <cellStyle name="Percent 4 2 3 3 3" xfId="1772"/>
    <cellStyle name="Percent 4 2 3 4" xfId="729"/>
    <cellStyle name="Percent 4 2 3 4 2" xfId="2066"/>
    <cellStyle name="Percent 4 2 3 5" xfId="988"/>
    <cellStyle name="Percent 4 2 3 5 2" xfId="2325"/>
    <cellStyle name="Percent 4 2 3 6" xfId="1459"/>
    <cellStyle name="Percent 4 2 4" xfId="186"/>
    <cellStyle name="Percent 4 2 4 2" xfId="507"/>
    <cellStyle name="Percent 4 2 4 2 2" xfId="1230"/>
    <cellStyle name="Percent 4 2 4 2 2 2" xfId="2564"/>
    <cellStyle name="Percent 4 2 4 2 3" xfId="1844"/>
    <cellStyle name="Percent 4 2 4 3" xfId="806"/>
    <cellStyle name="Percent 4 2 4 3 2" xfId="2143"/>
    <cellStyle name="Percent 4 2 4 4" xfId="1035"/>
    <cellStyle name="Percent 4 2 4 4 2" xfId="2371"/>
    <cellStyle name="Percent 4 2 4 5" xfId="1533"/>
    <cellStyle name="Percent 4 2 5" xfId="325"/>
    <cellStyle name="Percent 4 2 5 2" xfId="1124"/>
    <cellStyle name="Percent 4 2 5 2 2" xfId="2458"/>
    <cellStyle name="Percent 4 2 5 3" xfId="1665"/>
    <cellStyle name="Percent 4 2 6" xfId="363"/>
    <cellStyle name="Percent 4 2 6 2" xfId="1150"/>
    <cellStyle name="Percent 4 2 6 2 2" xfId="2484"/>
    <cellStyle name="Percent 4 2 6 3" xfId="1700"/>
    <cellStyle name="Percent 4 2 7" xfId="657"/>
    <cellStyle name="Percent 4 2 7 2" xfId="1994"/>
    <cellStyle name="Percent 4 2 8" xfId="952"/>
    <cellStyle name="Percent 4 2 8 2" xfId="2289"/>
    <cellStyle name="Percent 4 2 9" xfId="1387"/>
    <cellStyle name="Percent 4 3" xfId="80"/>
    <cellStyle name="Percent 4 3 2" xfId="152"/>
    <cellStyle name="Percent 4 3 2 2" xfId="302"/>
    <cellStyle name="Percent 4 3 2 2 2" xfId="622"/>
    <cellStyle name="Percent 4 3 2 2 2 2" xfId="1303"/>
    <cellStyle name="Percent 4 3 2 2 2 2 2" xfId="2637"/>
    <cellStyle name="Percent 4 3 2 2 2 3" xfId="1959"/>
    <cellStyle name="Percent 4 3 2 2 3" xfId="922"/>
    <cellStyle name="Percent 4 3 2 2 3 2" xfId="2259"/>
    <cellStyle name="Percent 4 3 2 2 4" xfId="1109"/>
    <cellStyle name="Percent 4 3 2 2 4 2" xfId="2444"/>
    <cellStyle name="Percent 4 3 2 2 5" xfId="1648"/>
    <cellStyle name="Percent 4 3 2 3" xfId="478"/>
    <cellStyle name="Percent 4 3 2 3 2" xfId="1203"/>
    <cellStyle name="Percent 4 3 2 3 2 2" xfId="2537"/>
    <cellStyle name="Percent 4 3 2 3 3" xfId="1815"/>
    <cellStyle name="Percent 4 3 2 4" xfId="772"/>
    <cellStyle name="Percent 4 3 2 4 2" xfId="2109"/>
    <cellStyle name="Percent 4 3 2 5" xfId="1005"/>
    <cellStyle name="Percent 4 3 2 5 2" xfId="2342"/>
    <cellStyle name="Percent 4 3 2 6" xfId="1502"/>
    <cellStyle name="Percent 4 3 3" xfId="230"/>
    <cellStyle name="Percent 4 3 3 2" xfId="550"/>
    <cellStyle name="Percent 4 3 3 2 2" xfId="1253"/>
    <cellStyle name="Percent 4 3 3 2 2 2" xfId="2587"/>
    <cellStyle name="Percent 4 3 3 2 3" xfId="1887"/>
    <cellStyle name="Percent 4 3 3 3" xfId="850"/>
    <cellStyle name="Percent 4 3 3 3 2" xfId="2187"/>
    <cellStyle name="Percent 4 3 3 4" xfId="1059"/>
    <cellStyle name="Percent 4 3 3 4 2" xfId="2394"/>
    <cellStyle name="Percent 4 3 3 5" xfId="1576"/>
    <cellStyle name="Percent 4 3 4" xfId="406"/>
    <cellStyle name="Percent 4 3 4 2" xfId="1167"/>
    <cellStyle name="Percent 4 3 4 2 2" xfId="2501"/>
    <cellStyle name="Percent 4 3 4 3" xfId="1743"/>
    <cellStyle name="Percent 4 3 5" xfId="700"/>
    <cellStyle name="Percent 4 3 5 2" xfId="2037"/>
    <cellStyle name="Percent 4 3 6" xfId="969"/>
    <cellStyle name="Percent 4 3 6 2" xfId="2306"/>
    <cellStyle name="Percent 4 3 7" xfId="1430"/>
    <cellStyle name="Percent 4 4" xfId="95"/>
    <cellStyle name="Percent 4 4 2" xfId="245"/>
    <cellStyle name="Percent 4 4 2 2" xfId="565"/>
    <cellStyle name="Percent 4 4 2 2 2" xfId="1267"/>
    <cellStyle name="Percent 4 4 2 2 2 2" xfId="2601"/>
    <cellStyle name="Percent 4 4 2 2 3" xfId="1902"/>
    <cellStyle name="Percent 4 4 2 3" xfId="865"/>
    <cellStyle name="Percent 4 4 2 3 2" xfId="2202"/>
    <cellStyle name="Percent 4 4 2 4" xfId="1073"/>
    <cellStyle name="Percent 4 4 2 4 2" xfId="2408"/>
    <cellStyle name="Percent 4 4 2 5" xfId="1591"/>
    <cellStyle name="Percent 4 4 3" xfId="421"/>
    <cellStyle name="Percent 4 4 3 2" xfId="1177"/>
    <cellStyle name="Percent 4 4 3 2 2" xfId="2511"/>
    <cellStyle name="Percent 4 4 3 3" xfId="1758"/>
    <cellStyle name="Percent 4 4 4" xfId="715"/>
    <cellStyle name="Percent 4 4 4 2" xfId="2052"/>
    <cellStyle name="Percent 4 4 5" xfId="979"/>
    <cellStyle name="Percent 4 4 5 2" xfId="2316"/>
    <cellStyle name="Percent 4 4 6" xfId="1445"/>
    <cellStyle name="Percent 4 5" xfId="170"/>
    <cellStyle name="Percent 4 5 2" xfId="493"/>
    <cellStyle name="Percent 4 5 2 2" xfId="1217"/>
    <cellStyle name="Percent 4 5 2 2 2" xfId="2551"/>
    <cellStyle name="Percent 4 5 2 3" xfId="1830"/>
    <cellStyle name="Percent 4 5 3" xfId="790"/>
    <cellStyle name="Percent 4 5 3 2" xfId="2127"/>
    <cellStyle name="Percent 4 5 4" xfId="1021"/>
    <cellStyle name="Percent 4 5 4 2" xfId="2357"/>
    <cellStyle name="Percent 4 5 5" xfId="1518"/>
    <cellStyle name="Percent 4 6" xfId="348"/>
    <cellStyle name="Percent 4 6 2" xfId="1140"/>
    <cellStyle name="Percent 4 6 2 2" xfId="2474"/>
    <cellStyle name="Percent 4 6 3" xfId="1685"/>
    <cellStyle name="Percent 4 7" xfId="642"/>
    <cellStyle name="Percent 4 7 2" xfId="1979"/>
    <cellStyle name="Percent 4 8" xfId="942"/>
    <cellStyle name="Percent 4 8 2" xfId="2279"/>
    <cellStyle name="Percent 4 9" xfId="1372"/>
    <cellStyle name="Percent 5" xfId="154"/>
    <cellStyle name="Percent 5 2" xfId="328"/>
    <cellStyle name="Percent 5 3" xfId="774"/>
    <cellStyle name="Percent 5 3 2" xfId="2111"/>
  </cellStyles>
  <dxfs count="0"/>
  <tableStyles count="0" defaultTableStyle="TableStyleMedium9" defaultPivotStyle="PivotStyleMedium4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KPD%20KOLUT%202006%20NET%20BUANGET\BUKU%201\Book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@_2018%20job\Rencana%20Evaluasi%20DAK%20TA%202017\04%20KKE%20aliran%20keuangan%20R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MERIKSAAN%20(PS)\LKPD%20TARAKAN%202013\3.%20Pelaporan\KHP\LHP%20Net\Buku%20I%20Kota%20Tarakan%20TA%202013\Kolaka%20Utara\Book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PEM"/>
      <sheetName val="EKBANG"/>
      <sheetName val="PMD"/>
      <sheetName val="KESBANG"/>
      <sheetName val="CAPIL"/>
      <sheetName val="BAPPEDA"/>
      <sheetName val="BAWASDA"/>
    </sheetNames>
    <sheetDataSet>
      <sheetData sheetId="0">
        <row r="5">
          <cell r="J5" t="str">
            <v>BAGIAN PEMERINTAHAN</v>
          </cell>
        </row>
      </sheetData>
      <sheetData sheetId="1">
        <row r="4">
          <cell r="J4" t="str">
            <v>BAGIAN EKONOMI PEMBANGUNAN</v>
          </cell>
        </row>
      </sheetData>
      <sheetData sheetId="2">
        <row r="5">
          <cell r="J5" t="str">
            <v>BAGIAN PEMBERDAYAAN MASYARAKAT DESA</v>
          </cell>
        </row>
      </sheetData>
      <sheetData sheetId="3">
        <row r="5">
          <cell r="J5" t="str">
            <v>KANTOR KESATUAN BANGSA DAN PERLINDUNGAN MASYARAKAT</v>
          </cell>
        </row>
      </sheetData>
      <sheetData sheetId="4">
        <row r="5">
          <cell r="J5" t="str">
            <v>KANTOR CATATAN SIPIL</v>
          </cell>
        </row>
      </sheetData>
      <sheetData sheetId="5">
        <row r="5">
          <cell r="J5" t="str">
            <v>B A P P E D A</v>
          </cell>
        </row>
      </sheetData>
      <sheetData sheetId="6">
        <row r="5">
          <cell r="J5" t="str">
            <v>B A W A S D 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ur KKE"/>
      <sheetName val="KKE link aplikasi"/>
      <sheetName val="Peta DAK"/>
      <sheetName val="KKE 1 Umum"/>
      <sheetName val="KKE 2a"/>
      <sheetName val="KKE 2b"/>
      <sheetName val="KKE 3 Eva Perencanaan"/>
      <sheetName val="Sheet3"/>
      <sheetName val="KKE 4 Eva Salur DAK_Fisik"/>
      <sheetName val="KKE 5 Eva Salur Tamb DAK"/>
      <sheetName val="KKE 6 Uji Salur Tw IV_Tahap II"/>
      <sheetName val="KKE 7a Register SP2D Daerah"/>
      <sheetName val="KKE 7b identifikasi Sisa DAK"/>
      <sheetName val="KKE 8a Kontrak_Swakelola_SP2D"/>
      <sheetName val="KKE 8b Penunjang_SP2D"/>
      <sheetName val="KKE 9 Observasi Fisik"/>
      <sheetName val="KKE 10 Eva Manfaat_Sasaran"/>
      <sheetName val="KKE 11 uji Keselaras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C4" t="str">
            <v>DAK Reguler</v>
          </cell>
          <cell r="G4" t="str">
            <v>Percepatan Infrastruktur Publik Daerah Bidang Jalan</v>
          </cell>
        </row>
        <row r="5">
          <cell r="C5" t="str">
            <v>DAK Penugasan</v>
          </cell>
          <cell r="G5" t="str">
            <v>Percepatan Infrastruktur Publik Daerah Bidang Irigasi</v>
          </cell>
        </row>
        <row r="6">
          <cell r="C6" t="str">
            <v xml:space="preserve">Tambahan DAK </v>
          </cell>
          <cell r="G6" t="str">
            <v>Kesehatan - RS Rujukan dan Pratama</v>
          </cell>
        </row>
        <row r="7">
          <cell r="G7" t="str">
            <v>Kesehatan dan KB</v>
          </cell>
        </row>
        <row r="8">
          <cell r="G8" t="str">
            <v>Jalan</v>
          </cell>
        </row>
        <row r="9">
          <cell r="G9" t="str">
            <v>Irigasi</v>
          </cell>
        </row>
        <row r="11">
          <cell r="G11" t="str">
            <v>Pelayanan Kesehatan Rujukan - Prioritas Daerah</v>
          </cell>
        </row>
        <row r="12">
          <cell r="G12" t="str">
            <v>Prioritas Daerah</v>
          </cell>
        </row>
        <row r="13">
          <cell r="G13" t="str">
            <v>Pelayanan Kesehatan Dasar</v>
          </cell>
        </row>
        <row r="14">
          <cell r="G14" t="str">
            <v>Pendukung Konektivitas</v>
          </cell>
        </row>
        <row r="15">
          <cell r="G15" t="str">
            <v>Pendukung Ketahanan Pangan</v>
          </cell>
        </row>
        <row r="16">
          <cell r="G16" t="str">
            <v>Pelayanan Kesehatan Rujukan - Sarana Pelayanan Rujukan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KBUDPAR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Q632"/>
  <sheetViews>
    <sheetView view="pageBreakPreview" zoomScale="60" workbookViewId="0">
      <pane ySplit="8" topLeftCell="A9" activePane="bottomLeft" state="frozen"/>
      <selection pane="bottomLeft" activeCell="F192" sqref="F192"/>
    </sheetView>
  </sheetViews>
  <sheetFormatPr defaultColWidth="9" defaultRowHeight="15" x14ac:dyDescent="0.25"/>
  <cols>
    <col min="1" max="1" width="5.85546875" style="2" customWidth="1"/>
    <col min="2" max="2" width="44.140625" style="2" customWidth="1"/>
    <col min="3" max="3" width="32.7109375" style="2" customWidth="1"/>
    <col min="4" max="4" width="39.140625" style="2" customWidth="1"/>
    <col min="5" max="5" width="30.85546875" style="2" customWidth="1"/>
    <col min="6" max="6" width="9" style="2"/>
    <col min="7" max="7" width="23.140625" style="2" customWidth="1"/>
    <col min="8" max="8" width="9" style="2"/>
    <col min="9" max="9" width="40.42578125" style="2" customWidth="1"/>
    <col min="10" max="10" width="27.7109375" style="51" customWidth="1"/>
    <col min="11" max="11" width="25.85546875" style="1" customWidth="1"/>
    <col min="12" max="16" width="9" style="2"/>
    <col min="17" max="17" width="19.140625" style="2" bestFit="1" customWidth="1"/>
    <col min="18" max="16384" width="9" style="2"/>
  </cols>
  <sheetData>
    <row r="1" spans="1:17" x14ac:dyDescent="0.25">
      <c r="A1" s="150"/>
    </row>
    <row r="2" spans="1:17" ht="26.25" x14ac:dyDescent="0.25">
      <c r="A2" s="259" t="s">
        <v>362</v>
      </c>
      <c r="B2" s="260"/>
      <c r="C2" s="260"/>
      <c r="D2" s="260"/>
      <c r="E2" s="260"/>
      <c r="F2" s="260"/>
      <c r="G2" s="260"/>
      <c r="H2" s="260"/>
      <c r="I2" s="260"/>
      <c r="J2" s="260"/>
    </row>
    <row r="3" spans="1:17" ht="26.25" x14ac:dyDescent="0.25">
      <c r="A3" s="259" t="s">
        <v>117</v>
      </c>
      <c r="B3" s="260"/>
      <c r="C3" s="260"/>
      <c r="D3" s="260"/>
      <c r="E3" s="260"/>
      <c r="F3" s="260"/>
      <c r="G3" s="260"/>
      <c r="H3" s="260"/>
      <c r="I3" s="260"/>
      <c r="J3" s="260"/>
    </row>
    <row r="4" spans="1:17" x14ac:dyDescent="0.25">
      <c r="B4" s="3"/>
      <c r="C4" s="3"/>
      <c r="D4" s="4"/>
      <c r="E4" s="5"/>
      <c r="F4" s="6"/>
      <c r="G4" s="7"/>
      <c r="H4" s="8"/>
      <c r="I4" s="8"/>
      <c r="J4" s="47"/>
    </row>
    <row r="5" spans="1:17" x14ac:dyDescent="0.25">
      <c r="A5" s="45" t="s">
        <v>363</v>
      </c>
      <c r="D5" s="9"/>
      <c r="E5" s="5"/>
      <c r="F5" s="3"/>
      <c r="G5" s="7"/>
      <c r="H5" s="8"/>
      <c r="I5" s="8"/>
      <c r="J5" s="47"/>
    </row>
    <row r="6" spans="1:17" ht="22.5" customHeight="1" x14ac:dyDescent="0.25">
      <c r="A6" s="261" t="s">
        <v>109</v>
      </c>
      <c r="B6" s="261" t="s">
        <v>118</v>
      </c>
      <c r="C6" s="264" t="s">
        <v>119</v>
      </c>
      <c r="D6" s="265" t="s">
        <v>107</v>
      </c>
      <c r="E6" s="268" t="s">
        <v>108</v>
      </c>
      <c r="F6" s="254" t="s">
        <v>102</v>
      </c>
      <c r="G6" s="269"/>
      <c r="H6" s="255"/>
      <c r="I6" s="270" t="s">
        <v>358</v>
      </c>
      <c r="J6" s="271" t="s">
        <v>1</v>
      </c>
    </row>
    <row r="7" spans="1:17" ht="23.25" customHeight="1" x14ac:dyDescent="0.25">
      <c r="A7" s="262"/>
      <c r="B7" s="262"/>
      <c r="C7" s="262"/>
      <c r="D7" s="266"/>
      <c r="E7" s="262"/>
      <c r="F7" s="172" t="s">
        <v>103</v>
      </c>
      <c r="G7" s="254" t="s">
        <v>104</v>
      </c>
      <c r="H7" s="255"/>
      <c r="I7" s="270"/>
      <c r="J7" s="271"/>
    </row>
    <row r="8" spans="1:17" ht="15.75" x14ac:dyDescent="0.25">
      <c r="A8" s="263"/>
      <c r="B8" s="263"/>
      <c r="C8" s="263"/>
      <c r="D8" s="267"/>
      <c r="E8" s="263"/>
      <c r="F8" s="172" t="s">
        <v>105</v>
      </c>
      <c r="G8" s="172" t="s">
        <v>106</v>
      </c>
      <c r="H8" s="10" t="s">
        <v>105</v>
      </c>
      <c r="I8" s="270"/>
      <c r="J8" s="271"/>
    </row>
    <row r="9" spans="1:17" ht="19.5" customHeight="1" x14ac:dyDescent="0.25">
      <c r="A9" s="11">
        <v>1</v>
      </c>
      <c r="B9" s="11">
        <v>2</v>
      </c>
      <c r="C9" s="11">
        <v>3</v>
      </c>
      <c r="D9" s="11">
        <v>4</v>
      </c>
      <c r="E9" s="11">
        <v>5</v>
      </c>
      <c r="F9" s="11">
        <v>7</v>
      </c>
      <c r="G9" s="11">
        <v>8</v>
      </c>
      <c r="H9" s="11">
        <v>9</v>
      </c>
      <c r="I9" s="11">
        <v>10</v>
      </c>
      <c r="J9" s="11">
        <v>11</v>
      </c>
      <c r="Q9" s="190"/>
    </row>
    <row r="10" spans="1:17" ht="30.75" customHeight="1" x14ac:dyDescent="0.25">
      <c r="A10" s="256" t="s">
        <v>120</v>
      </c>
      <c r="B10" s="257"/>
      <c r="C10" s="257"/>
      <c r="D10" s="258"/>
      <c r="E10" s="12">
        <f>E11+E318+E393+E476+E487+E522+E529+E560+E569+E599</f>
        <v>1213208971484</v>
      </c>
      <c r="F10" s="13">
        <f>K10/E10*100%</f>
        <v>0</v>
      </c>
      <c r="G10" s="12">
        <f>G11+G318+G393+G476+G487+G522+G529+G560+G569+G599</f>
        <v>0</v>
      </c>
      <c r="H10" s="13">
        <f>G10/E10*100%</f>
        <v>0</v>
      </c>
      <c r="I10" s="13"/>
      <c r="J10" s="48"/>
      <c r="K10" s="14">
        <f>K11+K318+K393+K476+K487+K522+K529+K560+K569+K599</f>
        <v>0</v>
      </c>
      <c r="Q10" s="190">
        <v>1213208971484</v>
      </c>
    </row>
    <row r="11" spans="1:17" ht="56.25" customHeight="1" x14ac:dyDescent="0.25">
      <c r="A11" s="24">
        <v>1</v>
      </c>
      <c r="B11" s="154" t="s">
        <v>121</v>
      </c>
      <c r="C11" s="25"/>
      <c r="D11" s="25"/>
      <c r="E11" s="26">
        <f>SUM(E12:E316)</f>
        <v>228850042152</v>
      </c>
      <c r="F11" s="27">
        <f>K11/E11*100%</f>
        <v>0</v>
      </c>
      <c r="G11" s="26">
        <f>SUM(G12:G316)</f>
        <v>0</v>
      </c>
      <c r="H11" s="27">
        <f>G11/E11*100%</f>
        <v>0</v>
      </c>
      <c r="I11" s="27"/>
      <c r="J11" s="28"/>
      <c r="K11" s="1">
        <f>SUM(K12:K316)</f>
        <v>0</v>
      </c>
      <c r="Q11" s="191">
        <f>E10-Q10</f>
        <v>0</v>
      </c>
    </row>
    <row r="12" spans="1:17" x14ac:dyDescent="0.25">
      <c r="A12" s="29"/>
      <c r="B12" s="30"/>
      <c r="C12" s="31" t="s">
        <v>5</v>
      </c>
      <c r="D12" s="16"/>
      <c r="E12" s="17"/>
      <c r="F12" s="17"/>
      <c r="G12" s="17"/>
      <c r="H12" s="17"/>
      <c r="I12" s="17"/>
      <c r="J12" s="49"/>
    </row>
    <row r="13" spans="1:17" x14ac:dyDescent="0.25">
      <c r="A13" s="29"/>
      <c r="B13" s="30"/>
      <c r="C13" s="32" t="s">
        <v>6</v>
      </c>
      <c r="D13" s="18"/>
      <c r="E13" s="19"/>
      <c r="F13" s="19"/>
      <c r="G13" s="19"/>
      <c r="H13" s="19"/>
      <c r="I13" s="19"/>
      <c r="J13" s="50"/>
    </row>
    <row r="14" spans="1:17" ht="52.5" customHeight="1" x14ac:dyDescent="0.25">
      <c r="A14" s="29"/>
      <c r="B14" s="30"/>
      <c r="C14" s="33"/>
      <c r="D14" s="64" t="s">
        <v>99</v>
      </c>
      <c r="E14" s="15"/>
      <c r="F14" s="15"/>
      <c r="G14" s="15"/>
      <c r="H14" s="15"/>
      <c r="I14" s="15"/>
      <c r="J14" s="20"/>
    </row>
    <row r="15" spans="1:17" ht="35.25" customHeight="1" x14ac:dyDescent="0.25">
      <c r="A15" s="29"/>
      <c r="B15" s="30"/>
      <c r="C15" s="34"/>
      <c r="D15" s="65" t="s">
        <v>261</v>
      </c>
      <c r="E15" s="15"/>
      <c r="F15" s="15"/>
      <c r="G15" s="15"/>
      <c r="H15" s="15"/>
      <c r="I15" s="15"/>
      <c r="J15" s="20"/>
    </row>
    <row r="16" spans="1:17" ht="30" x14ac:dyDescent="0.25">
      <c r="A16" s="29"/>
      <c r="B16" s="30"/>
      <c r="C16" s="34"/>
      <c r="D16" s="66" t="s">
        <v>359</v>
      </c>
      <c r="E16" s="35">
        <v>1006160000</v>
      </c>
      <c r="F16" s="75">
        <v>0</v>
      </c>
      <c r="G16" s="35">
        <v>0</v>
      </c>
      <c r="H16" s="75">
        <v>0</v>
      </c>
      <c r="I16" s="36"/>
      <c r="J16" s="20"/>
      <c r="K16" s="1">
        <f>E16*F16</f>
        <v>0</v>
      </c>
    </row>
    <row r="17" spans="1:11" ht="33.75" customHeight="1" x14ac:dyDescent="0.25">
      <c r="A17" s="29"/>
      <c r="B17" s="30"/>
      <c r="C17" s="34"/>
      <c r="D17" s="71" t="s">
        <v>360</v>
      </c>
      <c r="E17" s="35">
        <v>613820304</v>
      </c>
      <c r="F17" s="75">
        <v>0</v>
      </c>
      <c r="G17" s="35">
        <v>0</v>
      </c>
      <c r="H17" s="75">
        <v>0</v>
      </c>
      <c r="I17" s="36"/>
      <c r="J17" s="20"/>
      <c r="K17" s="1">
        <f>E17*F17</f>
        <v>0</v>
      </c>
    </row>
    <row r="18" spans="1:11" x14ac:dyDescent="0.25">
      <c r="A18" s="29"/>
      <c r="B18" s="30"/>
      <c r="C18" s="32" t="s">
        <v>7</v>
      </c>
      <c r="D18" s="37"/>
      <c r="E18" s="38"/>
      <c r="F18" s="39"/>
      <c r="G18" s="38"/>
      <c r="H18" s="39"/>
      <c r="I18" s="39"/>
      <c r="J18" s="50"/>
    </row>
    <row r="19" spans="1:11" ht="51.75" customHeight="1" x14ac:dyDescent="0.25">
      <c r="A19" s="29"/>
      <c r="B19" s="30"/>
      <c r="C19" s="33"/>
      <c r="D19" s="64" t="s">
        <v>99</v>
      </c>
      <c r="E19" s="35"/>
      <c r="F19" s="36"/>
      <c r="G19" s="35"/>
      <c r="H19" s="36"/>
      <c r="I19" s="36"/>
      <c r="J19" s="20"/>
    </row>
    <row r="20" spans="1:11" ht="36" customHeight="1" x14ac:dyDescent="0.25">
      <c r="A20" s="29"/>
      <c r="B20" s="30"/>
      <c r="C20" s="33"/>
      <c r="D20" s="65" t="s">
        <v>261</v>
      </c>
      <c r="E20" s="35"/>
      <c r="F20" s="36"/>
      <c r="G20" s="35"/>
      <c r="H20" s="36"/>
      <c r="I20" s="36"/>
      <c r="J20" s="20"/>
    </row>
    <row r="21" spans="1:11" ht="30" x14ac:dyDescent="0.25">
      <c r="A21" s="29"/>
      <c r="B21" s="30"/>
      <c r="C21" s="34"/>
      <c r="D21" s="66" t="s">
        <v>359</v>
      </c>
      <c r="E21" s="21">
        <v>3325640000</v>
      </c>
      <c r="F21" s="43">
        <v>0</v>
      </c>
      <c r="G21" s="21">
        <v>0</v>
      </c>
      <c r="H21" s="43">
        <v>0</v>
      </c>
      <c r="I21" s="36"/>
      <c r="J21" s="20"/>
      <c r="K21" s="1">
        <f>E21*F21</f>
        <v>0</v>
      </c>
    </row>
    <row r="22" spans="1:11" ht="33.75" customHeight="1" x14ac:dyDescent="0.25">
      <c r="A22" s="29"/>
      <c r="B22" s="30"/>
      <c r="C22" s="34"/>
      <c r="D22" s="71" t="s">
        <v>360</v>
      </c>
      <c r="E22" s="21">
        <v>2015039592</v>
      </c>
      <c r="F22" s="43">
        <v>0</v>
      </c>
      <c r="G22" s="21">
        <v>0</v>
      </c>
      <c r="H22" s="43">
        <v>0</v>
      </c>
      <c r="I22" s="36"/>
      <c r="J22" s="20"/>
      <c r="K22" s="1">
        <f>E22*F22</f>
        <v>0</v>
      </c>
    </row>
    <row r="23" spans="1:11" x14ac:dyDescent="0.25">
      <c r="A23" s="29"/>
      <c r="B23" s="30"/>
      <c r="C23" s="32" t="s">
        <v>8</v>
      </c>
      <c r="D23" s="37"/>
      <c r="E23" s="38"/>
      <c r="F23" s="39"/>
      <c r="G23" s="38"/>
      <c r="H23" s="39"/>
      <c r="I23" s="39"/>
      <c r="J23" s="50"/>
    </row>
    <row r="24" spans="1:11" ht="47.25" customHeight="1" x14ac:dyDescent="0.25">
      <c r="A24" s="29"/>
      <c r="B24" s="30"/>
      <c r="C24" s="33"/>
      <c r="D24" s="64" t="s">
        <v>99</v>
      </c>
      <c r="E24" s="35"/>
      <c r="F24" s="36"/>
      <c r="G24" s="35"/>
      <c r="H24" s="36"/>
      <c r="I24" s="36"/>
      <c r="J24" s="20"/>
    </row>
    <row r="25" spans="1:11" ht="36" customHeight="1" x14ac:dyDescent="0.25">
      <c r="A25" s="29"/>
      <c r="B25" s="30"/>
      <c r="C25" s="33"/>
      <c r="D25" s="65" t="s">
        <v>261</v>
      </c>
      <c r="E25" s="35"/>
      <c r="F25" s="36"/>
      <c r="G25" s="35"/>
      <c r="H25" s="36"/>
      <c r="I25" s="36"/>
      <c r="J25" s="20"/>
    </row>
    <row r="26" spans="1:11" ht="30" x14ac:dyDescent="0.25">
      <c r="A26" s="29"/>
      <c r="B26" s="30"/>
      <c r="C26" s="34"/>
      <c r="D26" s="66" t="s">
        <v>359</v>
      </c>
      <c r="E26" s="21">
        <v>1780900000</v>
      </c>
      <c r="F26" s="43">
        <v>0</v>
      </c>
      <c r="G26" s="21">
        <v>0</v>
      </c>
      <c r="H26" s="43">
        <v>0</v>
      </c>
      <c r="I26" s="36"/>
      <c r="J26" s="20"/>
      <c r="K26" s="1">
        <f>E26*F26</f>
        <v>0</v>
      </c>
    </row>
    <row r="27" spans="1:11" ht="35.25" customHeight="1" x14ac:dyDescent="0.25">
      <c r="A27" s="29"/>
      <c r="B27" s="30"/>
      <c r="C27" s="34"/>
      <c r="D27" s="71" t="s">
        <v>360</v>
      </c>
      <c r="E27" s="21">
        <v>1081553400</v>
      </c>
      <c r="F27" s="43">
        <v>0</v>
      </c>
      <c r="G27" s="21">
        <v>0</v>
      </c>
      <c r="H27" s="43">
        <v>0</v>
      </c>
      <c r="I27" s="36"/>
      <c r="J27" s="20"/>
      <c r="K27" s="1">
        <f>E27*F27</f>
        <v>0</v>
      </c>
    </row>
    <row r="28" spans="1:11" x14ac:dyDescent="0.25">
      <c r="A28" s="29"/>
      <c r="B28" s="30"/>
      <c r="C28" s="32" t="s">
        <v>9</v>
      </c>
      <c r="D28" s="37"/>
      <c r="E28" s="38"/>
      <c r="F28" s="39"/>
      <c r="G28" s="38"/>
      <c r="H28" s="39"/>
      <c r="I28" s="39"/>
      <c r="J28" s="50"/>
    </row>
    <row r="29" spans="1:11" ht="43.5" customHeight="1" x14ac:dyDescent="0.25">
      <c r="A29" s="29"/>
      <c r="B29" s="30"/>
      <c r="C29" s="33"/>
      <c r="D29" s="64" t="s">
        <v>99</v>
      </c>
      <c r="E29" s="35"/>
      <c r="F29" s="36"/>
      <c r="G29" s="35"/>
      <c r="H29" s="36"/>
      <c r="I29" s="36"/>
      <c r="J29" s="20"/>
    </row>
    <row r="30" spans="1:11" ht="39" customHeight="1" x14ac:dyDescent="0.25">
      <c r="A30" s="29"/>
      <c r="B30" s="30"/>
      <c r="C30" s="33"/>
      <c r="D30" s="65" t="s">
        <v>261</v>
      </c>
      <c r="E30" s="35"/>
      <c r="F30" s="36"/>
      <c r="G30" s="35"/>
      <c r="H30" s="36"/>
      <c r="I30" s="36"/>
      <c r="J30" s="20"/>
    </row>
    <row r="31" spans="1:11" ht="30" x14ac:dyDescent="0.25">
      <c r="A31" s="29"/>
      <c r="B31" s="30"/>
      <c r="C31" s="34"/>
      <c r="D31" s="66" t="s">
        <v>359</v>
      </c>
      <c r="E31" s="21">
        <v>3675640000</v>
      </c>
      <c r="F31" s="43">
        <v>0</v>
      </c>
      <c r="G31" s="21">
        <v>0</v>
      </c>
      <c r="H31" s="43">
        <v>0</v>
      </c>
      <c r="I31" s="36"/>
      <c r="J31" s="20"/>
      <c r="K31" s="1">
        <f>E31*F31</f>
        <v>0</v>
      </c>
    </row>
    <row r="32" spans="1:11" ht="32.25" customHeight="1" x14ac:dyDescent="0.25">
      <c r="A32" s="29"/>
      <c r="B32" s="30"/>
      <c r="C32" s="34"/>
      <c r="D32" s="71" t="s">
        <v>360</v>
      </c>
      <c r="E32" s="21">
        <v>2226118272</v>
      </c>
      <c r="F32" s="43">
        <v>0</v>
      </c>
      <c r="G32" s="21">
        <v>0</v>
      </c>
      <c r="H32" s="43">
        <v>0</v>
      </c>
      <c r="I32" s="36"/>
      <c r="J32" s="20"/>
      <c r="K32" s="1">
        <f>E32*F32</f>
        <v>0</v>
      </c>
    </row>
    <row r="33" spans="1:11" x14ac:dyDescent="0.25">
      <c r="A33" s="29"/>
      <c r="B33" s="30"/>
      <c r="C33" s="160" t="s">
        <v>10</v>
      </c>
      <c r="D33" s="37"/>
      <c r="E33" s="38"/>
      <c r="F33" s="39"/>
      <c r="G33" s="38"/>
      <c r="H33" s="39"/>
      <c r="I33" s="39"/>
      <c r="J33" s="50"/>
    </row>
    <row r="34" spans="1:11" ht="52.5" customHeight="1" x14ac:dyDescent="0.25">
      <c r="A34" s="29"/>
      <c r="B34" s="30"/>
      <c r="C34" s="33"/>
      <c r="D34" s="64" t="s">
        <v>99</v>
      </c>
      <c r="E34" s="35"/>
      <c r="F34" s="36"/>
      <c r="G34" s="35"/>
      <c r="H34" s="36"/>
      <c r="I34" s="36"/>
      <c r="J34" s="20"/>
    </row>
    <row r="35" spans="1:11" ht="33.75" customHeight="1" x14ac:dyDescent="0.25">
      <c r="A35" s="29"/>
      <c r="B35" s="30"/>
      <c r="C35" s="33"/>
      <c r="D35" s="65" t="s">
        <v>261</v>
      </c>
      <c r="E35" s="35"/>
      <c r="F35" s="36"/>
      <c r="G35" s="35"/>
      <c r="H35" s="36"/>
      <c r="I35" s="36"/>
      <c r="J35" s="20"/>
    </row>
    <row r="36" spans="1:11" ht="30" x14ac:dyDescent="0.25">
      <c r="A36" s="29"/>
      <c r="B36" s="30"/>
      <c r="C36" s="34"/>
      <c r="D36" s="66" t="s">
        <v>359</v>
      </c>
      <c r="E36" s="21">
        <v>2270900000</v>
      </c>
      <c r="F36" s="43">
        <v>0</v>
      </c>
      <c r="G36" s="21">
        <v>0</v>
      </c>
      <c r="H36" s="43">
        <v>0</v>
      </c>
      <c r="I36" s="36"/>
      <c r="J36" s="20"/>
      <c r="K36" s="1">
        <f>E36*F36</f>
        <v>0</v>
      </c>
    </row>
    <row r="37" spans="1:11" ht="33" customHeight="1" x14ac:dyDescent="0.25">
      <c r="A37" s="29"/>
      <c r="B37" s="30"/>
      <c r="C37" s="34"/>
      <c r="D37" s="71" t="s">
        <v>360</v>
      </c>
      <c r="E37" s="21">
        <v>1377063552</v>
      </c>
      <c r="F37" s="43">
        <v>0</v>
      </c>
      <c r="G37" s="21">
        <v>0</v>
      </c>
      <c r="H37" s="43">
        <v>0</v>
      </c>
      <c r="I37" s="36"/>
      <c r="J37" s="20"/>
      <c r="K37" s="1">
        <f>E37*F37</f>
        <v>0</v>
      </c>
    </row>
    <row r="38" spans="1:11" x14ac:dyDescent="0.25">
      <c r="A38" s="29"/>
      <c r="B38" s="30"/>
      <c r="C38" s="31" t="s">
        <v>11</v>
      </c>
      <c r="D38" s="16"/>
      <c r="E38" s="17"/>
      <c r="F38" s="17"/>
      <c r="G38" s="17"/>
      <c r="H38" s="17"/>
      <c r="I38" s="17"/>
      <c r="J38" s="49"/>
    </row>
    <row r="39" spans="1:11" x14ac:dyDescent="0.25">
      <c r="A39" s="29"/>
      <c r="B39" s="30"/>
      <c r="C39" s="160" t="s">
        <v>12</v>
      </c>
      <c r="D39" s="18"/>
      <c r="E39" s="19"/>
      <c r="F39" s="19"/>
      <c r="G39" s="19"/>
      <c r="H39" s="19"/>
      <c r="I39" s="19"/>
      <c r="J39" s="50"/>
    </row>
    <row r="40" spans="1:11" ht="46.5" customHeight="1" x14ac:dyDescent="0.25">
      <c r="A40" s="29"/>
      <c r="B40" s="30"/>
      <c r="C40" s="23"/>
      <c r="D40" s="64" t="s">
        <v>99</v>
      </c>
      <c r="E40" s="35"/>
      <c r="F40" s="36"/>
      <c r="G40" s="35"/>
      <c r="H40" s="36"/>
      <c r="I40" s="36"/>
      <c r="J40" s="20"/>
    </row>
    <row r="41" spans="1:11" ht="33.75" customHeight="1" x14ac:dyDescent="0.25">
      <c r="A41" s="29"/>
      <c r="B41" s="30"/>
      <c r="C41" s="23"/>
      <c r="D41" s="65" t="s">
        <v>261</v>
      </c>
      <c r="E41" s="35"/>
      <c r="F41" s="36"/>
      <c r="G41" s="35"/>
      <c r="H41" s="36"/>
      <c r="I41" s="36"/>
      <c r="J41" s="20"/>
    </row>
    <row r="42" spans="1:11" ht="30" x14ac:dyDescent="0.25">
      <c r="A42" s="29"/>
      <c r="B42" s="30"/>
      <c r="C42" s="15"/>
      <c r="D42" s="66" t="s">
        <v>359</v>
      </c>
      <c r="E42" s="21">
        <v>2905640000</v>
      </c>
      <c r="F42" s="43">
        <v>0</v>
      </c>
      <c r="G42" s="21">
        <v>0</v>
      </c>
      <c r="H42" s="43">
        <v>0</v>
      </c>
      <c r="I42" s="36"/>
      <c r="J42" s="20"/>
      <c r="K42" s="1">
        <f>E42*F42</f>
        <v>0</v>
      </c>
    </row>
    <row r="43" spans="1:11" ht="36.75" customHeight="1" x14ac:dyDescent="0.25">
      <c r="A43" s="29"/>
      <c r="B43" s="30"/>
      <c r="C43" s="15"/>
      <c r="D43" s="71" t="s">
        <v>360</v>
      </c>
      <c r="E43" s="21">
        <v>1761745176</v>
      </c>
      <c r="F43" s="43">
        <v>0</v>
      </c>
      <c r="G43" s="21">
        <v>0</v>
      </c>
      <c r="H43" s="43">
        <v>0</v>
      </c>
      <c r="I43" s="36"/>
      <c r="J43" s="20"/>
      <c r="K43" s="1">
        <f>E43*F43</f>
        <v>0</v>
      </c>
    </row>
    <row r="44" spans="1:11" x14ac:dyDescent="0.25">
      <c r="A44" s="29"/>
      <c r="B44" s="30"/>
      <c r="C44" s="32" t="s">
        <v>13</v>
      </c>
      <c r="D44" s="18"/>
      <c r="E44" s="19"/>
      <c r="F44" s="76"/>
      <c r="G44" s="19"/>
      <c r="H44" s="78"/>
      <c r="I44" s="39"/>
      <c r="J44" s="50"/>
    </row>
    <row r="45" spans="1:11" ht="50.25" customHeight="1" x14ac:dyDescent="0.25">
      <c r="A45" s="29"/>
      <c r="B45" s="30"/>
      <c r="C45" s="23"/>
      <c r="D45" s="64" t="s">
        <v>99</v>
      </c>
      <c r="E45" s="35"/>
      <c r="F45" s="77"/>
      <c r="G45" s="35"/>
      <c r="H45" s="77"/>
      <c r="I45" s="36"/>
      <c r="J45" s="20"/>
    </row>
    <row r="46" spans="1:11" ht="37.5" customHeight="1" x14ac:dyDescent="0.25">
      <c r="A46" s="29"/>
      <c r="B46" s="30"/>
      <c r="C46" s="23"/>
      <c r="D46" s="65" t="s">
        <v>261</v>
      </c>
      <c r="E46" s="35"/>
      <c r="F46" s="77"/>
      <c r="G46" s="35"/>
      <c r="H46" s="77"/>
      <c r="I46" s="36"/>
      <c r="J46" s="20"/>
    </row>
    <row r="47" spans="1:11" ht="30" x14ac:dyDescent="0.25">
      <c r="A47" s="29"/>
      <c r="B47" s="30"/>
      <c r="C47" s="15"/>
      <c r="D47" s="66" t="s">
        <v>100</v>
      </c>
      <c r="E47" s="21">
        <v>2625640000</v>
      </c>
      <c r="F47" s="43">
        <v>0</v>
      </c>
      <c r="G47" s="21">
        <v>0</v>
      </c>
      <c r="H47" s="43">
        <v>0</v>
      </c>
      <c r="I47" s="36"/>
      <c r="J47" s="20"/>
      <c r="K47" s="1">
        <f>E47*F47</f>
        <v>0</v>
      </c>
    </row>
    <row r="48" spans="1:11" ht="38.25" customHeight="1" x14ac:dyDescent="0.25">
      <c r="A48" s="29"/>
      <c r="B48" s="30"/>
      <c r="C48" s="15"/>
      <c r="D48" s="66" t="s">
        <v>101</v>
      </c>
      <c r="E48" s="21">
        <v>1592882232</v>
      </c>
      <c r="F48" s="43">
        <v>0</v>
      </c>
      <c r="G48" s="21">
        <v>0</v>
      </c>
      <c r="H48" s="43">
        <v>0</v>
      </c>
      <c r="I48" s="36"/>
      <c r="J48" s="20"/>
      <c r="K48" s="1">
        <f>E48*F48</f>
        <v>0</v>
      </c>
    </row>
    <row r="49" spans="1:11" x14ac:dyDescent="0.25">
      <c r="A49" s="29"/>
      <c r="B49" s="30"/>
      <c r="C49" s="32" t="s">
        <v>122</v>
      </c>
      <c r="D49" s="18"/>
      <c r="E49" s="19"/>
      <c r="F49" s="76"/>
      <c r="G49" s="19"/>
      <c r="H49" s="78"/>
      <c r="I49" s="39"/>
      <c r="J49" s="50"/>
    </row>
    <row r="50" spans="1:11" ht="52.5" customHeight="1" x14ac:dyDescent="0.25">
      <c r="A50" s="29"/>
      <c r="B50" s="30"/>
      <c r="C50" s="23"/>
      <c r="D50" s="64" t="s">
        <v>99</v>
      </c>
      <c r="E50" s="35"/>
      <c r="F50" s="77"/>
      <c r="G50" s="35"/>
      <c r="H50" s="77"/>
      <c r="I50" s="36"/>
      <c r="J50" s="20"/>
    </row>
    <row r="51" spans="1:11" ht="32.25" customHeight="1" x14ac:dyDescent="0.25">
      <c r="A51" s="29"/>
      <c r="B51" s="30"/>
      <c r="C51" s="23"/>
      <c r="D51" s="65" t="s">
        <v>261</v>
      </c>
      <c r="E51" s="35"/>
      <c r="F51" s="77"/>
      <c r="G51" s="35"/>
      <c r="H51" s="77"/>
      <c r="I51" s="36"/>
      <c r="J51" s="20"/>
    </row>
    <row r="52" spans="1:11" ht="30" x14ac:dyDescent="0.25">
      <c r="A52" s="29"/>
      <c r="B52" s="30"/>
      <c r="C52" s="15"/>
      <c r="D52" s="66" t="s">
        <v>100</v>
      </c>
      <c r="E52" s="21">
        <v>2270900000</v>
      </c>
      <c r="F52" s="43">
        <v>0</v>
      </c>
      <c r="G52" s="21">
        <v>0</v>
      </c>
      <c r="H52" s="43">
        <v>0</v>
      </c>
      <c r="I52" s="36"/>
      <c r="J52" s="20"/>
      <c r="K52" s="1">
        <f>E52*F52</f>
        <v>0</v>
      </c>
    </row>
    <row r="53" spans="1:11" ht="34.5" customHeight="1" x14ac:dyDescent="0.25">
      <c r="A53" s="29"/>
      <c r="B53" s="30"/>
      <c r="C53" s="15"/>
      <c r="D53" s="66" t="s">
        <v>101</v>
      </c>
      <c r="E53" s="21">
        <v>1377063552</v>
      </c>
      <c r="F53" s="43">
        <v>0</v>
      </c>
      <c r="G53" s="21">
        <v>0</v>
      </c>
      <c r="H53" s="43">
        <v>0</v>
      </c>
      <c r="I53" s="36"/>
      <c r="J53" s="20"/>
      <c r="K53" s="1">
        <f>E53*F53</f>
        <v>0</v>
      </c>
    </row>
    <row r="54" spans="1:11" x14ac:dyDescent="0.25">
      <c r="A54" s="29"/>
      <c r="B54" s="30"/>
      <c r="C54" s="32" t="s">
        <v>14</v>
      </c>
      <c r="D54" s="18"/>
      <c r="E54" s="19"/>
      <c r="F54" s="76"/>
      <c r="G54" s="19"/>
      <c r="H54" s="78"/>
      <c r="I54" s="39"/>
      <c r="J54" s="50"/>
    </row>
    <row r="55" spans="1:11" ht="52.5" customHeight="1" x14ac:dyDescent="0.25">
      <c r="A55" s="29"/>
      <c r="B55" s="30"/>
      <c r="C55" s="23"/>
      <c r="D55" s="64" t="s">
        <v>99</v>
      </c>
      <c r="E55" s="35"/>
      <c r="F55" s="77"/>
      <c r="G55" s="35"/>
      <c r="H55" s="77"/>
      <c r="I55" s="36"/>
      <c r="J55" s="20"/>
    </row>
    <row r="56" spans="1:11" ht="33.75" customHeight="1" x14ac:dyDescent="0.25">
      <c r="A56" s="29"/>
      <c r="B56" s="30"/>
      <c r="C56" s="23"/>
      <c r="D56" s="65" t="s">
        <v>261</v>
      </c>
      <c r="E56" s="35"/>
      <c r="F56" s="77"/>
      <c r="G56" s="35"/>
      <c r="H56" s="77"/>
      <c r="I56" s="36"/>
      <c r="J56" s="20"/>
    </row>
    <row r="57" spans="1:11" ht="30" x14ac:dyDescent="0.25">
      <c r="A57" s="29"/>
      <c r="B57" s="30"/>
      <c r="C57" s="15"/>
      <c r="D57" s="66" t="s">
        <v>100</v>
      </c>
      <c r="E57" s="21">
        <v>3255640000</v>
      </c>
      <c r="F57" s="43">
        <v>0</v>
      </c>
      <c r="G57" s="21">
        <v>0</v>
      </c>
      <c r="H57" s="43">
        <v>0</v>
      </c>
      <c r="I57" s="36"/>
      <c r="J57" s="20"/>
      <c r="K57" s="1">
        <f>E57*F57</f>
        <v>0</v>
      </c>
    </row>
    <row r="58" spans="1:11" ht="33" customHeight="1" x14ac:dyDescent="0.25">
      <c r="A58" s="29"/>
      <c r="B58" s="30"/>
      <c r="C58" s="15"/>
      <c r="D58" s="66" t="s">
        <v>101</v>
      </c>
      <c r="E58" s="21">
        <v>1972823856</v>
      </c>
      <c r="F58" s="43">
        <v>0</v>
      </c>
      <c r="G58" s="21">
        <v>0</v>
      </c>
      <c r="H58" s="43">
        <v>0</v>
      </c>
      <c r="I58" s="36"/>
      <c r="J58" s="20"/>
      <c r="K58" s="1">
        <f>E58*F58</f>
        <v>0</v>
      </c>
    </row>
    <row r="59" spans="1:11" ht="18" customHeight="1" x14ac:dyDescent="0.25">
      <c r="A59" s="29"/>
      <c r="B59" s="30"/>
      <c r="C59" s="32" t="s">
        <v>15</v>
      </c>
      <c r="D59" s="18"/>
      <c r="E59" s="19"/>
      <c r="F59" s="76"/>
      <c r="G59" s="19"/>
      <c r="H59" s="78"/>
      <c r="I59" s="39"/>
      <c r="J59" s="50"/>
    </row>
    <row r="60" spans="1:11" ht="47.25" customHeight="1" x14ac:dyDescent="0.25">
      <c r="A60" s="29"/>
      <c r="B60" s="30"/>
      <c r="C60" s="23"/>
      <c r="D60" s="64" t="s">
        <v>99</v>
      </c>
      <c r="E60" s="35"/>
      <c r="F60" s="77"/>
      <c r="G60" s="35"/>
      <c r="H60" s="77"/>
      <c r="I60" s="36"/>
      <c r="J60" s="20"/>
    </row>
    <row r="61" spans="1:11" ht="32.25" customHeight="1" x14ac:dyDescent="0.25">
      <c r="A61" s="29"/>
      <c r="B61" s="30"/>
      <c r="C61" s="23"/>
      <c r="D61" s="65" t="s">
        <v>261</v>
      </c>
      <c r="E61" s="35"/>
      <c r="F61" s="77"/>
      <c r="G61" s="35"/>
      <c r="H61" s="77"/>
      <c r="I61" s="36"/>
      <c r="J61" s="20"/>
    </row>
    <row r="62" spans="1:11" ht="30" x14ac:dyDescent="0.25">
      <c r="A62" s="29"/>
      <c r="B62" s="30"/>
      <c r="C62" s="15"/>
      <c r="D62" s="66" t="s">
        <v>100</v>
      </c>
      <c r="E62" s="21">
        <v>2340900000</v>
      </c>
      <c r="F62" s="43">
        <v>0</v>
      </c>
      <c r="G62" s="21">
        <v>0</v>
      </c>
      <c r="H62" s="43">
        <v>0</v>
      </c>
      <c r="I62" s="36"/>
      <c r="J62" s="20"/>
      <c r="K62" s="1">
        <f>E62*F62</f>
        <v>0</v>
      </c>
    </row>
    <row r="63" spans="1:11" ht="37.5" customHeight="1" x14ac:dyDescent="0.25">
      <c r="A63" s="29"/>
      <c r="B63" s="30"/>
      <c r="C63" s="15"/>
      <c r="D63" s="66" t="s">
        <v>101</v>
      </c>
      <c r="E63" s="21">
        <v>1419279288</v>
      </c>
      <c r="F63" s="43">
        <v>0</v>
      </c>
      <c r="G63" s="21">
        <v>0</v>
      </c>
      <c r="H63" s="43">
        <v>0</v>
      </c>
      <c r="I63" s="36"/>
      <c r="J63" s="20"/>
      <c r="K63" s="1">
        <f>E63*F63</f>
        <v>0</v>
      </c>
    </row>
    <row r="64" spans="1:11" x14ac:dyDescent="0.25">
      <c r="A64" s="29"/>
      <c r="B64" s="30"/>
      <c r="C64" s="31" t="s">
        <v>16</v>
      </c>
      <c r="D64" s="16"/>
      <c r="E64" s="17"/>
      <c r="F64" s="17"/>
      <c r="G64" s="17"/>
      <c r="H64" s="17"/>
      <c r="I64" s="17"/>
      <c r="J64" s="49"/>
    </row>
    <row r="65" spans="1:11" x14ac:dyDescent="0.25">
      <c r="A65" s="29"/>
      <c r="B65" s="30"/>
      <c r="C65" s="32" t="s">
        <v>17</v>
      </c>
      <c r="D65" s="18"/>
      <c r="E65" s="19"/>
      <c r="F65" s="19"/>
      <c r="G65" s="19"/>
      <c r="H65" s="19"/>
      <c r="I65" s="19"/>
      <c r="J65" s="50"/>
    </row>
    <row r="66" spans="1:11" ht="50.25" customHeight="1" x14ac:dyDescent="0.25">
      <c r="A66" s="29"/>
      <c r="B66" s="30"/>
      <c r="C66" s="15"/>
      <c r="D66" s="64" t="s">
        <v>99</v>
      </c>
      <c r="E66" s="21"/>
      <c r="F66" s="22"/>
      <c r="G66" s="21"/>
      <c r="H66" s="22"/>
      <c r="I66" s="22"/>
      <c r="J66" s="20"/>
    </row>
    <row r="67" spans="1:11" ht="32.25" customHeight="1" x14ac:dyDescent="0.25">
      <c r="A67" s="29"/>
      <c r="B67" s="30"/>
      <c r="C67" s="15"/>
      <c r="D67" s="65" t="s">
        <v>261</v>
      </c>
      <c r="E67" s="21"/>
      <c r="F67" s="22"/>
      <c r="G67" s="21"/>
      <c r="H67" s="22"/>
      <c r="I67" s="22"/>
      <c r="J67" s="20"/>
    </row>
    <row r="68" spans="1:11" ht="30" x14ac:dyDescent="0.25">
      <c r="A68" s="29"/>
      <c r="B68" s="30"/>
      <c r="C68" s="15"/>
      <c r="D68" s="66" t="s">
        <v>100</v>
      </c>
      <c r="E68" s="21">
        <v>1570900000</v>
      </c>
      <c r="F68" s="43">
        <v>0</v>
      </c>
      <c r="G68" s="21">
        <v>0</v>
      </c>
      <c r="H68" s="43">
        <v>0</v>
      </c>
      <c r="I68" s="36"/>
      <c r="J68" s="20"/>
      <c r="K68" s="1">
        <f>E68*F68</f>
        <v>0</v>
      </c>
    </row>
    <row r="69" spans="1:11" ht="30.75" customHeight="1" x14ac:dyDescent="0.25">
      <c r="A69" s="29"/>
      <c r="B69" s="30"/>
      <c r="C69" s="15"/>
      <c r="D69" s="66" t="s">
        <v>101</v>
      </c>
      <c r="E69" s="21">
        <v>954906192</v>
      </c>
      <c r="F69" s="43">
        <v>0</v>
      </c>
      <c r="G69" s="21">
        <v>0</v>
      </c>
      <c r="H69" s="43">
        <v>0</v>
      </c>
      <c r="I69" s="36"/>
      <c r="J69" s="20"/>
      <c r="K69" s="1">
        <f>E69*F69</f>
        <v>0</v>
      </c>
    </row>
    <row r="70" spans="1:11" x14ac:dyDescent="0.25">
      <c r="A70" s="29"/>
      <c r="B70" s="30"/>
      <c r="C70" s="32" t="s">
        <v>123</v>
      </c>
      <c r="D70" s="18"/>
      <c r="E70" s="19"/>
      <c r="F70" s="76"/>
      <c r="G70" s="19"/>
      <c r="H70" s="78"/>
      <c r="I70" s="39"/>
      <c r="J70" s="50"/>
    </row>
    <row r="71" spans="1:11" ht="47.25" customHeight="1" x14ac:dyDescent="0.25">
      <c r="A71" s="29"/>
      <c r="B71" s="30"/>
      <c r="C71" s="15"/>
      <c r="D71" s="64" t="s">
        <v>99</v>
      </c>
      <c r="E71" s="21"/>
      <c r="F71" s="44"/>
      <c r="G71" s="21"/>
      <c r="H71" s="77"/>
      <c r="I71" s="36"/>
      <c r="J71" s="20"/>
    </row>
    <row r="72" spans="1:11" ht="32.25" customHeight="1" x14ac:dyDescent="0.25">
      <c r="A72" s="29"/>
      <c r="B72" s="30"/>
      <c r="C72" s="15"/>
      <c r="D72" s="65" t="s">
        <v>261</v>
      </c>
      <c r="E72" s="21"/>
      <c r="F72" s="44"/>
      <c r="G72" s="21"/>
      <c r="H72" s="77"/>
      <c r="I72" s="36"/>
      <c r="J72" s="20"/>
    </row>
    <row r="73" spans="1:11" ht="30" x14ac:dyDescent="0.25">
      <c r="A73" s="29"/>
      <c r="B73" s="30"/>
      <c r="C73" s="15"/>
      <c r="D73" s="66" t="s">
        <v>100</v>
      </c>
      <c r="E73" s="21">
        <v>1500900000</v>
      </c>
      <c r="F73" s="43">
        <v>0</v>
      </c>
      <c r="G73" s="21">
        <v>0</v>
      </c>
      <c r="H73" s="43">
        <v>0</v>
      </c>
      <c r="I73" s="36"/>
      <c r="J73" s="20"/>
      <c r="K73" s="1">
        <f>E73*F73</f>
        <v>0</v>
      </c>
    </row>
    <row r="74" spans="1:11" ht="30.75" customHeight="1" x14ac:dyDescent="0.25">
      <c r="A74" s="29"/>
      <c r="B74" s="30"/>
      <c r="C74" s="15"/>
      <c r="D74" s="66" t="s">
        <v>101</v>
      </c>
      <c r="E74" s="21">
        <v>912690456</v>
      </c>
      <c r="F74" s="43">
        <v>0</v>
      </c>
      <c r="G74" s="21">
        <v>0</v>
      </c>
      <c r="H74" s="43">
        <v>0</v>
      </c>
      <c r="I74" s="36"/>
      <c r="J74" s="20"/>
      <c r="K74" s="1">
        <f>E74*F74</f>
        <v>0</v>
      </c>
    </row>
    <row r="75" spans="1:11" x14ac:dyDescent="0.25">
      <c r="A75" s="29"/>
      <c r="B75" s="30"/>
      <c r="C75" s="32" t="s">
        <v>18</v>
      </c>
      <c r="D75" s="18"/>
      <c r="E75" s="19"/>
      <c r="F75" s="76"/>
      <c r="G75" s="19"/>
      <c r="H75" s="78"/>
      <c r="I75" s="39"/>
      <c r="J75" s="50"/>
    </row>
    <row r="76" spans="1:11" ht="47.25" customHeight="1" x14ac:dyDescent="0.25">
      <c r="A76" s="29"/>
      <c r="B76" s="30"/>
      <c r="C76" s="15"/>
      <c r="D76" s="64" t="s">
        <v>99</v>
      </c>
      <c r="E76" s="21"/>
      <c r="F76" s="44"/>
      <c r="G76" s="21"/>
      <c r="H76" s="77"/>
      <c r="I76" s="36"/>
      <c r="J76" s="20"/>
    </row>
    <row r="77" spans="1:11" ht="30" customHeight="1" x14ac:dyDescent="0.25">
      <c r="A77" s="29"/>
      <c r="B77" s="30"/>
      <c r="C77" s="15"/>
      <c r="D77" s="65" t="s">
        <v>261</v>
      </c>
      <c r="E77" s="21"/>
      <c r="F77" s="44"/>
      <c r="G77" s="21"/>
      <c r="H77" s="77"/>
      <c r="I77" s="36"/>
      <c r="J77" s="20"/>
    </row>
    <row r="78" spans="1:11" ht="30" x14ac:dyDescent="0.25">
      <c r="A78" s="29"/>
      <c r="B78" s="30"/>
      <c r="C78" s="15"/>
      <c r="D78" s="66" t="s">
        <v>100</v>
      </c>
      <c r="E78" s="21">
        <v>2555640000</v>
      </c>
      <c r="F78" s="43">
        <v>0</v>
      </c>
      <c r="G78" s="21">
        <v>0</v>
      </c>
      <c r="H78" s="43">
        <v>0</v>
      </c>
      <c r="I78" s="36"/>
      <c r="J78" s="20"/>
      <c r="K78" s="1">
        <f>E78*F78</f>
        <v>0</v>
      </c>
    </row>
    <row r="79" spans="1:11" ht="30.75" customHeight="1" x14ac:dyDescent="0.25">
      <c r="A79" s="29"/>
      <c r="B79" s="30"/>
      <c r="C79" s="15"/>
      <c r="D79" s="66" t="s">
        <v>101</v>
      </c>
      <c r="E79" s="21">
        <v>1550666496</v>
      </c>
      <c r="F79" s="43">
        <v>0</v>
      </c>
      <c r="G79" s="21">
        <v>0</v>
      </c>
      <c r="H79" s="43">
        <v>0</v>
      </c>
      <c r="I79" s="36"/>
      <c r="J79" s="20"/>
      <c r="K79" s="1">
        <f>E79*F79</f>
        <v>0</v>
      </c>
    </row>
    <row r="80" spans="1:11" x14ac:dyDescent="0.25">
      <c r="A80" s="29"/>
      <c r="B80" s="30"/>
      <c r="C80" s="32" t="s">
        <v>19</v>
      </c>
      <c r="D80" s="18"/>
      <c r="E80" s="19"/>
      <c r="F80" s="76"/>
      <c r="G80" s="19"/>
      <c r="H80" s="78"/>
      <c r="I80" s="39"/>
      <c r="J80" s="50"/>
    </row>
    <row r="81" spans="1:11" ht="51" customHeight="1" x14ac:dyDescent="0.25">
      <c r="A81" s="29"/>
      <c r="B81" s="30"/>
      <c r="C81" s="15"/>
      <c r="D81" s="64" t="s">
        <v>99</v>
      </c>
      <c r="E81" s="21"/>
      <c r="F81" s="44"/>
      <c r="G81" s="21"/>
      <c r="H81" s="77"/>
      <c r="I81" s="36"/>
      <c r="J81" s="20"/>
    </row>
    <row r="82" spans="1:11" ht="30" customHeight="1" x14ac:dyDescent="0.25">
      <c r="A82" s="29"/>
      <c r="B82" s="30"/>
      <c r="C82" s="15"/>
      <c r="D82" s="65" t="s">
        <v>261</v>
      </c>
      <c r="E82" s="21"/>
      <c r="F82" s="44"/>
      <c r="G82" s="21"/>
      <c r="H82" s="77"/>
      <c r="I82" s="36"/>
      <c r="J82" s="20"/>
    </row>
    <row r="83" spans="1:11" ht="30" x14ac:dyDescent="0.25">
      <c r="A83" s="29"/>
      <c r="B83" s="30"/>
      <c r="C83" s="15"/>
      <c r="D83" s="66" t="s">
        <v>100</v>
      </c>
      <c r="E83" s="21">
        <v>1360900000</v>
      </c>
      <c r="F83" s="43">
        <v>0</v>
      </c>
      <c r="G83" s="21">
        <v>0</v>
      </c>
      <c r="H83" s="43">
        <v>0</v>
      </c>
      <c r="I83" s="36"/>
      <c r="J83" s="20"/>
      <c r="K83" s="1">
        <f>E83*F83</f>
        <v>0</v>
      </c>
    </row>
    <row r="84" spans="1:11" ht="30.75" customHeight="1" x14ac:dyDescent="0.25">
      <c r="A84" s="29"/>
      <c r="B84" s="30"/>
      <c r="C84" s="15"/>
      <c r="D84" s="66" t="s">
        <v>101</v>
      </c>
      <c r="E84" s="21">
        <v>828258984</v>
      </c>
      <c r="F84" s="43">
        <v>0</v>
      </c>
      <c r="G84" s="21">
        <v>0</v>
      </c>
      <c r="H84" s="43">
        <v>0</v>
      </c>
      <c r="I84" s="36"/>
      <c r="J84" s="20"/>
      <c r="K84" s="1">
        <f>E84*F84</f>
        <v>0</v>
      </c>
    </row>
    <row r="85" spans="1:11" x14ac:dyDescent="0.25">
      <c r="A85" s="29"/>
      <c r="B85" s="30"/>
      <c r="C85" s="32" t="s">
        <v>124</v>
      </c>
      <c r="D85" s="18"/>
      <c r="E85" s="19"/>
      <c r="F85" s="76"/>
      <c r="G85" s="19"/>
      <c r="H85" s="78"/>
      <c r="I85" s="39"/>
      <c r="J85" s="50"/>
    </row>
    <row r="86" spans="1:11" ht="48.75" customHeight="1" x14ac:dyDescent="0.25">
      <c r="A86" s="29"/>
      <c r="B86" s="30"/>
      <c r="C86" s="15"/>
      <c r="D86" s="64" t="s">
        <v>99</v>
      </c>
      <c r="E86" s="21"/>
      <c r="F86" s="44"/>
      <c r="G86" s="21"/>
      <c r="H86" s="77"/>
      <c r="I86" s="36"/>
      <c r="J86" s="20"/>
    </row>
    <row r="87" spans="1:11" ht="32.25" customHeight="1" x14ac:dyDescent="0.25">
      <c r="A87" s="29"/>
      <c r="B87" s="30"/>
      <c r="C87" s="15"/>
      <c r="D87" s="65" t="s">
        <v>261</v>
      </c>
      <c r="E87" s="21"/>
      <c r="F87" s="44"/>
      <c r="G87" s="21"/>
      <c r="H87" s="77"/>
      <c r="I87" s="36"/>
      <c r="J87" s="20"/>
    </row>
    <row r="88" spans="1:11" ht="30" x14ac:dyDescent="0.25">
      <c r="A88" s="29"/>
      <c r="B88" s="30"/>
      <c r="C88" s="15"/>
      <c r="D88" s="66" t="s">
        <v>100</v>
      </c>
      <c r="E88" s="21">
        <v>936160000</v>
      </c>
      <c r="F88" s="43">
        <v>0</v>
      </c>
      <c r="G88" s="21">
        <v>0</v>
      </c>
      <c r="H88" s="43">
        <v>0</v>
      </c>
      <c r="I88" s="36"/>
      <c r="J88" s="20"/>
      <c r="K88" s="1">
        <f>E88*F88</f>
        <v>0</v>
      </c>
    </row>
    <row r="89" spans="1:11" ht="30.75" customHeight="1" x14ac:dyDescent="0.25">
      <c r="A89" s="29"/>
      <c r="B89" s="30"/>
      <c r="C89" s="15"/>
      <c r="D89" s="66" t="s">
        <v>101</v>
      </c>
      <c r="E89" s="21">
        <v>574964568</v>
      </c>
      <c r="F89" s="43">
        <v>0</v>
      </c>
      <c r="G89" s="21">
        <v>0</v>
      </c>
      <c r="H89" s="43">
        <v>0</v>
      </c>
      <c r="I89" s="36"/>
      <c r="J89" s="20"/>
      <c r="K89" s="1">
        <f>E89*F89</f>
        <v>0</v>
      </c>
    </row>
    <row r="90" spans="1:11" x14ac:dyDescent="0.25">
      <c r="A90" s="29"/>
      <c r="B90" s="30"/>
      <c r="C90" s="32" t="s">
        <v>20</v>
      </c>
      <c r="D90" s="18"/>
      <c r="E90" s="19"/>
      <c r="F90" s="76"/>
      <c r="G90" s="19"/>
      <c r="H90" s="76"/>
      <c r="I90" s="19"/>
      <c r="J90" s="50"/>
    </row>
    <row r="91" spans="1:11" ht="51" customHeight="1" x14ac:dyDescent="0.25">
      <c r="A91" s="29"/>
      <c r="B91" s="30"/>
      <c r="C91" s="15"/>
      <c r="D91" s="64" t="s">
        <v>99</v>
      </c>
      <c r="E91" s="21"/>
      <c r="F91" s="44"/>
      <c r="G91" s="21"/>
      <c r="H91" s="44"/>
      <c r="I91" s="22"/>
      <c r="J91" s="20"/>
    </row>
    <row r="92" spans="1:11" ht="33.75" customHeight="1" x14ac:dyDescent="0.25">
      <c r="A92" s="29"/>
      <c r="B92" s="30"/>
      <c r="C92" s="15"/>
      <c r="D92" s="65" t="s">
        <v>261</v>
      </c>
      <c r="E92" s="21"/>
      <c r="F92" s="44"/>
      <c r="G92" s="21"/>
      <c r="H92" s="44"/>
      <c r="I92" s="22"/>
      <c r="J92" s="20"/>
    </row>
    <row r="93" spans="1:11" ht="30" x14ac:dyDescent="0.25">
      <c r="A93" s="29"/>
      <c r="B93" s="30"/>
      <c r="C93" s="15"/>
      <c r="D93" s="66" t="s">
        <v>100</v>
      </c>
      <c r="E93" s="21">
        <v>586160000</v>
      </c>
      <c r="F93" s="43">
        <v>0</v>
      </c>
      <c r="G93" s="21">
        <v>0</v>
      </c>
      <c r="H93" s="43">
        <v>0</v>
      </c>
      <c r="I93" s="36"/>
      <c r="J93" s="20"/>
      <c r="K93" s="1">
        <f>E93*F93</f>
        <v>0</v>
      </c>
    </row>
    <row r="94" spans="1:11" ht="33.75" customHeight="1" x14ac:dyDescent="0.25">
      <c r="A94" s="29"/>
      <c r="B94" s="30"/>
      <c r="C94" s="15"/>
      <c r="D94" s="66" t="s">
        <v>101</v>
      </c>
      <c r="E94" s="21">
        <v>360525888</v>
      </c>
      <c r="F94" s="43">
        <v>0</v>
      </c>
      <c r="G94" s="21">
        <v>0</v>
      </c>
      <c r="H94" s="43">
        <v>0</v>
      </c>
      <c r="I94" s="36"/>
      <c r="J94" s="20"/>
      <c r="K94" s="1">
        <f>E94*F94</f>
        <v>0</v>
      </c>
    </row>
    <row r="95" spans="1:11" x14ac:dyDescent="0.25">
      <c r="A95" s="29"/>
      <c r="B95" s="30"/>
      <c r="C95" s="31" t="s">
        <v>21</v>
      </c>
      <c r="D95" s="16"/>
      <c r="E95" s="17"/>
      <c r="F95" s="17"/>
      <c r="G95" s="17"/>
      <c r="H95" s="17"/>
      <c r="I95" s="17"/>
      <c r="J95" s="49"/>
    </row>
    <row r="96" spans="1:11" x14ac:dyDescent="0.25">
      <c r="A96" s="29"/>
      <c r="B96" s="30"/>
      <c r="C96" s="32" t="s">
        <v>125</v>
      </c>
      <c r="D96" s="18"/>
      <c r="E96" s="19"/>
      <c r="F96" s="19"/>
      <c r="G96" s="19"/>
      <c r="H96" s="19"/>
      <c r="I96" s="19"/>
      <c r="J96" s="50"/>
    </row>
    <row r="97" spans="1:11" ht="50.25" customHeight="1" x14ac:dyDescent="0.25">
      <c r="A97" s="29"/>
      <c r="B97" s="30"/>
      <c r="C97" s="15"/>
      <c r="D97" s="64" t="s">
        <v>99</v>
      </c>
      <c r="E97" s="21"/>
      <c r="F97" s="22"/>
      <c r="G97" s="21"/>
      <c r="H97" s="22"/>
      <c r="I97" s="22"/>
      <c r="J97" s="20"/>
    </row>
    <row r="98" spans="1:11" ht="39" customHeight="1" x14ac:dyDescent="0.25">
      <c r="A98" s="29"/>
      <c r="B98" s="30"/>
      <c r="C98" s="15"/>
      <c r="D98" s="65" t="s">
        <v>261</v>
      </c>
      <c r="E98" s="21"/>
      <c r="F98" s="22"/>
      <c r="G98" s="21"/>
      <c r="H98" s="22"/>
      <c r="I98" s="22"/>
      <c r="J98" s="20"/>
    </row>
    <row r="99" spans="1:11" ht="30" x14ac:dyDescent="0.25">
      <c r="A99" s="29"/>
      <c r="B99" s="30"/>
      <c r="C99" s="15"/>
      <c r="D99" s="66" t="s">
        <v>100</v>
      </c>
      <c r="E99" s="21">
        <v>2200900000</v>
      </c>
      <c r="F99" s="43">
        <v>0</v>
      </c>
      <c r="G99" s="21">
        <v>0</v>
      </c>
      <c r="H99" s="43">
        <v>0</v>
      </c>
      <c r="I99" s="36"/>
      <c r="J99" s="20"/>
      <c r="K99" s="1">
        <f>E99*F99</f>
        <v>0</v>
      </c>
    </row>
    <row r="100" spans="1:11" ht="33.75" customHeight="1" x14ac:dyDescent="0.25">
      <c r="A100" s="29"/>
      <c r="B100" s="30"/>
      <c r="C100" s="15"/>
      <c r="D100" s="66" t="s">
        <v>101</v>
      </c>
      <c r="E100" s="21">
        <v>1336587816</v>
      </c>
      <c r="F100" s="43">
        <v>0</v>
      </c>
      <c r="G100" s="21">
        <v>0</v>
      </c>
      <c r="H100" s="43">
        <v>0</v>
      </c>
      <c r="I100" s="36"/>
      <c r="J100" s="20"/>
      <c r="K100" s="1">
        <f>E100*F100</f>
        <v>0</v>
      </c>
    </row>
    <row r="101" spans="1:11" x14ac:dyDescent="0.25">
      <c r="A101" s="29"/>
      <c r="B101" s="30"/>
      <c r="C101" s="32" t="s">
        <v>22</v>
      </c>
      <c r="D101" s="18"/>
      <c r="E101" s="19"/>
      <c r="F101" s="76"/>
      <c r="G101" s="19"/>
      <c r="H101" s="78"/>
      <c r="I101" s="39"/>
      <c r="J101" s="50"/>
    </row>
    <row r="102" spans="1:11" ht="52.5" customHeight="1" x14ac:dyDescent="0.25">
      <c r="A102" s="29"/>
      <c r="B102" s="30"/>
      <c r="C102" s="15"/>
      <c r="D102" s="64" t="s">
        <v>99</v>
      </c>
      <c r="E102" s="21"/>
      <c r="F102" s="44"/>
      <c r="G102" s="21"/>
      <c r="H102" s="77"/>
      <c r="I102" s="36"/>
      <c r="J102" s="20"/>
    </row>
    <row r="103" spans="1:11" ht="33" customHeight="1" x14ac:dyDescent="0.25">
      <c r="A103" s="29"/>
      <c r="B103" s="30"/>
      <c r="C103" s="15"/>
      <c r="D103" s="65" t="s">
        <v>261</v>
      </c>
      <c r="E103" s="21"/>
      <c r="F103" s="44"/>
      <c r="G103" s="21"/>
      <c r="H103" s="77"/>
      <c r="I103" s="36"/>
      <c r="J103" s="20"/>
    </row>
    <row r="104" spans="1:11" ht="30" x14ac:dyDescent="0.25">
      <c r="A104" s="29"/>
      <c r="B104" s="30"/>
      <c r="C104" s="15"/>
      <c r="D104" s="66" t="s">
        <v>100</v>
      </c>
      <c r="E104" s="21">
        <v>2340900000</v>
      </c>
      <c r="F104" s="43">
        <v>0</v>
      </c>
      <c r="G104" s="21">
        <v>0</v>
      </c>
      <c r="H104" s="43">
        <v>0</v>
      </c>
      <c r="I104" s="36"/>
      <c r="J104" s="20"/>
      <c r="K104" s="1">
        <f>E104*F104</f>
        <v>0</v>
      </c>
    </row>
    <row r="105" spans="1:11" ht="33.75" customHeight="1" x14ac:dyDescent="0.25">
      <c r="A105" s="29"/>
      <c r="B105" s="30"/>
      <c r="C105" s="15"/>
      <c r="D105" s="66" t="s">
        <v>101</v>
      </c>
      <c r="E105" s="21">
        <v>1424019288</v>
      </c>
      <c r="F105" s="43">
        <v>0</v>
      </c>
      <c r="G105" s="21">
        <v>0</v>
      </c>
      <c r="H105" s="43">
        <v>0</v>
      </c>
      <c r="I105" s="36"/>
      <c r="J105" s="20"/>
      <c r="K105" s="1">
        <f>E105*F105</f>
        <v>0</v>
      </c>
    </row>
    <row r="106" spans="1:11" x14ac:dyDescent="0.25">
      <c r="A106" s="29"/>
      <c r="B106" s="30"/>
      <c r="C106" s="32" t="s">
        <v>23</v>
      </c>
      <c r="D106" s="18"/>
      <c r="E106" s="19"/>
      <c r="F106" s="76"/>
      <c r="G106" s="19"/>
      <c r="H106" s="78"/>
      <c r="I106" s="39"/>
      <c r="J106" s="50"/>
    </row>
    <row r="107" spans="1:11" ht="48.75" customHeight="1" x14ac:dyDescent="0.25">
      <c r="A107" s="29"/>
      <c r="B107" s="30"/>
      <c r="C107" s="15"/>
      <c r="D107" s="64" t="s">
        <v>99</v>
      </c>
      <c r="E107" s="21"/>
      <c r="F107" s="44"/>
      <c r="G107" s="21"/>
      <c r="H107" s="77"/>
      <c r="I107" s="36"/>
      <c r="J107" s="20"/>
    </row>
    <row r="108" spans="1:11" ht="32.25" customHeight="1" x14ac:dyDescent="0.25">
      <c r="A108" s="29"/>
      <c r="B108" s="30"/>
      <c r="C108" s="15"/>
      <c r="D108" s="65" t="s">
        <v>261</v>
      </c>
      <c r="E108" s="21"/>
      <c r="F108" s="44"/>
      <c r="G108" s="21"/>
      <c r="H108" s="77"/>
      <c r="I108" s="36"/>
      <c r="J108" s="20"/>
    </row>
    <row r="109" spans="1:11" ht="30" x14ac:dyDescent="0.25">
      <c r="A109" s="29"/>
      <c r="B109" s="30"/>
      <c r="C109" s="15"/>
      <c r="D109" s="66" t="s">
        <v>100</v>
      </c>
      <c r="E109" s="21">
        <v>3675640000</v>
      </c>
      <c r="F109" s="43">
        <v>0</v>
      </c>
      <c r="G109" s="21">
        <v>0</v>
      </c>
      <c r="H109" s="43">
        <v>0</v>
      </c>
      <c r="I109" s="36"/>
      <c r="J109" s="20"/>
      <c r="K109" s="1">
        <f>E109*F109</f>
        <v>0</v>
      </c>
    </row>
    <row r="110" spans="1:11" ht="33.75" customHeight="1" x14ac:dyDescent="0.25">
      <c r="A110" s="29"/>
      <c r="B110" s="30"/>
      <c r="C110" s="15"/>
      <c r="D110" s="66" t="s">
        <v>101</v>
      </c>
      <c r="E110" s="21">
        <v>2242018272</v>
      </c>
      <c r="F110" s="43">
        <v>0</v>
      </c>
      <c r="G110" s="21">
        <v>0</v>
      </c>
      <c r="H110" s="43">
        <v>0</v>
      </c>
      <c r="I110" s="36"/>
      <c r="J110" s="20"/>
      <c r="K110" s="1">
        <f>E110*F110</f>
        <v>0</v>
      </c>
    </row>
    <row r="111" spans="1:11" x14ac:dyDescent="0.25">
      <c r="A111" s="29"/>
      <c r="B111" s="30"/>
      <c r="C111" s="32" t="s">
        <v>24</v>
      </c>
      <c r="D111" s="18"/>
      <c r="E111" s="19"/>
      <c r="F111" s="76"/>
      <c r="G111" s="19"/>
      <c r="H111" s="78"/>
      <c r="I111" s="39"/>
      <c r="J111" s="50"/>
    </row>
    <row r="112" spans="1:11" ht="45" customHeight="1" x14ac:dyDescent="0.25">
      <c r="A112" s="29"/>
      <c r="B112" s="30"/>
      <c r="C112" s="15"/>
      <c r="D112" s="64" t="s">
        <v>99</v>
      </c>
      <c r="E112" s="21"/>
      <c r="F112" s="44"/>
      <c r="G112" s="21"/>
      <c r="H112" s="77"/>
      <c r="I112" s="36"/>
      <c r="J112" s="20"/>
    </row>
    <row r="113" spans="1:11" ht="36" customHeight="1" x14ac:dyDescent="0.25">
      <c r="A113" s="29"/>
      <c r="B113" s="30"/>
      <c r="C113" s="15"/>
      <c r="D113" s="65" t="s">
        <v>261</v>
      </c>
      <c r="E113" s="21"/>
      <c r="F113" s="44"/>
      <c r="G113" s="21"/>
      <c r="H113" s="77"/>
      <c r="I113" s="36"/>
      <c r="J113" s="20"/>
    </row>
    <row r="114" spans="1:11" ht="30" x14ac:dyDescent="0.25">
      <c r="A114" s="29"/>
      <c r="B114" s="30"/>
      <c r="C114" s="15"/>
      <c r="D114" s="66" t="s">
        <v>100</v>
      </c>
      <c r="E114" s="21">
        <v>936160000</v>
      </c>
      <c r="F114" s="43">
        <v>0</v>
      </c>
      <c r="G114" s="21">
        <v>0</v>
      </c>
      <c r="H114" s="43">
        <v>0</v>
      </c>
      <c r="I114" s="36"/>
      <c r="J114" s="20"/>
      <c r="K114" s="1">
        <f>E114*F114</f>
        <v>0</v>
      </c>
    </row>
    <row r="115" spans="1:11" ht="33.75" customHeight="1" x14ac:dyDescent="0.25">
      <c r="A115" s="29"/>
      <c r="B115" s="30"/>
      <c r="C115" s="15"/>
      <c r="D115" s="66" t="s">
        <v>101</v>
      </c>
      <c r="E115" s="21">
        <v>574964568</v>
      </c>
      <c r="F115" s="43">
        <v>0</v>
      </c>
      <c r="G115" s="21">
        <v>0</v>
      </c>
      <c r="H115" s="43">
        <v>0</v>
      </c>
      <c r="I115" s="36"/>
      <c r="J115" s="20"/>
      <c r="K115" s="1">
        <f>E115*F115</f>
        <v>0</v>
      </c>
    </row>
    <row r="116" spans="1:11" x14ac:dyDescent="0.25">
      <c r="A116" s="29"/>
      <c r="B116" s="30"/>
      <c r="C116" s="32" t="s">
        <v>25</v>
      </c>
      <c r="D116" s="18"/>
      <c r="E116" s="19"/>
      <c r="F116" s="76"/>
      <c r="G116" s="19"/>
      <c r="H116" s="78"/>
      <c r="I116" s="39"/>
      <c r="J116" s="50"/>
    </row>
    <row r="117" spans="1:11" ht="46.5" customHeight="1" x14ac:dyDescent="0.25">
      <c r="A117" s="29"/>
      <c r="B117" s="30"/>
      <c r="C117" s="15"/>
      <c r="D117" s="64" t="s">
        <v>99</v>
      </c>
      <c r="E117" s="21"/>
      <c r="F117" s="44"/>
      <c r="G117" s="21"/>
      <c r="H117" s="77"/>
      <c r="I117" s="36"/>
      <c r="J117" s="20"/>
    </row>
    <row r="118" spans="1:11" ht="33" customHeight="1" x14ac:dyDescent="0.25">
      <c r="A118" s="29"/>
      <c r="B118" s="30"/>
      <c r="C118" s="15"/>
      <c r="D118" s="65" t="s">
        <v>261</v>
      </c>
      <c r="E118" s="21"/>
      <c r="F118" s="44"/>
      <c r="G118" s="21"/>
      <c r="H118" s="77"/>
      <c r="I118" s="36"/>
      <c r="J118" s="20"/>
    </row>
    <row r="119" spans="1:11" ht="30" x14ac:dyDescent="0.25">
      <c r="A119" s="29"/>
      <c r="B119" s="30"/>
      <c r="C119" s="15"/>
      <c r="D119" s="66" t="s">
        <v>100</v>
      </c>
      <c r="E119" s="21">
        <v>3045640000</v>
      </c>
      <c r="F119" s="43">
        <v>0</v>
      </c>
      <c r="G119" s="21">
        <v>0</v>
      </c>
      <c r="H119" s="43">
        <v>0</v>
      </c>
      <c r="I119" s="36"/>
      <c r="J119" s="20"/>
      <c r="K119" s="1">
        <f>E119*F119</f>
        <v>0</v>
      </c>
    </row>
    <row r="120" spans="1:11" ht="33.75" customHeight="1" x14ac:dyDescent="0.25">
      <c r="A120" s="29"/>
      <c r="B120" s="30"/>
      <c r="C120" s="15"/>
      <c r="D120" s="66" t="s">
        <v>101</v>
      </c>
      <c r="E120" s="21">
        <v>1846176648</v>
      </c>
      <c r="F120" s="43">
        <v>0</v>
      </c>
      <c r="G120" s="21">
        <v>0</v>
      </c>
      <c r="H120" s="43">
        <v>0</v>
      </c>
      <c r="I120" s="36"/>
      <c r="J120" s="20"/>
      <c r="K120" s="1">
        <f>E120*F120</f>
        <v>0</v>
      </c>
    </row>
    <row r="121" spans="1:11" x14ac:dyDescent="0.25">
      <c r="A121" s="29"/>
      <c r="B121" s="30"/>
      <c r="C121" s="32" t="s">
        <v>26</v>
      </c>
      <c r="D121" s="18"/>
      <c r="E121" s="19"/>
      <c r="F121" s="76"/>
      <c r="G121" s="19"/>
      <c r="H121" s="76"/>
      <c r="I121" s="19"/>
      <c r="J121" s="50"/>
    </row>
    <row r="122" spans="1:11" ht="50.25" customHeight="1" x14ac:dyDescent="0.25">
      <c r="A122" s="29"/>
      <c r="B122" s="30"/>
      <c r="C122" s="15"/>
      <c r="D122" s="64" t="s">
        <v>99</v>
      </c>
      <c r="E122" s="35"/>
      <c r="F122" s="77"/>
      <c r="G122" s="35"/>
      <c r="H122" s="77"/>
      <c r="I122" s="36"/>
      <c r="J122" s="20"/>
    </row>
    <row r="123" spans="1:11" ht="32.25" customHeight="1" x14ac:dyDescent="0.25">
      <c r="A123" s="29"/>
      <c r="B123" s="30"/>
      <c r="C123" s="15"/>
      <c r="D123" s="65" t="s">
        <v>261</v>
      </c>
      <c r="E123" s="35"/>
      <c r="F123" s="77"/>
      <c r="G123" s="35"/>
      <c r="H123" s="77"/>
      <c r="I123" s="36"/>
      <c r="J123" s="20"/>
    </row>
    <row r="124" spans="1:11" ht="30" x14ac:dyDescent="0.25">
      <c r="A124" s="29"/>
      <c r="B124" s="30"/>
      <c r="C124" s="15"/>
      <c r="D124" s="66" t="s">
        <v>100</v>
      </c>
      <c r="E124" s="21">
        <v>866160000</v>
      </c>
      <c r="F124" s="43">
        <v>0</v>
      </c>
      <c r="G124" s="21">
        <v>0</v>
      </c>
      <c r="H124" s="43">
        <v>0</v>
      </c>
      <c r="I124" s="36"/>
      <c r="J124" s="20"/>
      <c r="K124" s="1">
        <f>E124*F124</f>
        <v>0</v>
      </c>
    </row>
    <row r="125" spans="1:11" ht="33.75" customHeight="1" x14ac:dyDescent="0.25">
      <c r="A125" s="29"/>
      <c r="B125" s="30"/>
      <c r="C125" s="15"/>
      <c r="D125" s="66" t="s">
        <v>101</v>
      </c>
      <c r="E125" s="21">
        <v>532748832</v>
      </c>
      <c r="F125" s="43">
        <v>0</v>
      </c>
      <c r="G125" s="21">
        <v>0</v>
      </c>
      <c r="H125" s="43">
        <v>0</v>
      </c>
      <c r="I125" s="36"/>
      <c r="J125" s="20"/>
      <c r="K125" s="1">
        <f>E125*F125</f>
        <v>0</v>
      </c>
    </row>
    <row r="126" spans="1:11" x14ac:dyDescent="0.25">
      <c r="A126" s="29"/>
      <c r="B126" s="30"/>
      <c r="C126" s="32" t="s">
        <v>27</v>
      </c>
      <c r="D126" s="18"/>
      <c r="E126" s="19"/>
      <c r="F126" s="76"/>
      <c r="G126" s="19"/>
      <c r="H126" s="76"/>
      <c r="I126" s="19"/>
      <c r="J126" s="50"/>
    </row>
    <row r="127" spans="1:11" ht="56.25" customHeight="1" x14ac:dyDescent="0.25">
      <c r="A127" s="29"/>
      <c r="B127" s="30"/>
      <c r="C127" s="15"/>
      <c r="D127" s="64" t="s">
        <v>99</v>
      </c>
      <c r="E127" s="35"/>
      <c r="F127" s="77"/>
      <c r="G127" s="35"/>
      <c r="H127" s="77"/>
      <c r="I127" s="36"/>
      <c r="J127" s="20"/>
    </row>
    <row r="128" spans="1:11" ht="36" customHeight="1" x14ac:dyDescent="0.25">
      <c r="A128" s="29"/>
      <c r="B128" s="30"/>
      <c r="C128" s="15"/>
      <c r="D128" s="65" t="s">
        <v>261</v>
      </c>
      <c r="E128" s="35"/>
      <c r="F128" s="77"/>
      <c r="G128" s="35"/>
      <c r="H128" s="77"/>
      <c r="I128" s="36"/>
      <c r="J128" s="20"/>
    </row>
    <row r="129" spans="1:11" ht="30" x14ac:dyDescent="0.25">
      <c r="A129" s="29"/>
      <c r="B129" s="30"/>
      <c r="C129" s="15"/>
      <c r="D129" s="66" t="s">
        <v>100</v>
      </c>
      <c r="E129" s="21">
        <v>3815640000</v>
      </c>
      <c r="F129" s="43">
        <v>0</v>
      </c>
      <c r="G129" s="21">
        <v>0</v>
      </c>
      <c r="H129" s="43">
        <v>0</v>
      </c>
      <c r="I129" s="36"/>
      <c r="J129" s="20"/>
      <c r="K129" s="1">
        <f>E129*F129</f>
        <v>0</v>
      </c>
    </row>
    <row r="130" spans="1:11" ht="33.75" customHeight="1" x14ac:dyDescent="0.25">
      <c r="A130" s="29"/>
      <c r="B130" s="30"/>
      <c r="C130" s="15"/>
      <c r="D130" s="66" t="s">
        <v>101</v>
      </c>
      <c r="E130" s="21">
        <v>2328249744</v>
      </c>
      <c r="F130" s="43">
        <v>0</v>
      </c>
      <c r="G130" s="21">
        <v>0</v>
      </c>
      <c r="H130" s="43">
        <v>0</v>
      </c>
      <c r="I130" s="36"/>
      <c r="J130" s="20"/>
      <c r="K130" s="1">
        <f>E130*F130</f>
        <v>0</v>
      </c>
    </row>
    <row r="131" spans="1:11" x14ac:dyDescent="0.25">
      <c r="A131" s="29"/>
      <c r="B131" s="30"/>
      <c r="C131" s="32" t="s">
        <v>28</v>
      </c>
      <c r="D131" s="18"/>
      <c r="E131" s="19"/>
      <c r="F131" s="76"/>
      <c r="G131" s="19"/>
      <c r="H131" s="76"/>
      <c r="I131" s="19"/>
      <c r="J131" s="50"/>
    </row>
    <row r="132" spans="1:11" ht="52.5" customHeight="1" x14ac:dyDescent="0.25">
      <c r="A132" s="29"/>
      <c r="B132" s="30"/>
      <c r="C132" s="15"/>
      <c r="D132" s="64" t="s">
        <v>99</v>
      </c>
      <c r="E132" s="35"/>
      <c r="F132" s="77"/>
      <c r="G132" s="35"/>
      <c r="H132" s="77"/>
      <c r="I132" s="36"/>
      <c r="J132" s="20"/>
    </row>
    <row r="133" spans="1:11" ht="33.75" customHeight="1" x14ac:dyDescent="0.25">
      <c r="A133" s="29"/>
      <c r="B133" s="30"/>
      <c r="C133" s="15"/>
      <c r="D133" s="65" t="s">
        <v>261</v>
      </c>
      <c r="E133" s="35"/>
      <c r="F133" s="77"/>
      <c r="G133" s="35"/>
      <c r="H133" s="77"/>
      <c r="I133" s="36"/>
      <c r="J133" s="20"/>
    </row>
    <row r="134" spans="1:11" ht="30" x14ac:dyDescent="0.25">
      <c r="A134" s="29"/>
      <c r="B134" s="30"/>
      <c r="C134" s="15"/>
      <c r="D134" s="66" t="s">
        <v>100</v>
      </c>
      <c r="E134" s="21">
        <v>442800000</v>
      </c>
      <c r="F134" s="43">
        <v>0</v>
      </c>
      <c r="G134" s="21">
        <v>0</v>
      </c>
      <c r="H134" s="43">
        <v>0</v>
      </c>
      <c r="I134" s="36"/>
      <c r="J134" s="20"/>
      <c r="K134" s="1">
        <f>E134*F134</f>
        <v>0</v>
      </c>
    </row>
    <row r="135" spans="1:11" ht="33.75" customHeight="1" x14ac:dyDescent="0.25">
      <c r="A135" s="29"/>
      <c r="B135" s="30"/>
      <c r="C135" s="15"/>
      <c r="D135" s="66" t="s">
        <v>101</v>
      </c>
      <c r="E135" s="21">
        <v>276094416</v>
      </c>
      <c r="F135" s="43">
        <v>0</v>
      </c>
      <c r="G135" s="21">
        <v>0</v>
      </c>
      <c r="H135" s="43">
        <v>0</v>
      </c>
      <c r="I135" s="36"/>
      <c r="J135" s="20"/>
      <c r="K135" s="1">
        <f>E135*F135</f>
        <v>0</v>
      </c>
    </row>
    <row r="136" spans="1:11" x14ac:dyDescent="0.25">
      <c r="A136" s="29"/>
      <c r="B136" s="30"/>
      <c r="C136" s="46" t="s">
        <v>29</v>
      </c>
      <c r="D136" s="16"/>
      <c r="E136" s="17"/>
      <c r="F136" s="17"/>
      <c r="G136" s="17"/>
      <c r="H136" s="17"/>
      <c r="I136" s="17"/>
      <c r="J136" s="49"/>
    </row>
    <row r="137" spans="1:11" x14ac:dyDescent="0.25">
      <c r="A137" s="29"/>
      <c r="B137" s="30"/>
      <c r="C137" s="32" t="s">
        <v>126</v>
      </c>
      <c r="D137" s="18"/>
      <c r="E137" s="19"/>
      <c r="F137" s="19"/>
      <c r="G137" s="19"/>
      <c r="H137" s="19"/>
      <c r="I137" s="19"/>
      <c r="J137" s="50"/>
    </row>
    <row r="138" spans="1:11" ht="52.5" customHeight="1" x14ac:dyDescent="0.25">
      <c r="A138" s="29"/>
      <c r="B138" s="30"/>
      <c r="C138" s="15"/>
      <c r="D138" s="64" t="s">
        <v>99</v>
      </c>
      <c r="E138" s="21"/>
      <c r="F138" s="22"/>
      <c r="G138" s="21"/>
      <c r="H138" s="22"/>
      <c r="I138" s="22"/>
      <c r="J138" s="20"/>
    </row>
    <row r="139" spans="1:11" ht="32.25" customHeight="1" x14ac:dyDescent="0.25">
      <c r="A139" s="29"/>
      <c r="B139" s="30"/>
      <c r="C139" s="15"/>
      <c r="D139" s="65" t="s">
        <v>261</v>
      </c>
      <c r="E139" s="21"/>
      <c r="F139" s="22"/>
      <c r="G139" s="21"/>
      <c r="H139" s="22"/>
      <c r="I139" s="22"/>
      <c r="J139" s="20"/>
    </row>
    <row r="140" spans="1:11" ht="30" x14ac:dyDescent="0.25">
      <c r="A140" s="29"/>
      <c r="B140" s="30"/>
      <c r="C140" s="15"/>
      <c r="D140" s="66" t="s">
        <v>100</v>
      </c>
      <c r="E140" s="21">
        <v>2130900000</v>
      </c>
      <c r="F140" s="43">
        <v>0</v>
      </c>
      <c r="G140" s="21">
        <v>0</v>
      </c>
      <c r="H140" s="43">
        <v>0</v>
      </c>
      <c r="I140" s="36"/>
      <c r="J140" s="20"/>
      <c r="K140" s="1">
        <f>E140*F140</f>
        <v>0</v>
      </c>
    </row>
    <row r="141" spans="1:11" ht="30.75" customHeight="1" x14ac:dyDescent="0.25">
      <c r="A141" s="29"/>
      <c r="B141" s="30"/>
      <c r="C141" s="15"/>
      <c r="D141" s="66" t="s">
        <v>101</v>
      </c>
      <c r="E141" s="21">
        <v>1297372080</v>
      </c>
      <c r="F141" s="43">
        <v>0</v>
      </c>
      <c r="G141" s="21">
        <v>0</v>
      </c>
      <c r="H141" s="43">
        <v>0</v>
      </c>
      <c r="I141" s="36"/>
      <c r="J141" s="20"/>
      <c r="K141" s="1">
        <f>E141*F141</f>
        <v>0</v>
      </c>
    </row>
    <row r="142" spans="1:11" x14ac:dyDescent="0.25">
      <c r="A142" s="29"/>
      <c r="B142" s="30"/>
      <c r="C142" s="32" t="s">
        <v>30</v>
      </c>
      <c r="D142" s="18"/>
      <c r="E142" s="19"/>
      <c r="F142" s="76"/>
      <c r="G142" s="19"/>
      <c r="H142" s="78"/>
      <c r="I142" s="39"/>
      <c r="J142" s="50"/>
    </row>
    <row r="143" spans="1:11" ht="54" customHeight="1" x14ac:dyDescent="0.25">
      <c r="A143" s="29"/>
      <c r="B143" s="30"/>
      <c r="C143" s="15"/>
      <c r="D143" s="64" t="s">
        <v>99</v>
      </c>
      <c r="E143" s="21"/>
      <c r="F143" s="44"/>
      <c r="G143" s="21"/>
      <c r="H143" s="77"/>
      <c r="I143" s="36"/>
      <c r="J143" s="20"/>
    </row>
    <row r="144" spans="1:11" ht="30" customHeight="1" x14ac:dyDescent="0.25">
      <c r="A144" s="29"/>
      <c r="B144" s="30"/>
      <c r="C144" s="15"/>
      <c r="D144" s="65" t="s">
        <v>261</v>
      </c>
      <c r="E144" s="21"/>
      <c r="F144" s="44"/>
      <c r="G144" s="21"/>
      <c r="H144" s="77"/>
      <c r="I144" s="36"/>
      <c r="J144" s="20"/>
    </row>
    <row r="145" spans="1:11" ht="30" x14ac:dyDescent="0.25">
      <c r="A145" s="29"/>
      <c r="B145" s="30"/>
      <c r="C145" s="15"/>
      <c r="D145" s="66" t="s">
        <v>100</v>
      </c>
      <c r="E145" s="21">
        <v>4235640000</v>
      </c>
      <c r="F145" s="43">
        <v>0</v>
      </c>
      <c r="G145" s="21">
        <v>0</v>
      </c>
      <c r="H145" s="43">
        <v>0</v>
      </c>
      <c r="I145" s="36"/>
      <c r="J145" s="20"/>
      <c r="K145" s="1">
        <f>E145*F145</f>
        <v>0</v>
      </c>
    </row>
    <row r="146" spans="1:11" ht="30.75" customHeight="1" x14ac:dyDescent="0.25">
      <c r="A146" s="29"/>
      <c r="B146" s="30"/>
      <c r="C146" s="15"/>
      <c r="D146" s="66" t="s">
        <v>101</v>
      </c>
      <c r="E146" s="21">
        <v>2563844160</v>
      </c>
      <c r="F146" s="43">
        <v>0</v>
      </c>
      <c r="G146" s="21">
        <v>0</v>
      </c>
      <c r="H146" s="43">
        <v>0</v>
      </c>
      <c r="I146" s="36"/>
      <c r="J146" s="20"/>
      <c r="K146" s="1">
        <f>E146*F146</f>
        <v>0</v>
      </c>
    </row>
    <row r="147" spans="1:11" x14ac:dyDescent="0.25">
      <c r="A147" s="29"/>
      <c r="B147" s="30"/>
      <c r="C147" s="32" t="s">
        <v>31</v>
      </c>
      <c r="D147" s="18"/>
      <c r="E147" s="19"/>
      <c r="F147" s="76"/>
      <c r="G147" s="19"/>
      <c r="H147" s="76"/>
      <c r="I147" s="19"/>
      <c r="J147" s="50"/>
    </row>
    <row r="148" spans="1:11" ht="54.75" customHeight="1" x14ac:dyDescent="0.25">
      <c r="A148" s="29"/>
      <c r="B148" s="30"/>
      <c r="C148" s="15"/>
      <c r="D148" s="64" t="s">
        <v>99</v>
      </c>
      <c r="E148" s="21"/>
      <c r="F148" s="44"/>
      <c r="G148" s="21"/>
      <c r="H148" s="77"/>
      <c r="I148" s="36"/>
      <c r="J148" s="20"/>
    </row>
    <row r="149" spans="1:11" ht="36" customHeight="1" x14ac:dyDescent="0.25">
      <c r="A149" s="29"/>
      <c r="B149" s="30"/>
      <c r="C149" s="15"/>
      <c r="D149" s="65" t="s">
        <v>261</v>
      </c>
      <c r="E149" s="21"/>
      <c r="F149" s="44"/>
      <c r="G149" s="21"/>
      <c r="H149" s="77"/>
      <c r="I149" s="36"/>
      <c r="J149" s="20"/>
    </row>
    <row r="150" spans="1:11" ht="30" x14ac:dyDescent="0.25">
      <c r="A150" s="29"/>
      <c r="B150" s="30"/>
      <c r="C150" s="15"/>
      <c r="D150" s="66" t="s">
        <v>100</v>
      </c>
      <c r="E150" s="21">
        <v>2835640000</v>
      </c>
      <c r="F150" s="43">
        <v>0</v>
      </c>
      <c r="G150" s="21">
        <v>0</v>
      </c>
      <c r="H150" s="43">
        <v>0</v>
      </c>
      <c r="I150" s="36"/>
      <c r="J150" s="20"/>
      <c r="K150" s="1">
        <f>E150*F150</f>
        <v>0</v>
      </c>
    </row>
    <row r="151" spans="1:11" ht="33.75" customHeight="1" x14ac:dyDescent="0.25">
      <c r="A151" s="29"/>
      <c r="B151" s="30"/>
      <c r="C151" s="15"/>
      <c r="D151" s="66" t="s">
        <v>101</v>
      </c>
      <c r="E151" s="21">
        <v>1719529440</v>
      </c>
      <c r="F151" s="43">
        <v>0</v>
      </c>
      <c r="G151" s="21">
        <v>0</v>
      </c>
      <c r="H151" s="43">
        <v>0</v>
      </c>
      <c r="I151" s="36"/>
      <c r="J151" s="20"/>
      <c r="K151" s="1">
        <f>E151*F151</f>
        <v>0</v>
      </c>
    </row>
    <row r="152" spans="1:11" x14ac:dyDescent="0.25">
      <c r="A152" s="29"/>
      <c r="B152" s="30"/>
      <c r="C152" s="32" t="s">
        <v>32</v>
      </c>
      <c r="D152" s="18"/>
      <c r="E152" s="19"/>
      <c r="F152" s="76"/>
      <c r="G152" s="19"/>
      <c r="H152" s="76"/>
      <c r="I152" s="19"/>
      <c r="J152" s="50"/>
    </row>
    <row r="153" spans="1:11" ht="48.75" customHeight="1" x14ac:dyDescent="0.25">
      <c r="A153" s="29"/>
      <c r="B153" s="30"/>
      <c r="C153" s="15"/>
      <c r="D153" s="64" t="s">
        <v>99</v>
      </c>
      <c r="E153" s="21"/>
      <c r="F153" s="44"/>
      <c r="G153" s="21"/>
      <c r="H153" s="77"/>
      <c r="I153" s="36"/>
      <c r="J153" s="20"/>
    </row>
    <row r="154" spans="1:11" ht="32.25" customHeight="1" x14ac:dyDescent="0.25">
      <c r="A154" s="29"/>
      <c r="B154" s="30"/>
      <c r="C154" s="15"/>
      <c r="D154" s="65" t="s">
        <v>261</v>
      </c>
      <c r="E154" s="21"/>
      <c r="F154" s="44"/>
      <c r="G154" s="21"/>
      <c r="H154" s="77"/>
      <c r="I154" s="36"/>
      <c r="J154" s="20"/>
    </row>
    <row r="155" spans="1:11" ht="30" x14ac:dyDescent="0.25">
      <c r="A155" s="29"/>
      <c r="B155" s="30"/>
      <c r="C155" s="15"/>
      <c r="D155" s="66" t="s">
        <v>100</v>
      </c>
      <c r="E155" s="21">
        <v>4025640000</v>
      </c>
      <c r="F155" s="43">
        <v>0</v>
      </c>
      <c r="G155" s="21">
        <v>0</v>
      </c>
      <c r="H155" s="43">
        <v>0</v>
      </c>
      <c r="I155" s="36"/>
      <c r="J155" s="20"/>
      <c r="K155" s="1">
        <f>E155*F155</f>
        <v>0</v>
      </c>
    </row>
    <row r="156" spans="1:11" ht="30.75" customHeight="1" x14ac:dyDescent="0.25">
      <c r="A156" s="29"/>
      <c r="B156" s="30"/>
      <c r="C156" s="15"/>
      <c r="D156" s="66" t="s">
        <v>101</v>
      </c>
      <c r="E156" s="21">
        <v>2437196952</v>
      </c>
      <c r="F156" s="43">
        <v>0</v>
      </c>
      <c r="G156" s="21">
        <v>0</v>
      </c>
      <c r="H156" s="43">
        <v>0</v>
      </c>
      <c r="I156" s="36"/>
      <c r="J156" s="20"/>
      <c r="K156" s="1">
        <f>E156*F156</f>
        <v>0</v>
      </c>
    </row>
    <row r="157" spans="1:11" x14ac:dyDescent="0.25">
      <c r="A157" s="29"/>
      <c r="B157" s="30"/>
      <c r="C157" s="32" t="s">
        <v>127</v>
      </c>
      <c r="D157" s="18"/>
      <c r="E157" s="19"/>
      <c r="F157" s="76"/>
      <c r="G157" s="19"/>
      <c r="H157" s="76"/>
      <c r="I157" s="19"/>
      <c r="J157" s="50"/>
    </row>
    <row r="158" spans="1:11" ht="52.5" customHeight="1" x14ac:dyDescent="0.25">
      <c r="A158" s="29"/>
      <c r="B158" s="30"/>
      <c r="C158" s="15"/>
      <c r="D158" s="64" t="s">
        <v>99</v>
      </c>
      <c r="E158" s="21"/>
      <c r="F158" s="44"/>
      <c r="G158" s="21"/>
      <c r="H158" s="77"/>
      <c r="I158" s="36"/>
      <c r="J158" s="20"/>
    </row>
    <row r="159" spans="1:11" ht="33" customHeight="1" x14ac:dyDescent="0.25">
      <c r="A159" s="29"/>
      <c r="B159" s="30"/>
      <c r="C159" s="15"/>
      <c r="D159" s="65" t="s">
        <v>261</v>
      </c>
      <c r="E159" s="21"/>
      <c r="F159" s="44"/>
      <c r="G159" s="21"/>
      <c r="H159" s="77"/>
      <c r="I159" s="36"/>
      <c r="J159" s="20"/>
    </row>
    <row r="160" spans="1:11" ht="30" x14ac:dyDescent="0.25">
      <c r="A160" s="29"/>
      <c r="B160" s="30"/>
      <c r="C160" s="15"/>
      <c r="D160" s="66" t="s">
        <v>100</v>
      </c>
      <c r="E160" s="21">
        <v>2480900000</v>
      </c>
      <c r="F160" s="43">
        <v>0</v>
      </c>
      <c r="G160" s="21">
        <v>0</v>
      </c>
      <c r="H160" s="43">
        <v>0</v>
      </c>
      <c r="I160" s="36"/>
      <c r="J160" s="20"/>
      <c r="K160" s="1">
        <f>E160*F160</f>
        <v>0</v>
      </c>
    </row>
    <row r="161" spans="1:11" ht="30.75" customHeight="1" x14ac:dyDescent="0.25">
      <c r="A161" s="29"/>
      <c r="B161" s="30"/>
      <c r="C161" s="15"/>
      <c r="D161" s="66" t="s">
        <v>101</v>
      </c>
      <c r="E161" s="21">
        <v>1508450760</v>
      </c>
      <c r="F161" s="43">
        <v>0</v>
      </c>
      <c r="G161" s="21">
        <v>0</v>
      </c>
      <c r="H161" s="43">
        <v>0</v>
      </c>
      <c r="I161" s="36"/>
      <c r="J161" s="20"/>
      <c r="K161" s="1">
        <f>E161*F161</f>
        <v>0</v>
      </c>
    </row>
    <row r="162" spans="1:11" x14ac:dyDescent="0.25">
      <c r="A162" s="29"/>
      <c r="B162" s="30"/>
      <c r="C162" s="32" t="s">
        <v>128</v>
      </c>
      <c r="D162" s="18"/>
      <c r="E162" s="19"/>
      <c r="F162" s="76"/>
      <c r="G162" s="19"/>
      <c r="H162" s="76"/>
      <c r="I162" s="19"/>
      <c r="J162" s="50"/>
    </row>
    <row r="163" spans="1:11" ht="50.25" customHeight="1" x14ac:dyDescent="0.25">
      <c r="A163" s="29"/>
      <c r="B163" s="30"/>
      <c r="C163" s="15"/>
      <c r="D163" s="64" t="s">
        <v>99</v>
      </c>
      <c r="E163" s="21"/>
      <c r="F163" s="44"/>
      <c r="G163" s="21"/>
      <c r="H163" s="44"/>
      <c r="I163" s="22"/>
      <c r="J163" s="20"/>
    </row>
    <row r="164" spans="1:11" ht="33.75" customHeight="1" x14ac:dyDescent="0.25">
      <c r="A164" s="29"/>
      <c r="B164" s="30"/>
      <c r="C164" s="15"/>
      <c r="D164" s="65" t="s">
        <v>261</v>
      </c>
      <c r="E164" s="21"/>
      <c r="F164" s="44"/>
      <c r="G164" s="21"/>
      <c r="H164" s="44"/>
      <c r="I164" s="22"/>
      <c r="J164" s="20"/>
    </row>
    <row r="165" spans="1:11" ht="30" x14ac:dyDescent="0.25">
      <c r="A165" s="29"/>
      <c r="B165" s="30"/>
      <c r="C165" s="15"/>
      <c r="D165" s="66" t="s">
        <v>100</v>
      </c>
      <c r="E165" s="21">
        <v>2695640000</v>
      </c>
      <c r="F165" s="43">
        <v>0</v>
      </c>
      <c r="G165" s="21">
        <v>0</v>
      </c>
      <c r="H165" s="43">
        <v>0</v>
      </c>
      <c r="I165" s="36"/>
      <c r="J165" s="20"/>
      <c r="K165" s="1">
        <f>E165*F165</f>
        <v>0</v>
      </c>
    </row>
    <row r="166" spans="1:11" ht="30.75" customHeight="1" x14ac:dyDescent="0.25">
      <c r="A166" s="29"/>
      <c r="B166" s="30"/>
      <c r="C166" s="15"/>
      <c r="D166" s="66" t="s">
        <v>101</v>
      </c>
      <c r="E166" s="21">
        <v>1635097968</v>
      </c>
      <c r="F166" s="43">
        <v>0</v>
      </c>
      <c r="G166" s="21">
        <v>0</v>
      </c>
      <c r="H166" s="43">
        <v>0</v>
      </c>
      <c r="I166" s="36"/>
      <c r="J166" s="20"/>
      <c r="K166" s="1">
        <f>E166*F166</f>
        <v>0</v>
      </c>
    </row>
    <row r="167" spans="1:11" x14ac:dyDescent="0.25">
      <c r="A167" s="29"/>
      <c r="B167" s="30"/>
      <c r="C167" s="32" t="s">
        <v>33</v>
      </c>
      <c r="D167" s="18"/>
      <c r="E167" s="19"/>
      <c r="F167" s="76"/>
      <c r="G167" s="19"/>
      <c r="H167" s="76"/>
      <c r="I167" s="19"/>
      <c r="J167" s="50"/>
    </row>
    <row r="168" spans="1:11" ht="54.75" customHeight="1" x14ac:dyDescent="0.25">
      <c r="A168" s="29"/>
      <c r="B168" s="30"/>
      <c r="C168" s="15"/>
      <c r="D168" s="64" t="s">
        <v>99</v>
      </c>
      <c r="E168" s="21"/>
      <c r="F168" s="44"/>
      <c r="G168" s="21"/>
      <c r="H168" s="77"/>
      <c r="I168" s="36"/>
      <c r="J168" s="20"/>
    </row>
    <row r="169" spans="1:11" ht="36" customHeight="1" x14ac:dyDescent="0.25">
      <c r="A169" s="29"/>
      <c r="B169" s="30"/>
      <c r="C169" s="15"/>
      <c r="D169" s="65" t="s">
        <v>261</v>
      </c>
      <c r="E169" s="21"/>
      <c r="F169" s="44"/>
      <c r="G169" s="21"/>
      <c r="H169" s="77"/>
      <c r="I169" s="36"/>
      <c r="J169" s="20"/>
    </row>
    <row r="170" spans="1:11" ht="30" x14ac:dyDescent="0.25">
      <c r="A170" s="29"/>
      <c r="B170" s="30"/>
      <c r="C170" s="15"/>
      <c r="D170" s="66" t="s">
        <v>100</v>
      </c>
      <c r="E170" s="21">
        <v>2835640000</v>
      </c>
      <c r="F170" s="43">
        <v>0</v>
      </c>
      <c r="G170" s="21">
        <v>0</v>
      </c>
      <c r="H170" s="43">
        <v>0</v>
      </c>
      <c r="I170" s="36"/>
      <c r="J170" s="20"/>
      <c r="K170" s="1">
        <f>E170*F170</f>
        <v>0</v>
      </c>
    </row>
    <row r="171" spans="1:11" ht="30.75" customHeight="1" x14ac:dyDescent="0.25">
      <c r="A171" s="29"/>
      <c r="B171" s="30"/>
      <c r="C171" s="15"/>
      <c r="D171" s="66" t="s">
        <v>101</v>
      </c>
      <c r="E171" s="21">
        <v>1719529440</v>
      </c>
      <c r="F171" s="43">
        <v>0</v>
      </c>
      <c r="G171" s="21">
        <v>0</v>
      </c>
      <c r="H171" s="43">
        <v>0</v>
      </c>
      <c r="I171" s="36"/>
      <c r="J171" s="20"/>
      <c r="K171" s="1">
        <f>E171*F171</f>
        <v>0</v>
      </c>
    </row>
    <row r="172" spans="1:11" x14ac:dyDescent="0.25">
      <c r="A172" s="29"/>
      <c r="B172" s="30"/>
      <c r="C172" s="32" t="s">
        <v>34</v>
      </c>
      <c r="D172" s="18"/>
      <c r="E172" s="19"/>
      <c r="F172" s="76"/>
      <c r="G172" s="19"/>
      <c r="H172" s="76"/>
      <c r="I172" s="19"/>
      <c r="J172" s="50"/>
    </row>
    <row r="173" spans="1:11" ht="48.75" customHeight="1" x14ac:dyDescent="0.25">
      <c r="A173" s="29"/>
      <c r="B173" s="30"/>
      <c r="C173" s="15"/>
      <c r="D173" s="64" t="s">
        <v>99</v>
      </c>
      <c r="E173" s="21"/>
      <c r="F173" s="44"/>
      <c r="G173" s="21"/>
      <c r="H173" s="77"/>
      <c r="I173" s="36"/>
      <c r="J173" s="20"/>
    </row>
    <row r="174" spans="1:11" ht="32.25" customHeight="1" x14ac:dyDescent="0.25">
      <c r="A174" s="29"/>
      <c r="B174" s="30"/>
      <c r="C174" s="15"/>
      <c r="D174" s="65" t="s">
        <v>261</v>
      </c>
      <c r="E174" s="21"/>
      <c r="F174" s="44"/>
      <c r="G174" s="21"/>
      <c r="H174" s="77"/>
      <c r="I174" s="36"/>
      <c r="J174" s="20"/>
    </row>
    <row r="175" spans="1:11" ht="30" x14ac:dyDescent="0.25">
      <c r="A175" s="29"/>
      <c r="B175" s="30"/>
      <c r="C175" s="15"/>
      <c r="D175" s="66" t="s">
        <v>100</v>
      </c>
      <c r="E175" s="21">
        <v>1500900000</v>
      </c>
      <c r="F175" s="43">
        <v>0</v>
      </c>
      <c r="G175" s="21">
        <v>0</v>
      </c>
      <c r="H175" s="43">
        <v>0</v>
      </c>
      <c r="I175" s="36"/>
      <c r="J175" s="20"/>
      <c r="K175" s="1">
        <f>E175*F175</f>
        <v>0</v>
      </c>
    </row>
    <row r="176" spans="1:11" ht="30.75" customHeight="1" x14ac:dyDescent="0.25">
      <c r="A176" s="29"/>
      <c r="B176" s="30"/>
      <c r="C176" s="15"/>
      <c r="D176" s="66" t="s">
        <v>101</v>
      </c>
      <c r="E176" s="21">
        <v>912690456</v>
      </c>
      <c r="F176" s="43">
        <v>0</v>
      </c>
      <c r="G176" s="21">
        <v>0</v>
      </c>
      <c r="H176" s="43">
        <v>0</v>
      </c>
      <c r="I176" s="36"/>
      <c r="J176" s="20"/>
      <c r="K176" s="1">
        <f>E176*F176</f>
        <v>0</v>
      </c>
    </row>
    <row r="177" spans="1:11" x14ac:dyDescent="0.25">
      <c r="A177" s="29"/>
      <c r="B177" s="30"/>
      <c r="C177" s="31" t="s">
        <v>35</v>
      </c>
      <c r="D177" s="16"/>
      <c r="E177" s="17"/>
      <c r="F177" s="17"/>
      <c r="G177" s="17"/>
      <c r="H177" s="17"/>
      <c r="I177" s="17"/>
      <c r="J177" s="49"/>
    </row>
    <row r="178" spans="1:11" x14ac:dyDescent="0.25">
      <c r="A178" s="29"/>
      <c r="B178" s="30"/>
      <c r="C178" s="32" t="s">
        <v>129</v>
      </c>
      <c r="D178" s="18"/>
      <c r="E178" s="19"/>
      <c r="F178" s="19"/>
      <c r="G178" s="19"/>
      <c r="H178" s="19"/>
      <c r="I178" s="19"/>
      <c r="J178" s="50"/>
    </row>
    <row r="179" spans="1:11" ht="51" customHeight="1" x14ac:dyDescent="0.25">
      <c r="A179" s="29"/>
      <c r="B179" s="30"/>
      <c r="C179" s="15"/>
      <c r="D179" s="64" t="s">
        <v>99</v>
      </c>
      <c r="E179" s="21"/>
      <c r="F179" s="22"/>
      <c r="G179" s="21"/>
      <c r="H179" s="22"/>
      <c r="I179" s="22"/>
      <c r="J179" s="20"/>
    </row>
    <row r="180" spans="1:11" ht="36" customHeight="1" x14ac:dyDescent="0.25">
      <c r="A180" s="29"/>
      <c r="B180" s="30"/>
      <c r="C180" s="15"/>
      <c r="D180" s="65" t="s">
        <v>261</v>
      </c>
      <c r="E180" s="21"/>
      <c r="F180" s="22"/>
      <c r="G180" s="21"/>
      <c r="H180" s="22"/>
      <c r="I180" s="22"/>
      <c r="J180" s="20"/>
    </row>
    <row r="181" spans="1:11" ht="30" x14ac:dyDescent="0.25">
      <c r="A181" s="29"/>
      <c r="B181" s="30"/>
      <c r="C181" s="15"/>
      <c r="D181" s="66" t="s">
        <v>100</v>
      </c>
      <c r="E181" s="21">
        <v>2975640000</v>
      </c>
      <c r="F181" s="43">
        <v>0</v>
      </c>
      <c r="G181" s="21">
        <v>0</v>
      </c>
      <c r="H181" s="43">
        <v>0</v>
      </c>
      <c r="I181" s="36"/>
      <c r="J181" s="20"/>
      <c r="K181" s="1">
        <f>E181*F181</f>
        <v>0</v>
      </c>
    </row>
    <row r="182" spans="1:11" ht="30.75" customHeight="1" x14ac:dyDescent="0.25">
      <c r="A182" s="29"/>
      <c r="B182" s="30"/>
      <c r="C182" s="15"/>
      <c r="D182" s="66" t="s">
        <v>101</v>
      </c>
      <c r="E182" s="21">
        <v>1803960912</v>
      </c>
      <c r="F182" s="43">
        <v>0</v>
      </c>
      <c r="G182" s="21">
        <v>0</v>
      </c>
      <c r="H182" s="43">
        <v>0</v>
      </c>
      <c r="I182" s="36"/>
      <c r="J182" s="20"/>
      <c r="K182" s="1">
        <f>E182*F182</f>
        <v>0</v>
      </c>
    </row>
    <row r="183" spans="1:11" x14ac:dyDescent="0.25">
      <c r="A183" s="29"/>
      <c r="B183" s="30"/>
      <c r="C183" s="32" t="s">
        <v>36</v>
      </c>
      <c r="D183" s="18"/>
      <c r="E183" s="40"/>
      <c r="F183" s="76"/>
      <c r="G183" s="40"/>
      <c r="H183" s="76"/>
      <c r="I183" s="19"/>
      <c r="J183" s="50"/>
    </row>
    <row r="184" spans="1:11" ht="47.25" customHeight="1" x14ac:dyDescent="0.25">
      <c r="A184" s="29"/>
      <c r="B184" s="30"/>
      <c r="C184" s="15"/>
      <c r="D184" s="64" t="s">
        <v>99</v>
      </c>
      <c r="E184" s="21"/>
      <c r="F184" s="44"/>
      <c r="G184" s="21"/>
      <c r="H184" s="77"/>
      <c r="I184" s="36"/>
      <c r="J184" s="20"/>
    </row>
    <row r="185" spans="1:11" ht="31.5" customHeight="1" x14ac:dyDescent="0.25">
      <c r="A185" s="29"/>
      <c r="B185" s="30"/>
      <c r="C185" s="15"/>
      <c r="D185" s="65" t="s">
        <v>261</v>
      </c>
      <c r="E185" s="21"/>
      <c r="F185" s="44"/>
      <c r="G185" s="21"/>
      <c r="H185" s="77"/>
      <c r="I185" s="36"/>
      <c r="J185" s="20"/>
    </row>
    <row r="186" spans="1:11" ht="30" x14ac:dyDescent="0.25">
      <c r="A186" s="29"/>
      <c r="B186" s="30"/>
      <c r="C186" s="15"/>
      <c r="D186" s="66" t="s">
        <v>100</v>
      </c>
      <c r="E186" s="21">
        <v>2695640000</v>
      </c>
      <c r="F186" s="43">
        <v>0</v>
      </c>
      <c r="G186" s="21">
        <v>0</v>
      </c>
      <c r="H186" s="43">
        <v>0</v>
      </c>
      <c r="I186" s="36"/>
      <c r="J186" s="20"/>
      <c r="K186" s="1">
        <f>E186*F186</f>
        <v>0</v>
      </c>
    </row>
    <row r="187" spans="1:11" ht="33" customHeight="1" x14ac:dyDescent="0.25">
      <c r="A187" s="29"/>
      <c r="B187" s="30"/>
      <c r="C187" s="15"/>
      <c r="D187" s="66" t="s">
        <v>101</v>
      </c>
      <c r="E187" s="21">
        <v>1635097968</v>
      </c>
      <c r="F187" s="43">
        <v>0</v>
      </c>
      <c r="G187" s="21">
        <v>0</v>
      </c>
      <c r="H187" s="43">
        <v>0</v>
      </c>
      <c r="I187" s="36"/>
      <c r="J187" s="20"/>
      <c r="K187" s="1">
        <f>E187*F187</f>
        <v>0</v>
      </c>
    </row>
    <row r="188" spans="1:11" x14ac:dyDescent="0.25">
      <c r="A188" s="29"/>
      <c r="B188" s="30"/>
      <c r="C188" s="32" t="s">
        <v>37</v>
      </c>
      <c r="D188" s="18"/>
      <c r="E188" s="40"/>
      <c r="F188" s="76"/>
      <c r="G188" s="40"/>
      <c r="H188" s="76"/>
      <c r="I188" s="19"/>
      <c r="J188" s="50"/>
    </row>
    <row r="189" spans="1:11" ht="47.25" customHeight="1" x14ac:dyDescent="0.25">
      <c r="A189" s="29"/>
      <c r="B189" s="30"/>
      <c r="C189" s="15"/>
      <c r="D189" s="64" t="s">
        <v>99</v>
      </c>
      <c r="E189" s="21"/>
      <c r="F189" s="44"/>
      <c r="G189" s="21"/>
      <c r="H189" s="44"/>
      <c r="I189" s="22"/>
      <c r="J189" s="20"/>
    </row>
    <row r="190" spans="1:11" ht="39" customHeight="1" x14ac:dyDescent="0.25">
      <c r="A190" s="29"/>
      <c r="B190" s="30"/>
      <c r="C190" s="15"/>
      <c r="D190" s="65" t="s">
        <v>261</v>
      </c>
      <c r="E190" s="21"/>
      <c r="F190" s="44"/>
      <c r="G190" s="21"/>
      <c r="H190" s="44"/>
      <c r="I190" s="22"/>
      <c r="J190" s="20"/>
    </row>
    <row r="191" spans="1:11" ht="39.75" customHeight="1" x14ac:dyDescent="0.25">
      <c r="A191" s="29"/>
      <c r="B191" s="30"/>
      <c r="C191" s="15"/>
      <c r="D191" s="66" t="s">
        <v>100</v>
      </c>
      <c r="E191" s="21">
        <v>2905640000</v>
      </c>
      <c r="F191" s="43">
        <v>0</v>
      </c>
      <c r="G191" s="21">
        <v>0</v>
      </c>
      <c r="H191" s="43">
        <v>0</v>
      </c>
      <c r="I191" s="159"/>
      <c r="J191" s="20"/>
      <c r="K191" s="1">
        <f>E191*F191</f>
        <v>0</v>
      </c>
    </row>
    <row r="192" spans="1:11" ht="33" customHeight="1" x14ac:dyDescent="0.25">
      <c r="A192" s="29"/>
      <c r="B192" s="30"/>
      <c r="C192" s="15"/>
      <c r="D192" s="66" t="s">
        <v>101</v>
      </c>
      <c r="E192" s="21">
        <v>1761745176</v>
      </c>
      <c r="F192" s="43">
        <v>0</v>
      </c>
      <c r="G192" s="21">
        <v>0</v>
      </c>
      <c r="H192" s="43">
        <v>0</v>
      </c>
      <c r="I192" s="36"/>
      <c r="J192" s="20"/>
      <c r="K192" s="1">
        <f>E192*F192</f>
        <v>0</v>
      </c>
    </row>
    <row r="193" spans="1:11" x14ac:dyDescent="0.25">
      <c r="A193" s="29"/>
      <c r="B193" s="30"/>
      <c r="C193" s="32" t="s">
        <v>38</v>
      </c>
      <c r="D193" s="18"/>
      <c r="E193" s="40"/>
      <c r="F193" s="76"/>
      <c r="G193" s="40"/>
      <c r="H193" s="76"/>
      <c r="I193" s="19"/>
      <c r="J193" s="50"/>
    </row>
    <row r="194" spans="1:11" ht="51" customHeight="1" x14ac:dyDescent="0.25">
      <c r="A194" s="29"/>
      <c r="B194" s="30"/>
      <c r="C194" s="15"/>
      <c r="D194" s="64" t="s">
        <v>99</v>
      </c>
      <c r="E194" s="21"/>
      <c r="F194" s="44"/>
      <c r="G194" s="21"/>
      <c r="H194" s="77"/>
      <c r="I194" s="36"/>
      <c r="J194" s="20"/>
    </row>
    <row r="195" spans="1:11" ht="41.25" customHeight="1" x14ac:dyDescent="0.25">
      <c r="A195" s="29"/>
      <c r="B195" s="30"/>
      <c r="C195" s="15"/>
      <c r="D195" s="65" t="s">
        <v>261</v>
      </c>
      <c r="E195" s="21"/>
      <c r="F195" s="44"/>
      <c r="G195" s="21"/>
      <c r="H195" s="77"/>
      <c r="I195" s="36"/>
      <c r="J195" s="20"/>
    </row>
    <row r="196" spans="1:11" ht="30" x14ac:dyDescent="0.25">
      <c r="A196" s="29"/>
      <c r="B196" s="30"/>
      <c r="C196" s="15"/>
      <c r="D196" s="66" t="s">
        <v>100</v>
      </c>
      <c r="E196" s="21">
        <v>2480900000</v>
      </c>
      <c r="F196" s="43">
        <v>0</v>
      </c>
      <c r="G196" s="21">
        <v>0</v>
      </c>
      <c r="H196" s="43">
        <v>0</v>
      </c>
      <c r="I196" s="159"/>
      <c r="J196" s="20"/>
      <c r="K196" s="1">
        <f>E196*F196</f>
        <v>0</v>
      </c>
    </row>
    <row r="197" spans="1:11" ht="33" customHeight="1" x14ac:dyDescent="0.25">
      <c r="A197" s="29"/>
      <c r="B197" s="30"/>
      <c r="C197" s="15"/>
      <c r="D197" s="66" t="s">
        <v>101</v>
      </c>
      <c r="E197" s="21">
        <v>1508450760</v>
      </c>
      <c r="F197" s="43">
        <v>0</v>
      </c>
      <c r="G197" s="21">
        <v>0</v>
      </c>
      <c r="H197" s="43">
        <v>0</v>
      </c>
      <c r="I197" s="158"/>
      <c r="J197" s="20"/>
      <c r="K197" s="1">
        <f>E197*F197</f>
        <v>0</v>
      </c>
    </row>
    <row r="198" spans="1:11" x14ac:dyDescent="0.25">
      <c r="A198" s="29"/>
      <c r="B198" s="30"/>
      <c r="C198" s="32" t="s">
        <v>39</v>
      </c>
      <c r="D198" s="18"/>
      <c r="E198" s="40"/>
      <c r="F198" s="76"/>
      <c r="G198" s="40"/>
      <c r="H198" s="76"/>
      <c r="I198" s="19"/>
      <c r="J198" s="50"/>
    </row>
    <row r="199" spans="1:11" ht="51" customHeight="1" x14ac:dyDescent="0.25">
      <c r="A199" s="29"/>
      <c r="B199" s="30"/>
      <c r="C199" s="15"/>
      <c r="D199" s="64" t="s">
        <v>99</v>
      </c>
      <c r="E199" s="21"/>
      <c r="F199" s="44"/>
      <c r="G199" s="21"/>
      <c r="H199" s="77"/>
      <c r="I199" s="36"/>
      <c r="J199" s="20"/>
    </row>
    <row r="200" spans="1:11" ht="34.5" customHeight="1" x14ac:dyDescent="0.25">
      <c r="A200" s="29"/>
      <c r="B200" s="30"/>
      <c r="C200" s="15"/>
      <c r="D200" s="65" t="s">
        <v>261</v>
      </c>
      <c r="E200" s="21"/>
      <c r="F200" s="44"/>
      <c r="G200" s="21"/>
      <c r="H200" s="77"/>
      <c r="I200" s="36"/>
      <c r="J200" s="20"/>
    </row>
    <row r="201" spans="1:11" ht="30" x14ac:dyDescent="0.25">
      <c r="A201" s="29"/>
      <c r="B201" s="30"/>
      <c r="C201" s="15"/>
      <c r="D201" s="66" t="s">
        <v>100</v>
      </c>
      <c r="E201" s="21">
        <v>3395640000</v>
      </c>
      <c r="F201" s="43">
        <v>0</v>
      </c>
      <c r="G201" s="21">
        <v>0</v>
      </c>
      <c r="H201" s="43">
        <v>0</v>
      </c>
      <c r="I201" s="36"/>
      <c r="J201" s="20"/>
      <c r="K201" s="1">
        <f>E201*F201</f>
        <v>0</v>
      </c>
    </row>
    <row r="202" spans="1:11" ht="33" customHeight="1" x14ac:dyDescent="0.25">
      <c r="A202" s="29"/>
      <c r="B202" s="30"/>
      <c r="C202" s="15"/>
      <c r="D202" s="66" t="s">
        <v>101</v>
      </c>
      <c r="E202" s="21">
        <v>2057255328</v>
      </c>
      <c r="F202" s="43">
        <v>0</v>
      </c>
      <c r="G202" s="21">
        <v>0</v>
      </c>
      <c r="H202" s="43">
        <v>0</v>
      </c>
      <c r="I202" s="36"/>
      <c r="J202" s="20"/>
      <c r="K202" s="1">
        <f>E202*F202</f>
        <v>0</v>
      </c>
    </row>
    <row r="203" spans="1:11" x14ac:dyDescent="0.25">
      <c r="A203" s="29"/>
      <c r="B203" s="30"/>
      <c r="C203" s="32" t="s">
        <v>40</v>
      </c>
      <c r="D203" s="18"/>
      <c r="E203" s="40"/>
      <c r="F203" s="76"/>
      <c r="G203" s="40"/>
      <c r="H203" s="76"/>
      <c r="I203" s="41"/>
      <c r="J203" s="50"/>
    </row>
    <row r="204" spans="1:11" ht="60" customHeight="1" x14ac:dyDescent="0.25">
      <c r="A204" s="29"/>
      <c r="B204" s="30"/>
      <c r="C204" s="15"/>
      <c r="D204" s="64" t="s">
        <v>99</v>
      </c>
      <c r="E204" s="21"/>
      <c r="F204" s="44"/>
      <c r="G204" s="21"/>
      <c r="H204" s="44"/>
      <c r="I204" s="22"/>
      <c r="J204" s="20"/>
    </row>
    <row r="205" spans="1:11" ht="36" customHeight="1" x14ac:dyDescent="0.25">
      <c r="A205" s="29"/>
      <c r="B205" s="30"/>
      <c r="C205" s="15"/>
      <c r="D205" s="65" t="s">
        <v>261</v>
      </c>
      <c r="E205" s="21"/>
      <c r="F205" s="44"/>
      <c r="G205" s="21"/>
      <c r="H205" s="44"/>
      <c r="I205" s="22"/>
      <c r="J205" s="20"/>
    </row>
    <row r="206" spans="1:11" ht="30" x14ac:dyDescent="0.25">
      <c r="A206" s="29"/>
      <c r="B206" s="30"/>
      <c r="C206" s="15"/>
      <c r="D206" s="66" t="s">
        <v>100</v>
      </c>
      <c r="E206" s="21">
        <v>1430900000</v>
      </c>
      <c r="F206" s="43">
        <v>0</v>
      </c>
      <c r="G206" s="21">
        <v>0</v>
      </c>
      <c r="H206" s="43">
        <v>0</v>
      </c>
      <c r="I206" s="36"/>
      <c r="J206" s="20"/>
      <c r="K206" s="1">
        <f>E206*F206</f>
        <v>0</v>
      </c>
    </row>
    <row r="207" spans="1:11" ht="33" customHeight="1" x14ac:dyDescent="0.25">
      <c r="A207" s="29"/>
      <c r="B207" s="30"/>
      <c r="C207" s="15"/>
      <c r="D207" s="66" t="s">
        <v>101</v>
      </c>
      <c r="E207" s="21">
        <v>870474720</v>
      </c>
      <c r="F207" s="43">
        <v>0</v>
      </c>
      <c r="G207" s="21">
        <v>0</v>
      </c>
      <c r="H207" s="43">
        <v>0</v>
      </c>
      <c r="I207" s="36"/>
      <c r="J207" s="20"/>
      <c r="K207" s="1">
        <f>E207*F207</f>
        <v>0</v>
      </c>
    </row>
    <row r="208" spans="1:11" x14ac:dyDescent="0.25">
      <c r="A208" s="29"/>
      <c r="B208" s="30"/>
      <c r="C208" s="32" t="s">
        <v>41</v>
      </c>
      <c r="D208" s="18"/>
      <c r="E208" s="40"/>
      <c r="F208" s="76"/>
      <c r="G208" s="40"/>
      <c r="H208" s="76"/>
      <c r="I208" s="19"/>
      <c r="J208" s="50"/>
    </row>
    <row r="209" spans="1:11" ht="58.5" customHeight="1" x14ac:dyDescent="0.25">
      <c r="A209" s="29"/>
      <c r="B209" s="30"/>
      <c r="C209" s="15"/>
      <c r="D209" s="64" t="s">
        <v>99</v>
      </c>
      <c r="E209" s="21"/>
      <c r="F209" s="44"/>
      <c r="G209" s="21"/>
      <c r="H209" s="77"/>
      <c r="I209" s="36"/>
      <c r="J209" s="20"/>
    </row>
    <row r="210" spans="1:11" ht="35.25" customHeight="1" x14ac:dyDescent="0.25">
      <c r="A210" s="29"/>
      <c r="B210" s="30"/>
      <c r="C210" s="15"/>
      <c r="D210" s="65" t="s">
        <v>261</v>
      </c>
      <c r="E210" s="21"/>
      <c r="F210" s="44"/>
      <c r="G210" s="21"/>
      <c r="H210" s="77"/>
      <c r="I210" s="36"/>
      <c r="J210" s="20"/>
    </row>
    <row r="211" spans="1:11" ht="30" x14ac:dyDescent="0.25">
      <c r="A211" s="29"/>
      <c r="B211" s="30"/>
      <c r="C211" s="15"/>
      <c r="D211" s="66" t="s">
        <v>100</v>
      </c>
      <c r="E211" s="21">
        <v>5850440000</v>
      </c>
      <c r="F211" s="43">
        <v>0</v>
      </c>
      <c r="G211" s="21">
        <v>0</v>
      </c>
      <c r="H211" s="43">
        <v>0</v>
      </c>
      <c r="I211" s="36"/>
      <c r="J211" s="20"/>
      <c r="K211" s="1">
        <f>E211*F211</f>
        <v>0</v>
      </c>
    </row>
    <row r="212" spans="1:11" ht="33" customHeight="1" x14ac:dyDescent="0.25">
      <c r="A212" s="29"/>
      <c r="B212" s="30"/>
      <c r="C212" s="15"/>
      <c r="D212" s="66" t="s">
        <v>101</v>
      </c>
      <c r="E212" s="21">
        <v>3539546088</v>
      </c>
      <c r="F212" s="43">
        <v>0</v>
      </c>
      <c r="G212" s="21">
        <v>0</v>
      </c>
      <c r="H212" s="43">
        <v>0</v>
      </c>
      <c r="I212" s="36"/>
      <c r="J212" s="20"/>
      <c r="K212" s="1">
        <f>E212*F212</f>
        <v>0</v>
      </c>
    </row>
    <row r="213" spans="1:11" x14ac:dyDescent="0.25">
      <c r="A213" s="29"/>
      <c r="B213" s="30"/>
      <c r="C213" s="31" t="s">
        <v>42</v>
      </c>
      <c r="D213" s="16"/>
      <c r="E213" s="17"/>
      <c r="F213" s="17"/>
      <c r="G213" s="17"/>
      <c r="H213" s="17"/>
      <c r="I213" s="17"/>
      <c r="J213" s="49"/>
    </row>
    <row r="214" spans="1:11" x14ac:dyDescent="0.25">
      <c r="A214" s="29"/>
      <c r="B214" s="30"/>
      <c r="C214" s="32" t="s">
        <v>43</v>
      </c>
      <c r="D214" s="18"/>
      <c r="E214" s="19"/>
      <c r="F214" s="19"/>
      <c r="G214" s="19"/>
      <c r="H214" s="19"/>
      <c r="I214" s="19"/>
      <c r="J214" s="50"/>
    </row>
    <row r="215" spans="1:11" ht="50.25" customHeight="1" x14ac:dyDescent="0.25">
      <c r="A215" s="29"/>
      <c r="B215" s="30"/>
      <c r="C215" s="15"/>
      <c r="D215" s="64" t="s">
        <v>99</v>
      </c>
      <c r="E215" s="21"/>
      <c r="F215" s="22"/>
      <c r="G215" s="21"/>
      <c r="H215" s="22"/>
      <c r="I215" s="22"/>
      <c r="J215" s="20"/>
    </row>
    <row r="216" spans="1:11" ht="36" customHeight="1" x14ac:dyDescent="0.25">
      <c r="A216" s="29"/>
      <c r="B216" s="30"/>
      <c r="C216" s="15"/>
      <c r="D216" s="65" t="s">
        <v>261</v>
      </c>
      <c r="E216" s="21"/>
      <c r="F216" s="22"/>
      <c r="G216" s="21"/>
      <c r="H216" s="22"/>
      <c r="I216" s="22"/>
      <c r="J216" s="20"/>
    </row>
    <row r="217" spans="1:11" ht="30" x14ac:dyDescent="0.25">
      <c r="A217" s="29"/>
      <c r="B217" s="30"/>
      <c r="C217" s="15"/>
      <c r="D217" s="66" t="s">
        <v>100</v>
      </c>
      <c r="E217" s="21">
        <v>2835640000</v>
      </c>
      <c r="F217" s="43">
        <v>0</v>
      </c>
      <c r="G217" s="21">
        <v>0</v>
      </c>
      <c r="H217" s="43">
        <v>0</v>
      </c>
      <c r="I217" s="36"/>
      <c r="J217" s="20"/>
      <c r="K217" s="1">
        <f>E217*F217</f>
        <v>0</v>
      </c>
    </row>
    <row r="218" spans="1:11" ht="36.75" customHeight="1" x14ac:dyDescent="0.25">
      <c r="A218" s="29"/>
      <c r="B218" s="30"/>
      <c r="C218" s="15"/>
      <c r="D218" s="66" t="s">
        <v>101</v>
      </c>
      <c r="E218" s="21">
        <v>1719529440</v>
      </c>
      <c r="F218" s="43">
        <v>0</v>
      </c>
      <c r="G218" s="21">
        <v>0</v>
      </c>
      <c r="H218" s="43">
        <v>0</v>
      </c>
      <c r="I218" s="36"/>
      <c r="J218" s="20"/>
      <c r="K218" s="1">
        <f>E218*F218</f>
        <v>0</v>
      </c>
    </row>
    <row r="219" spans="1:11" ht="17.25" customHeight="1" x14ac:dyDescent="0.25">
      <c r="A219" s="29"/>
      <c r="B219" s="30"/>
      <c r="C219" s="32" t="s">
        <v>44</v>
      </c>
      <c r="D219" s="18"/>
      <c r="E219" s="40"/>
      <c r="F219" s="76"/>
      <c r="G219" s="19"/>
      <c r="H219" s="76"/>
      <c r="I219" s="19"/>
      <c r="J219" s="50"/>
    </row>
    <row r="220" spans="1:11" ht="50.25" customHeight="1" x14ac:dyDescent="0.25">
      <c r="A220" s="29"/>
      <c r="B220" s="30"/>
      <c r="C220" s="15"/>
      <c r="D220" s="64" t="s">
        <v>99</v>
      </c>
      <c r="E220" s="21"/>
      <c r="F220" s="44"/>
      <c r="G220" s="21"/>
      <c r="H220" s="77"/>
      <c r="I220" s="36"/>
      <c r="J220" s="20"/>
    </row>
    <row r="221" spans="1:11" ht="39" customHeight="1" x14ac:dyDescent="0.25">
      <c r="A221" s="29"/>
      <c r="B221" s="30"/>
      <c r="C221" s="15"/>
      <c r="D221" s="65" t="s">
        <v>261</v>
      </c>
      <c r="E221" s="21"/>
      <c r="F221" s="44"/>
      <c r="G221" s="21"/>
      <c r="H221" s="77"/>
      <c r="I221" s="36"/>
      <c r="J221" s="20"/>
    </row>
    <row r="222" spans="1:11" ht="30" x14ac:dyDescent="0.25">
      <c r="A222" s="29"/>
      <c r="B222" s="30"/>
      <c r="C222" s="15"/>
      <c r="D222" s="66" t="s">
        <v>100</v>
      </c>
      <c r="E222" s="21">
        <v>2835640000</v>
      </c>
      <c r="F222" s="43">
        <v>0</v>
      </c>
      <c r="G222" s="21">
        <v>0</v>
      </c>
      <c r="H222" s="43">
        <v>0</v>
      </c>
      <c r="I222" s="36"/>
      <c r="J222" s="20"/>
      <c r="K222" s="1">
        <f>E222*F222</f>
        <v>0</v>
      </c>
    </row>
    <row r="223" spans="1:11" ht="36.75" customHeight="1" x14ac:dyDescent="0.25">
      <c r="A223" s="29"/>
      <c r="B223" s="30"/>
      <c r="C223" s="15"/>
      <c r="D223" s="66" t="s">
        <v>101</v>
      </c>
      <c r="E223" s="21">
        <v>1719529440</v>
      </c>
      <c r="F223" s="43">
        <v>0</v>
      </c>
      <c r="G223" s="21">
        <v>0</v>
      </c>
      <c r="H223" s="43">
        <v>0</v>
      </c>
      <c r="I223" s="36"/>
      <c r="J223" s="20"/>
      <c r="K223" s="1">
        <f>E223*F223</f>
        <v>0</v>
      </c>
    </row>
    <row r="224" spans="1:11" ht="18.75" customHeight="1" x14ac:dyDescent="0.25">
      <c r="A224" s="29"/>
      <c r="B224" s="30"/>
      <c r="C224" s="32" t="s">
        <v>45</v>
      </c>
      <c r="D224" s="18"/>
      <c r="E224" s="40"/>
      <c r="F224" s="76"/>
      <c r="G224" s="19"/>
      <c r="H224" s="76"/>
      <c r="I224" s="19"/>
      <c r="J224" s="50"/>
    </row>
    <row r="225" spans="1:11" ht="48.75" customHeight="1" x14ac:dyDescent="0.25">
      <c r="A225" s="29"/>
      <c r="B225" s="30"/>
      <c r="C225" s="15"/>
      <c r="D225" s="64" t="s">
        <v>99</v>
      </c>
      <c r="E225" s="21"/>
      <c r="F225" s="44"/>
      <c r="G225" s="21"/>
      <c r="H225" s="77"/>
      <c r="I225" s="36"/>
      <c r="J225" s="20"/>
    </row>
    <row r="226" spans="1:11" ht="37.5" customHeight="1" x14ac:dyDescent="0.25">
      <c r="A226" s="29"/>
      <c r="B226" s="30"/>
      <c r="C226" s="15"/>
      <c r="D226" s="65" t="s">
        <v>261</v>
      </c>
      <c r="E226" s="21"/>
      <c r="F226" s="44"/>
      <c r="G226" s="21"/>
      <c r="H226" s="77"/>
      <c r="I226" s="36"/>
      <c r="J226" s="20"/>
    </row>
    <row r="227" spans="1:11" ht="30" x14ac:dyDescent="0.25">
      <c r="A227" s="29"/>
      <c r="B227" s="30"/>
      <c r="C227" s="15"/>
      <c r="D227" s="66" t="s">
        <v>100</v>
      </c>
      <c r="E227" s="21">
        <v>1920900000</v>
      </c>
      <c r="F227" s="43">
        <v>0</v>
      </c>
      <c r="G227" s="21">
        <v>0</v>
      </c>
      <c r="H227" s="43">
        <v>0</v>
      </c>
      <c r="I227" s="36"/>
      <c r="J227" s="20"/>
      <c r="K227" s="1">
        <f>E227*F227</f>
        <v>0</v>
      </c>
    </row>
    <row r="228" spans="1:11" ht="36.75" customHeight="1" x14ac:dyDescent="0.25">
      <c r="A228" s="29"/>
      <c r="B228" s="30"/>
      <c r="C228" s="15"/>
      <c r="D228" s="66" t="s">
        <v>101</v>
      </c>
      <c r="E228" s="21">
        <v>1165984872</v>
      </c>
      <c r="F228" s="43">
        <v>0</v>
      </c>
      <c r="G228" s="21">
        <v>0</v>
      </c>
      <c r="H228" s="43">
        <v>0</v>
      </c>
      <c r="I228" s="36"/>
      <c r="J228" s="20"/>
      <c r="K228" s="1">
        <f>E228*F228</f>
        <v>0</v>
      </c>
    </row>
    <row r="229" spans="1:11" x14ac:dyDescent="0.25">
      <c r="A229" s="29"/>
      <c r="B229" s="30"/>
      <c r="C229" s="32" t="s">
        <v>46</v>
      </c>
      <c r="D229" s="18"/>
      <c r="E229" s="40"/>
      <c r="F229" s="76"/>
      <c r="G229" s="40"/>
      <c r="H229" s="76"/>
      <c r="I229" s="41"/>
      <c r="J229" s="50"/>
    </row>
    <row r="230" spans="1:11" ht="52.5" customHeight="1" x14ac:dyDescent="0.25">
      <c r="A230" s="29"/>
      <c r="B230" s="30"/>
      <c r="C230" s="15"/>
      <c r="D230" s="64" t="s">
        <v>99</v>
      </c>
      <c r="E230" s="21"/>
      <c r="F230" s="44"/>
      <c r="G230" s="21"/>
      <c r="H230" s="44"/>
      <c r="I230" s="22"/>
      <c r="J230" s="20"/>
    </row>
    <row r="231" spans="1:11" ht="33.75" customHeight="1" x14ac:dyDescent="0.25">
      <c r="A231" s="29"/>
      <c r="B231" s="30"/>
      <c r="C231" s="15"/>
      <c r="D231" s="65" t="s">
        <v>261</v>
      </c>
      <c r="E231" s="21"/>
      <c r="F231" s="44"/>
      <c r="G231" s="21"/>
      <c r="H231" s="44"/>
      <c r="I231" s="22"/>
      <c r="J231" s="20"/>
    </row>
    <row r="232" spans="1:11" ht="30" x14ac:dyDescent="0.25">
      <c r="A232" s="29"/>
      <c r="B232" s="30"/>
      <c r="C232" s="15"/>
      <c r="D232" s="66" t="s">
        <v>100</v>
      </c>
      <c r="E232" s="21">
        <v>726160000</v>
      </c>
      <c r="F232" s="43">
        <v>0</v>
      </c>
      <c r="G232" s="21">
        <v>0</v>
      </c>
      <c r="H232" s="43">
        <v>0</v>
      </c>
      <c r="I232" s="36"/>
      <c r="J232" s="20"/>
      <c r="K232" s="1">
        <f>E232*F232</f>
        <v>0</v>
      </c>
    </row>
    <row r="233" spans="1:11" ht="36.75" customHeight="1" x14ac:dyDescent="0.25">
      <c r="A233" s="29"/>
      <c r="B233" s="30"/>
      <c r="C233" s="15"/>
      <c r="D233" s="66" t="s">
        <v>101</v>
      </c>
      <c r="E233" s="21">
        <v>444957360</v>
      </c>
      <c r="F233" s="43">
        <v>0</v>
      </c>
      <c r="G233" s="21">
        <v>0</v>
      </c>
      <c r="H233" s="43">
        <v>0</v>
      </c>
      <c r="I233" s="36"/>
      <c r="J233" s="20"/>
      <c r="K233" s="1">
        <f>E233*F233</f>
        <v>0</v>
      </c>
    </row>
    <row r="234" spans="1:11" x14ac:dyDescent="0.25">
      <c r="A234" s="29"/>
      <c r="B234" s="30"/>
      <c r="C234" s="32" t="s">
        <v>47</v>
      </c>
      <c r="D234" s="18"/>
      <c r="E234" s="40"/>
      <c r="F234" s="76"/>
      <c r="G234" s="40"/>
      <c r="H234" s="76"/>
      <c r="I234" s="19"/>
      <c r="J234" s="50"/>
    </row>
    <row r="235" spans="1:11" ht="46.5" customHeight="1" x14ac:dyDescent="0.25">
      <c r="A235" s="29"/>
      <c r="B235" s="30"/>
      <c r="C235" s="15"/>
      <c r="D235" s="64" t="s">
        <v>99</v>
      </c>
      <c r="E235" s="21"/>
      <c r="F235" s="44"/>
      <c r="G235" s="21"/>
      <c r="H235" s="77"/>
      <c r="I235" s="36"/>
      <c r="J235" s="20"/>
    </row>
    <row r="236" spans="1:11" ht="33.75" customHeight="1" x14ac:dyDescent="0.25">
      <c r="A236" s="29"/>
      <c r="B236" s="30"/>
      <c r="C236" s="15"/>
      <c r="D236" s="65" t="s">
        <v>261</v>
      </c>
      <c r="E236" s="21"/>
      <c r="F236" s="44"/>
      <c r="G236" s="21"/>
      <c r="H236" s="77"/>
      <c r="I236" s="36"/>
      <c r="J236" s="20"/>
    </row>
    <row r="237" spans="1:11" ht="30" x14ac:dyDescent="0.25">
      <c r="A237" s="29"/>
      <c r="B237" s="30"/>
      <c r="C237" s="15"/>
      <c r="D237" s="66" t="s">
        <v>100</v>
      </c>
      <c r="E237" s="21">
        <v>656160000</v>
      </c>
      <c r="F237" s="43">
        <v>0</v>
      </c>
      <c r="G237" s="21">
        <v>0</v>
      </c>
      <c r="H237" s="43">
        <v>0</v>
      </c>
      <c r="I237" s="36"/>
      <c r="J237" s="20"/>
      <c r="K237" s="1">
        <f>E237*F237</f>
        <v>0</v>
      </c>
    </row>
    <row r="238" spans="1:11" ht="36.75" customHeight="1" x14ac:dyDescent="0.25">
      <c r="A238" s="29"/>
      <c r="B238" s="30"/>
      <c r="C238" s="15"/>
      <c r="D238" s="66" t="s">
        <v>101</v>
      </c>
      <c r="E238" s="21">
        <v>402741624</v>
      </c>
      <c r="F238" s="43">
        <v>0</v>
      </c>
      <c r="G238" s="21">
        <v>0</v>
      </c>
      <c r="H238" s="43">
        <v>0</v>
      </c>
      <c r="I238" s="36"/>
      <c r="J238" s="20"/>
      <c r="K238" s="1">
        <f>E238*F238</f>
        <v>0</v>
      </c>
    </row>
    <row r="239" spans="1:11" x14ac:dyDescent="0.25">
      <c r="A239" s="29"/>
      <c r="B239" s="30"/>
      <c r="C239" s="31" t="s">
        <v>48</v>
      </c>
      <c r="D239" s="16"/>
      <c r="E239" s="17"/>
      <c r="F239" s="17"/>
      <c r="G239" s="17"/>
      <c r="H239" s="17"/>
      <c r="I239" s="17"/>
      <c r="J239" s="49"/>
    </row>
    <row r="240" spans="1:11" x14ac:dyDescent="0.25">
      <c r="A240" s="29"/>
      <c r="B240" s="30"/>
      <c r="C240" s="32" t="s">
        <v>130</v>
      </c>
      <c r="D240" s="18"/>
      <c r="E240" s="19"/>
      <c r="F240" s="19"/>
      <c r="G240" s="19"/>
      <c r="H240" s="19"/>
      <c r="I240" s="19"/>
      <c r="J240" s="50"/>
    </row>
    <row r="241" spans="1:11" ht="56.25" customHeight="1" x14ac:dyDescent="0.25">
      <c r="A241" s="29"/>
      <c r="B241" s="30"/>
      <c r="C241" s="15"/>
      <c r="D241" s="64" t="s">
        <v>99</v>
      </c>
      <c r="E241" s="21"/>
      <c r="F241" s="22"/>
      <c r="G241" s="21"/>
      <c r="H241" s="22"/>
      <c r="I241" s="22"/>
      <c r="J241" s="20"/>
    </row>
    <row r="242" spans="1:11" ht="31.5" customHeight="1" x14ac:dyDescent="0.25">
      <c r="A242" s="29"/>
      <c r="B242" s="30"/>
      <c r="C242" s="15"/>
      <c r="D242" s="65" t="s">
        <v>261</v>
      </c>
      <c r="E242" s="21"/>
      <c r="F242" s="22"/>
      <c r="G242" s="21"/>
      <c r="H242" s="22"/>
      <c r="I242" s="22"/>
      <c r="J242" s="20"/>
    </row>
    <row r="243" spans="1:11" ht="30" x14ac:dyDescent="0.25">
      <c r="A243" s="29"/>
      <c r="B243" s="30"/>
      <c r="C243" s="15"/>
      <c r="D243" s="66" t="s">
        <v>100</v>
      </c>
      <c r="E243" s="21">
        <v>2765640000</v>
      </c>
      <c r="F243" s="43">
        <v>0</v>
      </c>
      <c r="G243" s="21">
        <v>0</v>
      </c>
      <c r="H243" s="43">
        <v>0</v>
      </c>
      <c r="I243" s="36"/>
      <c r="J243" s="20"/>
      <c r="K243" s="1">
        <f>E243*F243</f>
        <v>0</v>
      </c>
    </row>
    <row r="244" spans="1:11" x14ac:dyDescent="0.25">
      <c r="A244" s="29"/>
      <c r="B244" s="30"/>
      <c r="C244" s="15"/>
      <c r="D244" s="66" t="s">
        <v>101</v>
      </c>
      <c r="E244" s="21">
        <v>1677313704</v>
      </c>
      <c r="F244" s="43">
        <v>0</v>
      </c>
      <c r="G244" s="21">
        <v>0</v>
      </c>
      <c r="H244" s="43">
        <v>0</v>
      </c>
      <c r="I244" s="159"/>
      <c r="J244" s="20"/>
      <c r="K244" s="1">
        <f>E244*F244</f>
        <v>0</v>
      </c>
    </row>
    <row r="245" spans="1:11" x14ac:dyDescent="0.25">
      <c r="A245" s="29"/>
      <c r="B245" s="30"/>
      <c r="C245" s="32" t="s">
        <v>49</v>
      </c>
      <c r="D245" s="18"/>
      <c r="E245" s="40"/>
      <c r="F245" s="76"/>
      <c r="G245" s="40"/>
      <c r="H245" s="76"/>
      <c r="I245" s="19"/>
      <c r="J245" s="50"/>
    </row>
    <row r="246" spans="1:11" ht="52.5" customHeight="1" x14ac:dyDescent="0.25">
      <c r="A246" s="29"/>
      <c r="B246" s="30"/>
      <c r="C246" s="15"/>
      <c r="D246" s="64" t="s">
        <v>99</v>
      </c>
      <c r="E246" s="21"/>
      <c r="F246" s="44"/>
      <c r="G246" s="21"/>
      <c r="H246" s="77"/>
      <c r="I246" s="36"/>
      <c r="J246" s="20"/>
    </row>
    <row r="247" spans="1:11" ht="36" customHeight="1" x14ac:dyDescent="0.25">
      <c r="A247" s="29"/>
      <c r="B247" s="30"/>
      <c r="C247" s="15"/>
      <c r="D247" s="65" t="s">
        <v>261</v>
      </c>
      <c r="E247" s="21"/>
      <c r="F247" s="44"/>
      <c r="G247" s="21"/>
      <c r="H247" s="77"/>
      <c r="I247" s="36"/>
      <c r="J247" s="20"/>
    </row>
    <row r="248" spans="1:11" ht="30" x14ac:dyDescent="0.25">
      <c r="A248" s="29"/>
      <c r="B248" s="30"/>
      <c r="C248" s="15"/>
      <c r="D248" s="66" t="s">
        <v>100</v>
      </c>
      <c r="E248" s="21">
        <v>8020440000</v>
      </c>
      <c r="F248" s="43">
        <v>0</v>
      </c>
      <c r="G248" s="21">
        <v>0</v>
      </c>
      <c r="H248" s="43">
        <v>0</v>
      </c>
      <c r="I248" s="36"/>
      <c r="J248" s="20"/>
      <c r="K248" s="1">
        <f>E248*F248</f>
        <v>0</v>
      </c>
    </row>
    <row r="249" spans="1:11" ht="37.5" customHeight="1" x14ac:dyDescent="0.25">
      <c r="A249" s="29"/>
      <c r="B249" s="30"/>
      <c r="C249" s="15"/>
      <c r="D249" s="66" t="s">
        <v>101</v>
      </c>
      <c r="E249" s="21">
        <v>4848233904</v>
      </c>
      <c r="F249" s="43">
        <v>0</v>
      </c>
      <c r="G249" s="21">
        <v>0</v>
      </c>
      <c r="H249" s="43">
        <v>0</v>
      </c>
      <c r="I249" s="158"/>
      <c r="J249" s="20"/>
      <c r="K249" s="1">
        <f>E249*F249</f>
        <v>0</v>
      </c>
    </row>
    <row r="250" spans="1:11" x14ac:dyDescent="0.25">
      <c r="A250" s="29"/>
      <c r="B250" s="30"/>
      <c r="C250" s="32" t="s">
        <v>50</v>
      </c>
      <c r="D250" s="18"/>
      <c r="E250" s="40"/>
      <c r="F250" s="76"/>
      <c r="G250" s="40"/>
      <c r="H250" s="76"/>
      <c r="I250" s="19"/>
      <c r="J250" s="50"/>
    </row>
    <row r="251" spans="1:11" ht="56.25" customHeight="1" x14ac:dyDescent="0.25">
      <c r="A251" s="29"/>
      <c r="B251" s="30"/>
      <c r="C251" s="15"/>
      <c r="D251" s="64" t="s">
        <v>99</v>
      </c>
      <c r="E251" s="21"/>
      <c r="F251" s="44"/>
      <c r="G251" s="21"/>
      <c r="H251" s="77"/>
      <c r="I251" s="36"/>
      <c r="J251" s="20"/>
    </row>
    <row r="252" spans="1:11" ht="36" customHeight="1" x14ac:dyDescent="0.25">
      <c r="A252" s="29"/>
      <c r="B252" s="30"/>
      <c r="C252" s="15"/>
      <c r="D252" s="65" t="s">
        <v>261</v>
      </c>
      <c r="E252" s="21"/>
      <c r="F252" s="44"/>
      <c r="G252" s="21"/>
      <c r="H252" s="77"/>
      <c r="I252" s="36"/>
      <c r="J252" s="20"/>
    </row>
    <row r="253" spans="1:11" ht="30" x14ac:dyDescent="0.25">
      <c r="A253" s="29"/>
      <c r="B253" s="30"/>
      <c r="C253" s="15"/>
      <c r="D253" s="66" t="s">
        <v>100</v>
      </c>
      <c r="E253" s="21">
        <v>2060900000</v>
      </c>
      <c r="F253" s="43">
        <v>0</v>
      </c>
      <c r="G253" s="21">
        <v>0</v>
      </c>
      <c r="H253" s="43">
        <v>0</v>
      </c>
      <c r="I253" s="159"/>
      <c r="J253" s="20"/>
      <c r="K253" s="1">
        <f>E253*F253</f>
        <v>0</v>
      </c>
    </row>
    <row r="254" spans="1:11" ht="37.5" customHeight="1" x14ac:dyDescent="0.25">
      <c r="A254" s="29"/>
      <c r="B254" s="30"/>
      <c r="C254" s="15"/>
      <c r="D254" s="66" t="s">
        <v>101</v>
      </c>
      <c r="E254" s="21">
        <v>1250416344</v>
      </c>
      <c r="F254" s="43">
        <v>0</v>
      </c>
      <c r="G254" s="21">
        <v>0</v>
      </c>
      <c r="H254" s="43">
        <v>0</v>
      </c>
      <c r="I254" s="36"/>
      <c r="J254" s="20"/>
      <c r="K254" s="1">
        <f>E254*F254</f>
        <v>0</v>
      </c>
    </row>
    <row r="255" spans="1:11" x14ac:dyDescent="0.25">
      <c r="A255" s="29"/>
      <c r="B255" s="30"/>
      <c r="C255" s="160" t="s">
        <v>262</v>
      </c>
      <c r="D255" s="18"/>
      <c r="E255" s="40"/>
      <c r="F255" s="76"/>
      <c r="G255" s="40"/>
      <c r="H255" s="76"/>
      <c r="I255" s="41"/>
      <c r="J255" s="50"/>
    </row>
    <row r="256" spans="1:11" ht="54" customHeight="1" x14ac:dyDescent="0.25">
      <c r="A256" s="29"/>
      <c r="B256" s="30"/>
      <c r="C256" s="15"/>
      <c r="D256" s="64" t="s">
        <v>99</v>
      </c>
      <c r="E256" s="21"/>
      <c r="F256" s="44"/>
      <c r="G256" s="21"/>
      <c r="H256" s="44"/>
      <c r="I256" s="22"/>
      <c r="J256" s="20"/>
    </row>
    <row r="257" spans="1:11" ht="32.25" customHeight="1" x14ac:dyDescent="0.25">
      <c r="A257" s="29"/>
      <c r="B257" s="30"/>
      <c r="C257" s="15"/>
      <c r="D257" s="65" t="s">
        <v>261</v>
      </c>
      <c r="E257" s="21"/>
      <c r="F257" s="44"/>
      <c r="G257" s="21"/>
      <c r="H257" s="44"/>
      <c r="I257" s="22"/>
      <c r="J257" s="20"/>
    </row>
    <row r="258" spans="1:11" ht="30" x14ac:dyDescent="0.25">
      <c r="A258" s="29"/>
      <c r="B258" s="30"/>
      <c r="C258" s="15"/>
      <c r="D258" s="66" t="s">
        <v>100</v>
      </c>
      <c r="E258" s="21">
        <v>1640900000</v>
      </c>
      <c r="F258" s="43">
        <v>0</v>
      </c>
      <c r="G258" s="21">
        <v>0</v>
      </c>
      <c r="H258" s="43">
        <v>0</v>
      </c>
      <c r="I258" s="159"/>
      <c r="J258" s="20"/>
      <c r="K258" s="1">
        <f>E258*F258</f>
        <v>0</v>
      </c>
    </row>
    <row r="259" spans="1:11" x14ac:dyDescent="0.25">
      <c r="A259" s="29"/>
      <c r="B259" s="30"/>
      <c r="C259" s="15"/>
      <c r="D259" s="66" t="s">
        <v>101</v>
      </c>
      <c r="E259" s="21">
        <v>997121928</v>
      </c>
      <c r="F259" s="43">
        <v>0</v>
      </c>
      <c r="G259" s="21">
        <v>0</v>
      </c>
      <c r="H259" s="43">
        <v>0</v>
      </c>
      <c r="I259" s="159"/>
      <c r="J259" s="20"/>
      <c r="K259" s="1">
        <f>E259*F259</f>
        <v>0</v>
      </c>
    </row>
    <row r="260" spans="1:11" x14ac:dyDescent="0.25">
      <c r="A260" s="29"/>
      <c r="B260" s="30"/>
      <c r="C260" s="32" t="s">
        <v>51</v>
      </c>
      <c r="D260" s="18"/>
      <c r="E260" s="40"/>
      <c r="F260" s="76"/>
      <c r="G260" s="40"/>
      <c r="H260" s="76"/>
      <c r="I260" s="19"/>
      <c r="J260" s="50"/>
    </row>
    <row r="261" spans="1:11" ht="54" customHeight="1" x14ac:dyDescent="0.25">
      <c r="A261" s="29"/>
      <c r="B261" s="30"/>
      <c r="C261" s="15"/>
      <c r="D261" s="64" t="s">
        <v>99</v>
      </c>
      <c r="E261" s="42"/>
      <c r="F261" s="77"/>
      <c r="G261" s="42"/>
      <c r="H261" s="77"/>
      <c r="I261" s="36"/>
      <c r="J261" s="20"/>
    </row>
    <row r="262" spans="1:11" ht="31.5" customHeight="1" x14ac:dyDescent="0.25">
      <c r="A262" s="29"/>
      <c r="B262" s="30"/>
      <c r="C262" s="15"/>
      <c r="D262" s="65" t="s">
        <v>261</v>
      </c>
      <c r="E262" s="42"/>
      <c r="F262" s="77"/>
      <c r="G262" s="42"/>
      <c r="H262" s="77"/>
      <c r="I262" s="36"/>
      <c r="J262" s="20"/>
    </row>
    <row r="263" spans="1:11" ht="30" x14ac:dyDescent="0.25">
      <c r="A263" s="29"/>
      <c r="B263" s="30"/>
      <c r="C263" s="15"/>
      <c r="D263" s="66" t="s">
        <v>100</v>
      </c>
      <c r="E263" s="21">
        <v>3045640000</v>
      </c>
      <c r="F263" s="43">
        <v>0</v>
      </c>
      <c r="G263" s="21">
        <v>0</v>
      </c>
      <c r="H263" s="43">
        <v>0</v>
      </c>
      <c r="I263" s="159"/>
      <c r="J263" s="20"/>
      <c r="K263" s="1">
        <f>E263*F263</f>
        <v>0</v>
      </c>
    </row>
    <row r="264" spans="1:11" ht="39.75" customHeight="1" x14ac:dyDescent="0.25">
      <c r="A264" s="29"/>
      <c r="B264" s="30"/>
      <c r="C264" s="15"/>
      <c r="D264" s="66" t="s">
        <v>101</v>
      </c>
      <c r="E264" s="21">
        <v>1846176648</v>
      </c>
      <c r="F264" s="43">
        <v>0</v>
      </c>
      <c r="G264" s="21">
        <v>0</v>
      </c>
      <c r="H264" s="43">
        <v>0</v>
      </c>
      <c r="I264" s="159"/>
      <c r="J264" s="20"/>
      <c r="K264" s="1">
        <f>E264*F264</f>
        <v>0</v>
      </c>
    </row>
    <row r="265" spans="1:11" x14ac:dyDescent="0.25">
      <c r="A265" s="29"/>
      <c r="B265" s="30"/>
      <c r="C265" s="31" t="s">
        <v>52</v>
      </c>
      <c r="D265" s="16"/>
      <c r="E265" s="17"/>
      <c r="F265" s="17"/>
      <c r="G265" s="17"/>
      <c r="H265" s="17"/>
      <c r="I265" s="17"/>
      <c r="J265" s="49"/>
    </row>
    <row r="266" spans="1:11" x14ac:dyDescent="0.25">
      <c r="A266" s="29"/>
      <c r="B266" s="30"/>
      <c r="C266" s="32" t="s">
        <v>53</v>
      </c>
      <c r="D266" s="18"/>
      <c r="E266" s="19"/>
      <c r="F266" s="19"/>
      <c r="G266" s="19"/>
      <c r="H266" s="19"/>
      <c r="I266" s="19"/>
      <c r="J266" s="50"/>
    </row>
    <row r="267" spans="1:11" ht="50.25" customHeight="1" x14ac:dyDescent="0.25">
      <c r="A267" s="29"/>
      <c r="B267" s="30"/>
      <c r="C267" s="15"/>
      <c r="D267" s="64" t="s">
        <v>99</v>
      </c>
      <c r="E267" s="21"/>
      <c r="F267" s="22"/>
      <c r="G267" s="21"/>
      <c r="H267" s="22"/>
      <c r="I267" s="22"/>
      <c r="J267" s="20"/>
    </row>
    <row r="268" spans="1:11" ht="31.5" customHeight="1" x14ac:dyDescent="0.25">
      <c r="A268" s="29"/>
      <c r="B268" s="30"/>
      <c r="C268" s="15"/>
      <c r="D268" s="65" t="s">
        <v>261</v>
      </c>
      <c r="E268" s="21"/>
      <c r="F268" s="22"/>
      <c r="G268" s="21"/>
      <c r="H268" s="22"/>
      <c r="I268" s="22"/>
      <c r="J268" s="20"/>
    </row>
    <row r="269" spans="1:11" ht="30" x14ac:dyDescent="0.25">
      <c r="A269" s="29"/>
      <c r="B269" s="30"/>
      <c r="C269" s="15"/>
      <c r="D269" s="66" t="s">
        <v>100</v>
      </c>
      <c r="E269" s="21">
        <v>2060900000</v>
      </c>
      <c r="F269" s="43">
        <v>0</v>
      </c>
      <c r="G269" s="21">
        <v>0</v>
      </c>
      <c r="H269" s="43">
        <v>0</v>
      </c>
      <c r="I269" s="36"/>
      <c r="J269" s="20"/>
      <c r="K269" s="1">
        <f>E269*F269</f>
        <v>0</v>
      </c>
    </row>
    <row r="270" spans="1:11" ht="30.75" customHeight="1" x14ac:dyDescent="0.25">
      <c r="A270" s="29"/>
      <c r="B270" s="30"/>
      <c r="C270" s="15"/>
      <c r="D270" s="66" t="s">
        <v>101</v>
      </c>
      <c r="E270" s="21">
        <v>1250416344</v>
      </c>
      <c r="F270" s="43">
        <v>0</v>
      </c>
      <c r="G270" s="21">
        <v>0</v>
      </c>
      <c r="H270" s="43">
        <v>0</v>
      </c>
      <c r="I270" s="36"/>
      <c r="J270" s="20"/>
      <c r="K270" s="1">
        <f>E270*F270</f>
        <v>0</v>
      </c>
    </row>
    <row r="271" spans="1:11" x14ac:dyDescent="0.25">
      <c r="A271" s="29"/>
      <c r="B271" s="30"/>
      <c r="C271" s="32" t="s">
        <v>54</v>
      </c>
      <c r="D271" s="18"/>
      <c r="E271" s="19"/>
      <c r="F271" s="76"/>
      <c r="G271" s="19"/>
      <c r="H271" s="76"/>
      <c r="I271" s="19"/>
      <c r="J271" s="50"/>
    </row>
    <row r="272" spans="1:11" ht="47.25" customHeight="1" x14ac:dyDescent="0.25">
      <c r="A272" s="29"/>
      <c r="B272" s="30"/>
      <c r="C272" s="15"/>
      <c r="D272" s="64" t="s">
        <v>99</v>
      </c>
      <c r="E272" s="21"/>
      <c r="F272" s="44"/>
      <c r="G272" s="21"/>
      <c r="H272" s="77"/>
      <c r="I272" s="36"/>
      <c r="J272" s="20"/>
    </row>
    <row r="273" spans="1:11" ht="35.25" customHeight="1" x14ac:dyDescent="0.25">
      <c r="A273" s="29"/>
      <c r="B273" s="30"/>
      <c r="C273" s="15"/>
      <c r="D273" s="65" t="s">
        <v>261</v>
      </c>
      <c r="E273" s="21"/>
      <c r="F273" s="44"/>
      <c r="G273" s="21"/>
      <c r="H273" s="77"/>
      <c r="I273" s="36"/>
      <c r="J273" s="20"/>
    </row>
    <row r="274" spans="1:11" ht="30" x14ac:dyDescent="0.25">
      <c r="A274" s="29"/>
      <c r="B274" s="30"/>
      <c r="C274" s="15"/>
      <c r="D274" s="66" t="s">
        <v>100</v>
      </c>
      <c r="E274" s="21">
        <v>2270900000</v>
      </c>
      <c r="F274" s="43">
        <v>0</v>
      </c>
      <c r="G274" s="21">
        <v>0</v>
      </c>
      <c r="H274" s="43">
        <v>0</v>
      </c>
      <c r="I274" s="36"/>
      <c r="J274" s="20"/>
      <c r="K274" s="1">
        <f>E274*F274</f>
        <v>0</v>
      </c>
    </row>
    <row r="275" spans="1:11" ht="30.75" customHeight="1" x14ac:dyDescent="0.25">
      <c r="A275" s="29"/>
      <c r="B275" s="30"/>
      <c r="C275" s="15"/>
      <c r="D275" s="66" t="s">
        <v>101</v>
      </c>
      <c r="E275" s="21">
        <v>1377063552</v>
      </c>
      <c r="F275" s="43">
        <v>0</v>
      </c>
      <c r="G275" s="21">
        <v>0</v>
      </c>
      <c r="H275" s="43">
        <v>0</v>
      </c>
      <c r="I275" s="36"/>
      <c r="J275" s="20"/>
      <c r="K275" s="1">
        <f>E275*F275</f>
        <v>0</v>
      </c>
    </row>
    <row r="276" spans="1:11" x14ac:dyDescent="0.25">
      <c r="A276" s="29"/>
      <c r="B276" s="30"/>
      <c r="C276" s="32" t="s">
        <v>55</v>
      </c>
      <c r="D276" s="18"/>
      <c r="E276" s="40"/>
      <c r="F276" s="76"/>
      <c r="G276" s="40"/>
      <c r="H276" s="76"/>
      <c r="I276" s="19"/>
      <c r="J276" s="50"/>
    </row>
    <row r="277" spans="1:11" ht="51" customHeight="1" x14ac:dyDescent="0.25">
      <c r="A277" s="29"/>
      <c r="B277" s="30"/>
      <c r="C277" s="15"/>
      <c r="D277" s="64" t="s">
        <v>99</v>
      </c>
      <c r="E277" s="21"/>
      <c r="F277" s="44"/>
      <c r="G277" s="21"/>
      <c r="H277" s="77"/>
      <c r="I277" s="36"/>
      <c r="J277" s="20"/>
    </row>
    <row r="278" spans="1:11" ht="33.75" customHeight="1" x14ac:dyDescent="0.25">
      <c r="A278" s="29"/>
      <c r="B278" s="30"/>
      <c r="C278" s="15"/>
      <c r="D278" s="65" t="s">
        <v>261</v>
      </c>
      <c r="E278" s="21"/>
      <c r="F278" s="44"/>
      <c r="G278" s="21"/>
      <c r="H278" s="77"/>
      <c r="I278" s="36"/>
      <c r="J278" s="20"/>
    </row>
    <row r="279" spans="1:11" ht="30" x14ac:dyDescent="0.25">
      <c r="A279" s="29"/>
      <c r="B279" s="30"/>
      <c r="C279" s="15"/>
      <c r="D279" s="66" t="s">
        <v>100</v>
      </c>
      <c r="E279" s="21">
        <v>1710900000</v>
      </c>
      <c r="F279" s="43">
        <v>0</v>
      </c>
      <c r="G279" s="21">
        <v>0</v>
      </c>
      <c r="H279" s="43">
        <v>0</v>
      </c>
      <c r="I279" s="36"/>
      <c r="J279" s="20"/>
      <c r="K279" s="1">
        <f>E279*F279</f>
        <v>0</v>
      </c>
    </row>
    <row r="280" spans="1:11" ht="30.75" customHeight="1" x14ac:dyDescent="0.25">
      <c r="A280" s="29"/>
      <c r="B280" s="30"/>
      <c r="C280" s="15"/>
      <c r="D280" s="66" t="s">
        <v>101</v>
      </c>
      <c r="E280" s="21">
        <v>1039337664</v>
      </c>
      <c r="F280" s="43">
        <v>0</v>
      </c>
      <c r="G280" s="21">
        <v>0</v>
      </c>
      <c r="H280" s="43">
        <v>0</v>
      </c>
      <c r="I280" s="36"/>
      <c r="J280" s="20"/>
      <c r="K280" s="1">
        <f>E280*F280</f>
        <v>0</v>
      </c>
    </row>
    <row r="281" spans="1:11" x14ac:dyDescent="0.25">
      <c r="A281" s="29"/>
      <c r="B281" s="30"/>
      <c r="C281" s="32" t="s">
        <v>56</v>
      </c>
      <c r="D281" s="18"/>
      <c r="E281" s="40"/>
      <c r="F281" s="76"/>
      <c r="G281" s="40"/>
      <c r="H281" s="76"/>
      <c r="I281" s="41"/>
      <c r="J281" s="50"/>
    </row>
    <row r="282" spans="1:11" ht="47.25" customHeight="1" x14ac:dyDescent="0.25">
      <c r="A282" s="29"/>
      <c r="B282" s="30"/>
      <c r="C282" s="15"/>
      <c r="D282" s="64" t="s">
        <v>99</v>
      </c>
      <c r="E282" s="21"/>
      <c r="F282" s="44"/>
      <c r="G282" s="21"/>
      <c r="H282" s="44"/>
      <c r="I282" s="22"/>
      <c r="J282" s="20"/>
    </row>
    <row r="283" spans="1:11" ht="33.75" customHeight="1" x14ac:dyDescent="0.25">
      <c r="A283" s="29"/>
      <c r="B283" s="30"/>
      <c r="C283" s="15"/>
      <c r="D283" s="65" t="s">
        <v>261</v>
      </c>
      <c r="E283" s="21"/>
      <c r="F283" s="44"/>
      <c r="G283" s="21"/>
      <c r="H283" s="44"/>
      <c r="I283" s="22"/>
      <c r="J283" s="20"/>
    </row>
    <row r="284" spans="1:11" ht="30" x14ac:dyDescent="0.25">
      <c r="A284" s="29"/>
      <c r="B284" s="30"/>
      <c r="C284" s="15"/>
      <c r="D284" s="66" t="s">
        <v>100</v>
      </c>
      <c r="E284" s="21">
        <v>1360900000</v>
      </c>
      <c r="F284" s="43">
        <v>0</v>
      </c>
      <c r="G284" s="21">
        <v>0</v>
      </c>
      <c r="H284" s="43">
        <v>0</v>
      </c>
      <c r="I284" s="36"/>
      <c r="J284" s="20"/>
      <c r="K284" s="1">
        <f>E284*F284</f>
        <v>0</v>
      </c>
    </row>
    <row r="285" spans="1:11" ht="30.75" customHeight="1" x14ac:dyDescent="0.25">
      <c r="A285" s="29"/>
      <c r="B285" s="30"/>
      <c r="C285" s="15"/>
      <c r="D285" s="66" t="s">
        <v>101</v>
      </c>
      <c r="E285" s="21">
        <v>828258984</v>
      </c>
      <c r="F285" s="43">
        <v>0</v>
      </c>
      <c r="G285" s="21">
        <v>0</v>
      </c>
      <c r="H285" s="43">
        <v>0</v>
      </c>
      <c r="I285" s="36"/>
      <c r="J285" s="20"/>
      <c r="K285" s="1">
        <f>E285*F285</f>
        <v>0</v>
      </c>
    </row>
    <row r="286" spans="1:11" x14ac:dyDescent="0.25">
      <c r="A286" s="29"/>
      <c r="B286" s="30"/>
      <c r="C286" s="32" t="s">
        <v>57</v>
      </c>
      <c r="D286" s="18"/>
      <c r="E286" s="40"/>
      <c r="F286" s="76"/>
      <c r="G286" s="40"/>
      <c r="H286" s="76"/>
      <c r="I286" s="19"/>
      <c r="J286" s="50"/>
    </row>
    <row r="287" spans="1:11" ht="51.75" customHeight="1" x14ac:dyDescent="0.25">
      <c r="A287" s="29"/>
      <c r="B287" s="30"/>
      <c r="C287" s="15"/>
      <c r="D287" s="64" t="s">
        <v>99</v>
      </c>
      <c r="E287" s="21"/>
      <c r="F287" s="44"/>
      <c r="G287" s="21"/>
      <c r="H287" s="77"/>
      <c r="I287" s="36"/>
      <c r="J287" s="20"/>
    </row>
    <row r="288" spans="1:11" ht="37.5" customHeight="1" x14ac:dyDescent="0.25">
      <c r="A288" s="29"/>
      <c r="B288" s="30"/>
      <c r="C288" s="15"/>
      <c r="D288" s="65" t="s">
        <v>261</v>
      </c>
      <c r="E288" s="21"/>
      <c r="F288" s="44"/>
      <c r="G288" s="21"/>
      <c r="H288" s="77"/>
      <c r="I288" s="36"/>
      <c r="J288" s="20"/>
    </row>
    <row r="289" spans="1:11" ht="30" x14ac:dyDescent="0.25">
      <c r="A289" s="29"/>
      <c r="B289" s="30"/>
      <c r="C289" s="15"/>
      <c r="D289" s="66" t="s">
        <v>100</v>
      </c>
      <c r="E289" s="21">
        <v>2625640000</v>
      </c>
      <c r="F289" s="43">
        <v>0</v>
      </c>
      <c r="G289" s="21">
        <v>0</v>
      </c>
      <c r="H289" s="43">
        <v>0</v>
      </c>
      <c r="I289" s="36"/>
      <c r="J289" s="20"/>
      <c r="K289" s="1">
        <f>E289*F289</f>
        <v>0</v>
      </c>
    </row>
    <row r="290" spans="1:11" ht="32.25" customHeight="1" x14ac:dyDescent="0.25">
      <c r="A290" s="29"/>
      <c r="B290" s="30"/>
      <c r="C290" s="15"/>
      <c r="D290" s="66" t="s">
        <v>101</v>
      </c>
      <c r="E290" s="21">
        <v>1592882232</v>
      </c>
      <c r="F290" s="43">
        <v>0</v>
      </c>
      <c r="G290" s="21">
        <v>0</v>
      </c>
      <c r="H290" s="43">
        <v>0</v>
      </c>
      <c r="I290" s="36"/>
      <c r="J290" s="20"/>
      <c r="K290" s="1">
        <f>E290*F290</f>
        <v>0</v>
      </c>
    </row>
    <row r="291" spans="1:11" x14ac:dyDescent="0.25">
      <c r="A291" s="29"/>
      <c r="B291" s="30"/>
      <c r="C291" s="31" t="s">
        <v>58</v>
      </c>
      <c r="D291" s="16"/>
      <c r="E291" s="17"/>
      <c r="F291" s="17"/>
      <c r="G291" s="17"/>
      <c r="H291" s="17"/>
      <c r="I291" s="17"/>
      <c r="J291" s="49"/>
    </row>
    <row r="292" spans="1:11" x14ac:dyDescent="0.25">
      <c r="A292" s="29"/>
      <c r="B292" s="30"/>
      <c r="C292" s="32" t="s">
        <v>59</v>
      </c>
      <c r="D292" s="18"/>
      <c r="E292" s="19"/>
      <c r="F292" s="19"/>
      <c r="G292" s="19"/>
      <c r="H292" s="19"/>
      <c r="I292" s="19"/>
      <c r="J292" s="50"/>
    </row>
    <row r="293" spans="1:11" ht="48.75" customHeight="1" x14ac:dyDescent="0.25">
      <c r="A293" s="29"/>
      <c r="B293" s="30"/>
      <c r="C293" s="15"/>
      <c r="D293" s="64" t="s">
        <v>99</v>
      </c>
      <c r="E293" s="21"/>
      <c r="F293" s="22"/>
      <c r="G293" s="21"/>
      <c r="H293" s="22"/>
      <c r="I293" s="22"/>
      <c r="J293" s="20"/>
    </row>
    <row r="294" spans="1:11" ht="35.25" customHeight="1" x14ac:dyDescent="0.25">
      <c r="A294" s="29"/>
      <c r="B294" s="30"/>
      <c r="C294" s="15"/>
      <c r="D294" s="65" t="s">
        <v>261</v>
      </c>
      <c r="E294" s="21"/>
      <c r="F294" s="22"/>
      <c r="G294" s="21"/>
      <c r="H294" s="22"/>
      <c r="I294" s="22"/>
      <c r="J294" s="20"/>
    </row>
    <row r="295" spans="1:11" ht="30" x14ac:dyDescent="0.25">
      <c r="A295" s="29"/>
      <c r="B295" s="30"/>
      <c r="C295" s="15"/>
      <c r="D295" s="66" t="s">
        <v>100</v>
      </c>
      <c r="E295" s="21">
        <v>2130900000</v>
      </c>
      <c r="F295" s="43">
        <v>0</v>
      </c>
      <c r="G295" s="21">
        <v>0</v>
      </c>
      <c r="H295" s="43">
        <v>0</v>
      </c>
      <c r="I295" s="159"/>
      <c r="J295" s="20"/>
      <c r="K295" s="1">
        <f>E295*F295</f>
        <v>0</v>
      </c>
    </row>
    <row r="296" spans="1:11" ht="31.5" customHeight="1" x14ac:dyDescent="0.25">
      <c r="A296" s="29"/>
      <c r="B296" s="30"/>
      <c r="C296" s="15"/>
      <c r="D296" s="66" t="s">
        <v>101</v>
      </c>
      <c r="E296" s="21">
        <v>1292632080</v>
      </c>
      <c r="F296" s="43">
        <v>0</v>
      </c>
      <c r="G296" s="21">
        <v>0</v>
      </c>
      <c r="H296" s="43">
        <v>0</v>
      </c>
      <c r="I296" s="159"/>
      <c r="J296" s="20"/>
      <c r="K296" s="1">
        <f>E296*F296</f>
        <v>0</v>
      </c>
    </row>
    <row r="297" spans="1:11" x14ac:dyDescent="0.25">
      <c r="A297" s="29"/>
      <c r="B297" s="30"/>
      <c r="C297" s="32" t="s">
        <v>60</v>
      </c>
      <c r="D297" s="18"/>
      <c r="E297" s="40"/>
      <c r="F297" s="79"/>
      <c r="G297" s="40"/>
      <c r="H297" s="76"/>
      <c r="I297" s="19"/>
      <c r="J297" s="50"/>
    </row>
    <row r="298" spans="1:11" ht="47.25" customHeight="1" x14ac:dyDescent="0.25">
      <c r="A298" s="29"/>
      <c r="B298" s="30"/>
      <c r="C298" s="15"/>
      <c r="D298" s="64" t="s">
        <v>99</v>
      </c>
      <c r="E298" s="21"/>
      <c r="F298" s="44"/>
      <c r="G298" s="21"/>
      <c r="H298" s="77"/>
      <c r="I298" s="36"/>
      <c r="J298" s="20"/>
    </row>
    <row r="299" spans="1:11" ht="37.5" customHeight="1" x14ac:dyDescent="0.25">
      <c r="A299" s="29"/>
      <c r="B299" s="30"/>
      <c r="C299" s="15"/>
      <c r="D299" s="65" t="s">
        <v>261</v>
      </c>
      <c r="E299" s="21"/>
      <c r="F299" s="44"/>
      <c r="G299" s="21"/>
      <c r="H299" s="77"/>
      <c r="I299" s="36"/>
      <c r="J299" s="20"/>
    </row>
    <row r="300" spans="1:11" ht="30" x14ac:dyDescent="0.25">
      <c r="A300" s="29"/>
      <c r="B300" s="30"/>
      <c r="C300" s="15"/>
      <c r="D300" s="66" t="s">
        <v>100</v>
      </c>
      <c r="E300" s="21">
        <v>1430900000</v>
      </c>
      <c r="F300" s="43">
        <v>0</v>
      </c>
      <c r="G300" s="21">
        <v>0</v>
      </c>
      <c r="H300" s="43">
        <v>0</v>
      </c>
      <c r="I300" s="159"/>
      <c r="J300" s="20"/>
      <c r="K300" s="1">
        <f>E300*F300</f>
        <v>0</v>
      </c>
    </row>
    <row r="301" spans="1:11" ht="36" customHeight="1" x14ac:dyDescent="0.25">
      <c r="A301" s="29"/>
      <c r="B301" s="30"/>
      <c r="C301" s="15"/>
      <c r="D301" s="66" t="s">
        <v>101</v>
      </c>
      <c r="E301" s="21">
        <v>870474720</v>
      </c>
      <c r="F301" s="43">
        <v>0</v>
      </c>
      <c r="G301" s="21">
        <v>0</v>
      </c>
      <c r="H301" s="43">
        <v>0</v>
      </c>
      <c r="I301" s="159"/>
      <c r="J301" s="20"/>
      <c r="K301" s="1">
        <f>E301*F301</f>
        <v>0</v>
      </c>
    </row>
    <row r="302" spans="1:11" x14ac:dyDescent="0.25">
      <c r="A302" s="29"/>
      <c r="B302" s="30"/>
      <c r="C302" s="32" t="s">
        <v>61</v>
      </c>
      <c r="D302" s="18"/>
      <c r="E302" s="40"/>
      <c r="F302" s="79"/>
      <c r="G302" s="40"/>
      <c r="H302" s="76"/>
      <c r="I302" s="19"/>
      <c r="J302" s="50"/>
    </row>
    <row r="303" spans="1:11" ht="52.5" customHeight="1" x14ac:dyDescent="0.25">
      <c r="A303" s="29"/>
      <c r="B303" s="30"/>
      <c r="C303" s="15"/>
      <c r="D303" s="64" t="s">
        <v>99</v>
      </c>
      <c r="E303" s="21"/>
      <c r="F303" s="44"/>
      <c r="G303" s="21"/>
      <c r="H303" s="77"/>
      <c r="I303" s="36"/>
      <c r="J303" s="20"/>
    </row>
    <row r="304" spans="1:11" ht="33.75" customHeight="1" x14ac:dyDescent="0.25">
      <c r="A304" s="29"/>
      <c r="B304" s="30"/>
      <c r="C304" s="15"/>
      <c r="D304" s="65" t="s">
        <v>261</v>
      </c>
      <c r="E304" s="21"/>
      <c r="F304" s="44"/>
      <c r="G304" s="21"/>
      <c r="H304" s="77"/>
      <c r="I304" s="36"/>
      <c r="J304" s="20"/>
    </row>
    <row r="305" spans="1:11" ht="30" x14ac:dyDescent="0.25">
      <c r="A305" s="29"/>
      <c r="B305" s="30"/>
      <c r="C305" s="15"/>
      <c r="D305" s="66" t="s">
        <v>100</v>
      </c>
      <c r="E305" s="21">
        <v>1430900000</v>
      </c>
      <c r="F305" s="43">
        <v>0</v>
      </c>
      <c r="G305" s="21">
        <v>0</v>
      </c>
      <c r="H305" s="43">
        <v>0</v>
      </c>
      <c r="I305" s="159"/>
      <c r="J305" s="20"/>
      <c r="K305" s="1">
        <f>E305*F305</f>
        <v>0</v>
      </c>
    </row>
    <row r="306" spans="1:11" ht="33.75" customHeight="1" x14ac:dyDescent="0.25">
      <c r="A306" s="29"/>
      <c r="B306" s="30"/>
      <c r="C306" s="15"/>
      <c r="D306" s="66" t="s">
        <v>101</v>
      </c>
      <c r="E306" s="21">
        <v>870474720</v>
      </c>
      <c r="F306" s="43">
        <v>0</v>
      </c>
      <c r="G306" s="21">
        <v>0</v>
      </c>
      <c r="H306" s="43">
        <v>0</v>
      </c>
      <c r="I306" s="159"/>
      <c r="J306" s="20"/>
      <c r="K306" s="1">
        <f>E306*F306</f>
        <v>0</v>
      </c>
    </row>
    <row r="307" spans="1:11" x14ac:dyDescent="0.25">
      <c r="A307" s="29"/>
      <c r="B307" s="30"/>
      <c r="C307" s="32" t="s">
        <v>62</v>
      </c>
      <c r="D307" s="18"/>
      <c r="E307" s="40"/>
      <c r="F307" s="79"/>
      <c r="G307" s="40"/>
      <c r="H307" s="76"/>
      <c r="I307" s="41"/>
      <c r="J307" s="50"/>
    </row>
    <row r="308" spans="1:11" ht="46.5" customHeight="1" x14ac:dyDescent="0.25">
      <c r="A308" s="29"/>
      <c r="B308" s="30"/>
      <c r="C308" s="15"/>
      <c r="D308" s="64" t="s">
        <v>99</v>
      </c>
      <c r="E308" s="21"/>
      <c r="F308" s="44"/>
      <c r="G308" s="21"/>
      <c r="H308" s="44"/>
      <c r="I308" s="22"/>
      <c r="J308" s="20"/>
    </row>
    <row r="309" spans="1:11" ht="31.5" customHeight="1" x14ac:dyDescent="0.25">
      <c r="A309" s="29"/>
      <c r="B309" s="30"/>
      <c r="C309" s="15"/>
      <c r="D309" s="65" t="s">
        <v>261</v>
      </c>
      <c r="E309" s="21"/>
      <c r="F309" s="44"/>
      <c r="G309" s="21"/>
      <c r="H309" s="44"/>
      <c r="I309" s="22"/>
      <c r="J309" s="20"/>
    </row>
    <row r="310" spans="1:11" ht="30" x14ac:dyDescent="0.25">
      <c r="A310" s="29"/>
      <c r="B310" s="30"/>
      <c r="C310" s="15"/>
      <c r="D310" s="66" t="s">
        <v>100</v>
      </c>
      <c r="E310" s="21">
        <v>3045640000</v>
      </c>
      <c r="F310" s="43">
        <v>0</v>
      </c>
      <c r="G310" s="21">
        <v>0</v>
      </c>
      <c r="H310" s="43">
        <v>0</v>
      </c>
      <c r="I310" s="159"/>
      <c r="J310" s="20"/>
      <c r="K310" s="1">
        <f>E310*F310</f>
        <v>0</v>
      </c>
    </row>
    <row r="311" spans="1:11" ht="36" customHeight="1" x14ac:dyDescent="0.25">
      <c r="A311" s="29"/>
      <c r="B311" s="30"/>
      <c r="C311" s="15"/>
      <c r="D311" s="66" t="s">
        <v>101</v>
      </c>
      <c r="E311" s="21">
        <v>1846176648</v>
      </c>
      <c r="F311" s="43">
        <v>0</v>
      </c>
      <c r="G311" s="21">
        <v>0</v>
      </c>
      <c r="H311" s="43">
        <v>0</v>
      </c>
      <c r="I311" s="159"/>
      <c r="J311" s="20"/>
      <c r="K311" s="1">
        <f>E311*F311</f>
        <v>0</v>
      </c>
    </row>
    <row r="312" spans="1:11" x14ac:dyDescent="0.25">
      <c r="A312" s="29"/>
      <c r="B312" s="30"/>
      <c r="C312" s="32" t="s">
        <v>63</v>
      </c>
      <c r="D312" s="18"/>
      <c r="E312" s="40"/>
      <c r="F312" s="79"/>
      <c r="G312" s="40"/>
      <c r="H312" s="76"/>
      <c r="I312" s="19"/>
      <c r="J312" s="50"/>
    </row>
    <row r="313" spans="1:11" ht="52.5" customHeight="1" x14ac:dyDescent="0.25">
      <c r="A313" s="29"/>
      <c r="B313" s="30"/>
      <c r="C313" s="15"/>
      <c r="D313" s="64" t="s">
        <v>99</v>
      </c>
      <c r="E313" s="21"/>
      <c r="F313" s="44"/>
      <c r="G313" s="21"/>
      <c r="H313" s="77"/>
      <c r="I313" s="36"/>
      <c r="J313" s="20"/>
    </row>
    <row r="314" spans="1:11" ht="39" customHeight="1" x14ac:dyDescent="0.25">
      <c r="A314" s="29"/>
      <c r="B314" s="30"/>
      <c r="C314" s="15"/>
      <c r="D314" s="65" t="s">
        <v>261</v>
      </c>
      <c r="E314" s="21"/>
      <c r="F314" s="44"/>
      <c r="G314" s="21"/>
      <c r="H314" s="77"/>
      <c r="I314" s="36"/>
      <c r="J314" s="20"/>
    </row>
    <row r="315" spans="1:11" ht="30" x14ac:dyDescent="0.25">
      <c r="A315" s="29"/>
      <c r="B315" s="30"/>
      <c r="C315" s="15"/>
      <c r="D315" s="66" t="s">
        <v>100</v>
      </c>
      <c r="E315" s="21">
        <v>2060900000</v>
      </c>
      <c r="F315" s="43">
        <v>0</v>
      </c>
      <c r="G315" s="21">
        <v>0</v>
      </c>
      <c r="H315" s="43">
        <v>0</v>
      </c>
      <c r="I315" s="159"/>
      <c r="J315" s="20"/>
      <c r="K315" s="1">
        <f>E315*F315</f>
        <v>0</v>
      </c>
    </row>
    <row r="316" spans="1:11" ht="35.25" customHeight="1" x14ac:dyDescent="0.25">
      <c r="A316" s="29"/>
      <c r="B316" s="30"/>
      <c r="C316" s="15"/>
      <c r="D316" s="66" t="s">
        <v>101</v>
      </c>
      <c r="E316" s="21">
        <v>1255156344</v>
      </c>
      <c r="F316" s="43">
        <v>0</v>
      </c>
      <c r="G316" s="21">
        <v>0</v>
      </c>
      <c r="H316" s="43">
        <v>0</v>
      </c>
      <c r="I316" s="159"/>
      <c r="J316" s="20"/>
      <c r="K316" s="1">
        <f>E316*F316</f>
        <v>0</v>
      </c>
    </row>
    <row r="317" spans="1:11" x14ac:dyDescent="0.25">
      <c r="A317" s="29"/>
      <c r="B317" s="30"/>
      <c r="C317" s="15"/>
      <c r="D317" s="15"/>
      <c r="E317" s="15"/>
      <c r="F317" s="15"/>
      <c r="G317" s="15"/>
      <c r="H317" s="15"/>
      <c r="I317" s="15"/>
      <c r="J317" s="20"/>
    </row>
    <row r="318" spans="1:11" ht="60" x14ac:dyDescent="0.25">
      <c r="A318" s="81">
        <v>2</v>
      </c>
      <c r="B318" s="82" t="s">
        <v>131</v>
      </c>
      <c r="C318" s="83"/>
      <c r="D318" s="83"/>
      <c r="E318" s="84">
        <f>SUM(E319:E384)</f>
        <v>414117096271</v>
      </c>
      <c r="F318" s="85">
        <f>K318/E318*100%</f>
        <v>0</v>
      </c>
      <c r="G318" s="84">
        <f>SUM(G319:G392)</f>
        <v>0</v>
      </c>
      <c r="H318" s="85">
        <f>G318/E318*100%</f>
        <v>0</v>
      </c>
      <c r="I318" s="85"/>
      <c r="J318" s="86" t="s">
        <v>355</v>
      </c>
      <c r="K318" s="87">
        <f>SUM(K319:K392)</f>
        <v>0</v>
      </c>
    </row>
    <row r="319" spans="1:11" ht="30" x14ac:dyDescent="0.25">
      <c r="A319" s="88"/>
      <c r="B319" s="89"/>
      <c r="C319" s="90" t="s">
        <v>110</v>
      </c>
      <c r="D319" s="91"/>
      <c r="E319" s="92"/>
      <c r="F319" s="92"/>
      <c r="G319" s="92"/>
      <c r="H319" s="92"/>
      <c r="I319" s="92"/>
      <c r="J319" s="93"/>
      <c r="K319" s="94"/>
    </row>
    <row r="320" spans="1:11" ht="30" x14ac:dyDescent="0.25">
      <c r="A320" s="88"/>
      <c r="B320" s="89"/>
      <c r="C320" s="95" t="s">
        <v>110</v>
      </c>
      <c r="D320" s="96"/>
      <c r="E320" s="97"/>
      <c r="F320" s="97"/>
      <c r="G320" s="97"/>
      <c r="H320" s="97"/>
      <c r="I320" s="97"/>
      <c r="J320" s="98"/>
      <c r="K320" s="94"/>
    </row>
    <row r="321" spans="1:11" ht="32.25" customHeight="1" x14ac:dyDescent="0.25">
      <c r="A321" s="88"/>
      <c r="B321" s="89"/>
      <c r="C321" s="99"/>
      <c r="D321" s="59" t="s">
        <v>77</v>
      </c>
      <c r="E321" s="99"/>
      <c r="F321" s="99"/>
      <c r="G321" s="99"/>
      <c r="H321" s="99"/>
      <c r="I321" s="99"/>
      <c r="J321" s="100"/>
      <c r="K321" s="94"/>
    </row>
    <row r="322" spans="1:11" ht="85.5" customHeight="1" x14ac:dyDescent="0.25">
      <c r="A322" s="88"/>
      <c r="B322" s="89"/>
      <c r="C322" s="99"/>
      <c r="D322" s="60" t="s">
        <v>212</v>
      </c>
      <c r="E322" s="99"/>
      <c r="F322" s="99"/>
      <c r="G322" s="99"/>
      <c r="H322" s="99"/>
      <c r="I322" s="99"/>
      <c r="J322" s="100"/>
      <c r="K322" s="94"/>
    </row>
    <row r="323" spans="1:11" ht="75" x14ac:dyDescent="0.25">
      <c r="A323" s="88"/>
      <c r="B323" s="89"/>
      <c r="C323" s="99"/>
      <c r="D323" s="80" t="s">
        <v>267</v>
      </c>
      <c r="E323" s="101">
        <v>0</v>
      </c>
      <c r="F323" s="165">
        <v>0</v>
      </c>
      <c r="G323" s="101">
        <v>0</v>
      </c>
      <c r="H323" s="165">
        <v>0</v>
      </c>
      <c r="I323" s="102"/>
      <c r="J323" s="103"/>
      <c r="K323" s="1">
        <f>E323*F323</f>
        <v>0</v>
      </c>
    </row>
    <row r="324" spans="1:11" ht="64.5" customHeight="1" x14ac:dyDescent="0.25">
      <c r="A324" s="88"/>
      <c r="B324" s="89"/>
      <c r="C324" s="99"/>
      <c r="D324" s="153" t="s">
        <v>268</v>
      </c>
      <c r="E324" s="101">
        <v>0</v>
      </c>
      <c r="F324" s="165">
        <v>0</v>
      </c>
      <c r="G324" s="101">
        <v>0</v>
      </c>
      <c r="H324" s="165">
        <v>0</v>
      </c>
      <c r="I324" s="99"/>
      <c r="J324" s="103"/>
      <c r="K324" s="1">
        <f>E324*F324</f>
        <v>0</v>
      </c>
    </row>
    <row r="325" spans="1:11" ht="75" x14ac:dyDescent="0.25">
      <c r="A325" s="88"/>
      <c r="B325" s="89"/>
      <c r="C325" s="99"/>
      <c r="D325" s="80" t="s">
        <v>292</v>
      </c>
      <c r="E325" s="101">
        <v>0</v>
      </c>
      <c r="F325" s="165">
        <v>0</v>
      </c>
      <c r="G325" s="101">
        <v>0</v>
      </c>
      <c r="H325" s="165">
        <v>0</v>
      </c>
      <c r="I325" s="102"/>
      <c r="J325" s="103"/>
      <c r="K325" s="1">
        <f t="shared" ref="K325:K384" si="0">E325*F325</f>
        <v>0</v>
      </c>
    </row>
    <row r="326" spans="1:11" ht="45" x14ac:dyDescent="0.25">
      <c r="A326" s="88"/>
      <c r="B326" s="89"/>
      <c r="C326" s="99"/>
      <c r="D326" s="80" t="s">
        <v>269</v>
      </c>
      <c r="E326" s="101">
        <v>0</v>
      </c>
      <c r="F326" s="165">
        <v>0</v>
      </c>
      <c r="G326" s="101">
        <v>0</v>
      </c>
      <c r="H326" s="165">
        <v>0</v>
      </c>
      <c r="I326" s="102"/>
      <c r="J326" s="103"/>
      <c r="K326" s="1">
        <f t="shared" si="0"/>
        <v>0</v>
      </c>
    </row>
    <row r="327" spans="1:11" ht="30" x14ac:dyDescent="0.25">
      <c r="A327" s="88"/>
      <c r="B327" s="89"/>
      <c r="C327" s="99"/>
      <c r="D327" s="80" t="s">
        <v>270</v>
      </c>
      <c r="E327" s="101">
        <v>0</v>
      </c>
      <c r="F327" s="165">
        <v>0</v>
      </c>
      <c r="G327" s="101">
        <v>0</v>
      </c>
      <c r="H327" s="165">
        <v>0</v>
      </c>
      <c r="I327" s="102"/>
      <c r="J327" s="103"/>
      <c r="K327" s="1">
        <f t="shared" si="0"/>
        <v>0</v>
      </c>
    </row>
    <row r="328" spans="1:11" ht="30" x14ac:dyDescent="0.25">
      <c r="A328" s="88"/>
      <c r="B328" s="89"/>
      <c r="C328" s="99"/>
      <c r="D328" s="80" t="s">
        <v>271</v>
      </c>
      <c r="E328" s="101">
        <v>0</v>
      </c>
      <c r="F328" s="165">
        <v>0</v>
      </c>
      <c r="G328" s="101">
        <v>0</v>
      </c>
      <c r="H328" s="165">
        <v>0</v>
      </c>
      <c r="I328" s="102"/>
      <c r="J328" s="103"/>
      <c r="K328" s="1">
        <f t="shared" si="0"/>
        <v>0</v>
      </c>
    </row>
    <row r="329" spans="1:11" ht="30" x14ac:dyDescent="0.25">
      <c r="A329" s="88"/>
      <c r="B329" s="89"/>
      <c r="C329" s="99"/>
      <c r="D329" s="80" t="s">
        <v>272</v>
      </c>
      <c r="E329" s="101">
        <v>0</v>
      </c>
      <c r="F329" s="165">
        <v>0</v>
      </c>
      <c r="G329" s="101">
        <v>0</v>
      </c>
      <c r="H329" s="165">
        <v>0</v>
      </c>
      <c r="I329" s="107"/>
      <c r="J329" s="100"/>
      <c r="K329" s="1">
        <f t="shared" si="0"/>
        <v>0</v>
      </c>
    </row>
    <row r="330" spans="1:11" ht="30" x14ac:dyDescent="0.25">
      <c r="A330" s="88"/>
      <c r="B330" s="89"/>
      <c r="C330" s="99"/>
      <c r="D330" s="80" t="s">
        <v>273</v>
      </c>
      <c r="E330" s="101">
        <v>17950000000</v>
      </c>
      <c r="F330" s="165">
        <v>0</v>
      </c>
      <c r="G330" s="101">
        <v>0</v>
      </c>
      <c r="H330" s="165">
        <v>0</v>
      </c>
      <c r="I330" s="99"/>
      <c r="J330" s="103"/>
      <c r="K330" s="1">
        <f t="shared" si="0"/>
        <v>0</v>
      </c>
    </row>
    <row r="331" spans="1:11" ht="30" x14ac:dyDescent="0.25">
      <c r="A331" s="88"/>
      <c r="B331" s="89"/>
      <c r="C331" s="99"/>
      <c r="D331" s="80" t="s">
        <v>361</v>
      </c>
      <c r="E331" s="106">
        <v>76300000000</v>
      </c>
      <c r="F331" s="155">
        <v>0</v>
      </c>
      <c r="G331" s="106">
        <v>0</v>
      </c>
      <c r="H331" s="155">
        <v>0</v>
      </c>
      <c r="I331" s="99"/>
      <c r="J331" s="103"/>
      <c r="K331" s="1">
        <f t="shared" si="0"/>
        <v>0</v>
      </c>
    </row>
    <row r="332" spans="1:11" ht="30" x14ac:dyDescent="0.25">
      <c r="A332" s="88"/>
      <c r="B332" s="89"/>
      <c r="C332" s="99"/>
      <c r="D332" s="80" t="s">
        <v>274</v>
      </c>
      <c r="E332" s="106">
        <v>0</v>
      </c>
      <c r="F332" s="155">
        <v>0</v>
      </c>
      <c r="G332" s="106">
        <v>0</v>
      </c>
      <c r="H332" s="155">
        <v>0</v>
      </c>
      <c r="I332" s="99"/>
      <c r="J332" s="103"/>
      <c r="K332" s="1">
        <f t="shared" si="0"/>
        <v>0</v>
      </c>
    </row>
    <row r="333" spans="1:11" ht="30" x14ac:dyDescent="0.25">
      <c r="A333" s="88"/>
      <c r="B333" s="89"/>
      <c r="C333" s="99"/>
      <c r="D333" s="80" t="s">
        <v>275</v>
      </c>
      <c r="E333" s="108">
        <v>1000000000</v>
      </c>
      <c r="F333" s="170">
        <v>0</v>
      </c>
      <c r="G333" s="108">
        <v>0</v>
      </c>
      <c r="H333" s="170">
        <v>0</v>
      </c>
      <c r="I333" s="99"/>
      <c r="J333" s="103"/>
      <c r="K333" s="1">
        <f t="shared" si="0"/>
        <v>0</v>
      </c>
    </row>
    <row r="334" spans="1:11" ht="30" x14ac:dyDescent="0.25">
      <c r="A334" s="88"/>
      <c r="B334" s="89"/>
      <c r="C334" s="99"/>
      <c r="D334" s="80" t="s">
        <v>276</v>
      </c>
      <c r="E334" s="108">
        <v>3000000000</v>
      </c>
      <c r="F334" s="170">
        <v>0</v>
      </c>
      <c r="G334" s="108">
        <v>0</v>
      </c>
      <c r="H334" s="170">
        <v>0</v>
      </c>
      <c r="I334" s="99"/>
      <c r="J334" s="103"/>
      <c r="K334" s="1">
        <f t="shared" si="0"/>
        <v>0</v>
      </c>
    </row>
    <row r="335" spans="1:11" ht="30" x14ac:dyDescent="0.25">
      <c r="A335" s="88"/>
      <c r="B335" s="89"/>
      <c r="C335" s="99"/>
      <c r="D335" s="80" t="s">
        <v>277</v>
      </c>
      <c r="E335" s="167">
        <v>0</v>
      </c>
      <c r="F335" s="156">
        <v>0</v>
      </c>
      <c r="G335" s="167">
        <v>0</v>
      </c>
      <c r="H335" s="156">
        <v>0</v>
      </c>
      <c r="I335" s="163"/>
      <c r="J335" s="103"/>
      <c r="K335" s="1">
        <f t="shared" si="0"/>
        <v>0</v>
      </c>
    </row>
    <row r="336" spans="1:11" ht="30" x14ac:dyDescent="0.25">
      <c r="A336" s="88"/>
      <c r="B336" s="89"/>
      <c r="C336" s="99"/>
      <c r="D336" s="80" t="s">
        <v>278</v>
      </c>
      <c r="E336" s="164">
        <v>0</v>
      </c>
      <c r="F336" s="156">
        <v>0</v>
      </c>
      <c r="G336" s="164">
        <v>0</v>
      </c>
      <c r="H336" s="156">
        <v>0</v>
      </c>
      <c r="I336" s="163"/>
      <c r="J336" s="103"/>
      <c r="K336" s="1">
        <f t="shared" si="0"/>
        <v>0</v>
      </c>
    </row>
    <row r="337" spans="1:11" ht="30" x14ac:dyDescent="0.25">
      <c r="A337" s="88"/>
      <c r="B337" s="89"/>
      <c r="C337" s="99"/>
      <c r="D337" s="80" t="s">
        <v>279</v>
      </c>
      <c r="E337" s="168">
        <v>0</v>
      </c>
      <c r="F337" s="156">
        <v>0</v>
      </c>
      <c r="G337" s="168">
        <v>0</v>
      </c>
      <c r="H337" s="156">
        <v>0</v>
      </c>
      <c r="I337" s="163"/>
      <c r="J337" s="103"/>
      <c r="K337" s="1">
        <f t="shared" si="0"/>
        <v>0</v>
      </c>
    </row>
    <row r="338" spans="1:11" ht="30" x14ac:dyDescent="0.25">
      <c r="A338" s="88"/>
      <c r="B338" s="89"/>
      <c r="C338" s="99"/>
      <c r="D338" s="80" t="s">
        <v>280</v>
      </c>
      <c r="E338" s="164">
        <v>0</v>
      </c>
      <c r="F338" s="156">
        <v>0</v>
      </c>
      <c r="G338" s="164">
        <v>0</v>
      </c>
      <c r="H338" s="156">
        <v>0</v>
      </c>
      <c r="I338" s="163"/>
      <c r="J338" s="103"/>
      <c r="K338" s="1">
        <f t="shared" si="0"/>
        <v>0</v>
      </c>
    </row>
    <row r="339" spans="1:11" ht="48.75" customHeight="1" x14ac:dyDescent="0.25">
      <c r="A339" s="88"/>
      <c r="B339" s="89"/>
      <c r="C339" s="99"/>
      <c r="D339" s="153" t="s">
        <v>281</v>
      </c>
      <c r="E339" s="168">
        <v>0</v>
      </c>
      <c r="F339" s="156">
        <v>0</v>
      </c>
      <c r="G339" s="168">
        <v>0</v>
      </c>
      <c r="H339" s="156">
        <v>0</v>
      </c>
      <c r="I339" s="163"/>
      <c r="J339" s="103"/>
      <c r="K339" s="1">
        <f t="shared" si="0"/>
        <v>0</v>
      </c>
    </row>
    <row r="340" spans="1:11" ht="51" customHeight="1" x14ac:dyDescent="0.25">
      <c r="A340" s="88"/>
      <c r="B340" s="89"/>
      <c r="C340" s="99"/>
      <c r="D340" s="153" t="s">
        <v>282</v>
      </c>
      <c r="E340" s="168">
        <v>0</v>
      </c>
      <c r="F340" s="156">
        <v>0</v>
      </c>
      <c r="G340" s="168">
        <v>0</v>
      </c>
      <c r="H340" s="156">
        <v>0</v>
      </c>
      <c r="I340" s="163"/>
      <c r="J340" s="103"/>
      <c r="K340" s="1">
        <f t="shared" si="0"/>
        <v>0</v>
      </c>
    </row>
    <row r="341" spans="1:11" ht="35.25" customHeight="1" x14ac:dyDescent="0.25">
      <c r="A341" s="88"/>
      <c r="B341" s="89"/>
      <c r="C341" s="99"/>
      <c r="D341" s="153" t="s">
        <v>283</v>
      </c>
      <c r="E341" s="168">
        <v>0</v>
      </c>
      <c r="F341" s="156">
        <v>0</v>
      </c>
      <c r="G341" s="168">
        <v>0</v>
      </c>
      <c r="H341" s="156">
        <v>0</v>
      </c>
      <c r="I341" s="163"/>
      <c r="J341" s="103"/>
      <c r="K341" s="1">
        <f t="shared" si="0"/>
        <v>0</v>
      </c>
    </row>
    <row r="342" spans="1:11" ht="30" x14ac:dyDescent="0.25">
      <c r="A342" s="88"/>
      <c r="B342" s="89"/>
      <c r="C342" s="99"/>
      <c r="D342" s="80" t="s">
        <v>284</v>
      </c>
      <c r="E342" s="168">
        <v>0</v>
      </c>
      <c r="F342" s="156">
        <v>0</v>
      </c>
      <c r="G342" s="168">
        <v>0</v>
      </c>
      <c r="H342" s="156">
        <v>0</v>
      </c>
      <c r="I342" s="163"/>
      <c r="J342" s="103"/>
      <c r="K342" s="1">
        <f t="shared" si="0"/>
        <v>0</v>
      </c>
    </row>
    <row r="343" spans="1:11" ht="30" x14ac:dyDescent="0.25">
      <c r="A343" s="88"/>
      <c r="B343" s="89"/>
      <c r="C343" s="99"/>
      <c r="D343" s="80" t="s">
        <v>285</v>
      </c>
      <c r="E343" s="164">
        <v>1000000000</v>
      </c>
      <c r="F343" s="156">
        <v>0</v>
      </c>
      <c r="G343" s="164">
        <v>0</v>
      </c>
      <c r="H343" s="156">
        <v>0</v>
      </c>
      <c r="I343" s="163"/>
      <c r="J343" s="103"/>
      <c r="K343" s="1">
        <f t="shared" si="0"/>
        <v>0</v>
      </c>
    </row>
    <row r="344" spans="1:11" ht="31.5" customHeight="1" x14ac:dyDescent="0.25">
      <c r="A344" s="88"/>
      <c r="B344" s="89"/>
      <c r="C344" s="99"/>
      <c r="D344" s="153" t="s">
        <v>286</v>
      </c>
      <c r="E344" s="164">
        <v>1500000000</v>
      </c>
      <c r="F344" s="156">
        <v>0</v>
      </c>
      <c r="G344" s="164">
        <v>0</v>
      </c>
      <c r="H344" s="156">
        <v>0</v>
      </c>
      <c r="I344" s="163"/>
      <c r="J344" s="103"/>
      <c r="K344" s="1">
        <f t="shared" si="0"/>
        <v>0</v>
      </c>
    </row>
    <row r="345" spans="1:11" ht="45" x14ac:dyDescent="0.25">
      <c r="A345" s="88"/>
      <c r="B345" s="89"/>
      <c r="C345" s="99"/>
      <c r="D345" s="80" t="s">
        <v>287</v>
      </c>
      <c r="E345" s="166">
        <v>0</v>
      </c>
      <c r="F345" s="156">
        <v>0</v>
      </c>
      <c r="G345" s="166">
        <v>0</v>
      </c>
      <c r="H345" s="156">
        <v>0</v>
      </c>
      <c r="I345" s="163"/>
      <c r="J345" s="103"/>
      <c r="K345" s="1">
        <f t="shared" si="0"/>
        <v>0</v>
      </c>
    </row>
    <row r="346" spans="1:11" ht="60" customHeight="1" x14ac:dyDescent="0.25">
      <c r="A346" s="88"/>
      <c r="B346" s="89"/>
      <c r="C346" s="99"/>
      <c r="D346" s="153" t="s">
        <v>288</v>
      </c>
      <c r="E346" s="166">
        <v>0</v>
      </c>
      <c r="F346" s="156">
        <v>0</v>
      </c>
      <c r="G346" s="166">
        <v>0</v>
      </c>
      <c r="H346" s="156">
        <v>0</v>
      </c>
      <c r="I346" s="163"/>
      <c r="J346" s="103"/>
      <c r="K346" s="1">
        <f t="shared" si="0"/>
        <v>0</v>
      </c>
    </row>
    <row r="347" spans="1:11" ht="45" x14ac:dyDescent="0.25">
      <c r="A347" s="88"/>
      <c r="B347" s="89"/>
      <c r="C347" s="99"/>
      <c r="D347" s="80" t="s">
        <v>289</v>
      </c>
      <c r="E347" s="166">
        <v>0</v>
      </c>
      <c r="F347" s="156">
        <v>0</v>
      </c>
      <c r="G347" s="166">
        <v>0</v>
      </c>
      <c r="H347" s="156">
        <v>0</v>
      </c>
      <c r="I347" s="163"/>
      <c r="J347" s="103"/>
      <c r="K347" s="1">
        <f t="shared" si="0"/>
        <v>0</v>
      </c>
    </row>
    <row r="348" spans="1:11" ht="60" x14ac:dyDescent="0.25">
      <c r="A348" s="88"/>
      <c r="B348" s="89"/>
      <c r="C348" s="99"/>
      <c r="D348" s="80" t="s">
        <v>290</v>
      </c>
      <c r="E348" s="166">
        <v>0</v>
      </c>
      <c r="F348" s="156">
        <v>0</v>
      </c>
      <c r="G348" s="166">
        <v>0</v>
      </c>
      <c r="H348" s="156">
        <v>0</v>
      </c>
      <c r="I348" s="163"/>
      <c r="J348" s="103"/>
      <c r="K348" s="1">
        <f t="shared" si="0"/>
        <v>0</v>
      </c>
    </row>
    <row r="349" spans="1:11" ht="30" x14ac:dyDescent="0.25">
      <c r="A349" s="88"/>
      <c r="B349" s="89"/>
      <c r="C349" s="99"/>
      <c r="D349" s="80" t="s">
        <v>291</v>
      </c>
      <c r="E349" s="169">
        <v>0</v>
      </c>
      <c r="F349" s="170">
        <v>0</v>
      </c>
      <c r="G349" s="169">
        <v>0</v>
      </c>
      <c r="H349" s="170">
        <v>0</v>
      </c>
      <c r="I349" s="99"/>
      <c r="J349" s="103"/>
      <c r="K349" s="1">
        <f t="shared" si="0"/>
        <v>0</v>
      </c>
    </row>
    <row r="350" spans="1:11" ht="103.5" customHeight="1" x14ac:dyDescent="0.25">
      <c r="A350" s="88"/>
      <c r="B350" s="89"/>
      <c r="C350" s="99"/>
      <c r="D350" s="60" t="s">
        <v>213</v>
      </c>
      <c r="E350" s="99"/>
      <c r="F350" s="110"/>
      <c r="G350" s="99"/>
      <c r="H350" s="110"/>
      <c r="I350" s="99"/>
      <c r="J350" s="100"/>
    </row>
    <row r="351" spans="1:11" ht="66" customHeight="1" x14ac:dyDescent="0.25">
      <c r="A351" s="88"/>
      <c r="B351" s="89"/>
      <c r="C351" s="99"/>
      <c r="D351" s="61" t="s">
        <v>293</v>
      </c>
      <c r="E351" s="106">
        <v>300000000</v>
      </c>
      <c r="F351" s="155">
        <v>0</v>
      </c>
      <c r="G351" s="106">
        <v>0</v>
      </c>
      <c r="H351" s="155">
        <v>0</v>
      </c>
      <c r="I351" s="107"/>
      <c r="J351" s="100"/>
      <c r="K351" s="1">
        <f t="shared" si="0"/>
        <v>0</v>
      </c>
    </row>
    <row r="352" spans="1:11" ht="30" x14ac:dyDescent="0.25">
      <c r="A352" s="88"/>
      <c r="B352" s="89"/>
      <c r="C352" s="99"/>
      <c r="D352" s="80" t="s">
        <v>294</v>
      </c>
      <c r="E352" s="106">
        <v>3100000000</v>
      </c>
      <c r="F352" s="155">
        <v>0</v>
      </c>
      <c r="G352" s="106">
        <v>0</v>
      </c>
      <c r="H352" s="155">
        <v>0</v>
      </c>
      <c r="I352" s="107"/>
      <c r="J352" s="100"/>
      <c r="K352" s="1">
        <f t="shared" si="0"/>
        <v>0</v>
      </c>
    </row>
    <row r="353" spans="1:11" ht="30" x14ac:dyDescent="0.25">
      <c r="A353" s="88"/>
      <c r="B353" s="89"/>
      <c r="C353" s="99"/>
      <c r="D353" s="80" t="s">
        <v>295</v>
      </c>
      <c r="E353" s="106">
        <v>1000000000</v>
      </c>
      <c r="F353" s="155">
        <v>0</v>
      </c>
      <c r="G353" s="106">
        <v>0</v>
      </c>
      <c r="H353" s="155">
        <v>0</v>
      </c>
      <c r="I353" s="107"/>
      <c r="J353" s="100"/>
      <c r="K353" s="1">
        <f t="shared" si="0"/>
        <v>0</v>
      </c>
    </row>
    <row r="354" spans="1:11" ht="30" x14ac:dyDescent="0.25">
      <c r="A354" s="88"/>
      <c r="B354" s="89"/>
      <c r="C354" s="99"/>
      <c r="D354" s="80" t="s">
        <v>296</v>
      </c>
      <c r="E354" s="106">
        <v>0</v>
      </c>
      <c r="F354" s="155">
        <v>0</v>
      </c>
      <c r="G354" s="106">
        <v>0</v>
      </c>
      <c r="H354" s="155">
        <v>0</v>
      </c>
      <c r="I354" s="107"/>
      <c r="J354" s="100"/>
      <c r="K354" s="1">
        <f t="shared" si="0"/>
        <v>0</v>
      </c>
    </row>
    <row r="355" spans="1:11" ht="30" x14ac:dyDescent="0.25">
      <c r="A355" s="88"/>
      <c r="B355" s="89"/>
      <c r="C355" s="99"/>
      <c r="D355" s="80" t="s">
        <v>297</v>
      </c>
      <c r="E355" s="106">
        <v>0</v>
      </c>
      <c r="F355" s="155">
        <v>0</v>
      </c>
      <c r="G355" s="106">
        <v>0</v>
      </c>
      <c r="H355" s="155">
        <v>0</v>
      </c>
      <c r="I355" s="107"/>
      <c r="J355" s="100"/>
      <c r="K355" s="1">
        <f t="shared" si="0"/>
        <v>0</v>
      </c>
    </row>
    <row r="356" spans="1:11" ht="30" x14ac:dyDescent="0.25">
      <c r="A356" s="88"/>
      <c r="B356" s="89"/>
      <c r="C356" s="99"/>
      <c r="D356" s="80" t="s">
        <v>298</v>
      </c>
      <c r="E356" s="171">
        <v>150000000</v>
      </c>
      <c r="F356" s="157">
        <v>0</v>
      </c>
      <c r="G356" s="171">
        <v>0</v>
      </c>
      <c r="H356" s="157">
        <v>0</v>
      </c>
      <c r="I356" s="151"/>
      <c r="J356" s="100"/>
      <c r="K356" s="1">
        <f t="shared" si="0"/>
        <v>0</v>
      </c>
    </row>
    <row r="357" spans="1:11" ht="33.75" customHeight="1" x14ac:dyDescent="0.25">
      <c r="A357" s="88"/>
      <c r="B357" s="89"/>
      <c r="C357" s="99"/>
      <c r="D357" s="153" t="s">
        <v>299</v>
      </c>
      <c r="E357" s="171">
        <v>0</v>
      </c>
      <c r="F357" s="157">
        <v>0</v>
      </c>
      <c r="G357" s="171">
        <v>0</v>
      </c>
      <c r="H357" s="157">
        <v>0</v>
      </c>
      <c r="I357" s="151"/>
      <c r="J357" s="100"/>
      <c r="K357" s="1">
        <f t="shared" si="0"/>
        <v>0</v>
      </c>
    </row>
    <row r="358" spans="1:11" ht="57.75" customHeight="1" x14ac:dyDescent="0.25">
      <c r="A358" s="88"/>
      <c r="B358" s="89"/>
      <c r="C358" s="99"/>
      <c r="D358" s="59" t="s">
        <v>78</v>
      </c>
      <c r="E358" s="99"/>
      <c r="F358" s="110"/>
      <c r="G358" s="99"/>
      <c r="H358" s="110"/>
      <c r="I358" s="99"/>
      <c r="J358" s="100"/>
    </row>
    <row r="359" spans="1:11" ht="79.5" customHeight="1" x14ac:dyDescent="0.25">
      <c r="A359" s="88"/>
      <c r="B359" s="89"/>
      <c r="C359" s="99"/>
      <c r="D359" s="60" t="s">
        <v>214</v>
      </c>
      <c r="E359" s="99"/>
      <c r="F359" s="110"/>
      <c r="G359" s="99"/>
      <c r="H359" s="110"/>
      <c r="I359" s="99"/>
      <c r="J359" s="100"/>
    </row>
    <row r="360" spans="1:11" ht="47.25" customHeight="1" x14ac:dyDescent="0.25">
      <c r="A360" s="88"/>
      <c r="B360" s="89"/>
      <c r="C360" s="99"/>
      <c r="D360" s="140" t="s">
        <v>364</v>
      </c>
      <c r="E360" s="106">
        <v>525000000</v>
      </c>
      <c r="F360" s="155">
        <v>0</v>
      </c>
      <c r="G360" s="106">
        <v>0</v>
      </c>
      <c r="H360" s="155">
        <v>0</v>
      </c>
      <c r="I360" s="107"/>
      <c r="J360" s="100"/>
      <c r="K360" s="1">
        <f t="shared" si="0"/>
        <v>0</v>
      </c>
    </row>
    <row r="361" spans="1:11" ht="30" x14ac:dyDescent="0.25">
      <c r="A361" s="88"/>
      <c r="B361" s="89"/>
      <c r="C361" s="99"/>
      <c r="D361" s="140" t="s">
        <v>300</v>
      </c>
      <c r="E361" s="106">
        <v>93725000000</v>
      </c>
      <c r="F361" s="155">
        <v>0</v>
      </c>
      <c r="G361" s="106">
        <v>0</v>
      </c>
      <c r="H361" s="155">
        <v>0</v>
      </c>
      <c r="I361" s="107"/>
      <c r="J361" s="100"/>
      <c r="K361" s="1">
        <f t="shared" si="0"/>
        <v>0</v>
      </c>
    </row>
    <row r="362" spans="1:11" ht="30" x14ac:dyDescent="0.25">
      <c r="A362" s="88"/>
      <c r="B362" s="89"/>
      <c r="C362" s="99"/>
      <c r="D362" s="140" t="s">
        <v>301</v>
      </c>
      <c r="E362" s="106">
        <v>190056306271</v>
      </c>
      <c r="F362" s="155">
        <v>0</v>
      </c>
      <c r="G362" s="106">
        <v>0</v>
      </c>
      <c r="H362" s="155">
        <v>0</v>
      </c>
      <c r="I362" s="107"/>
      <c r="J362" s="100"/>
      <c r="K362" s="1">
        <f t="shared" si="0"/>
        <v>0</v>
      </c>
    </row>
    <row r="363" spans="1:11" ht="30" x14ac:dyDescent="0.25">
      <c r="A363" s="88"/>
      <c r="B363" s="89"/>
      <c r="C363" s="99"/>
      <c r="D363" s="80" t="s">
        <v>302</v>
      </c>
      <c r="E363" s="106">
        <v>15000000000</v>
      </c>
      <c r="F363" s="155">
        <v>0</v>
      </c>
      <c r="G363" s="106">
        <v>0</v>
      </c>
      <c r="H363" s="155">
        <v>0</v>
      </c>
      <c r="I363" s="107"/>
      <c r="J363" s="100"/>
      <c r="K363" s="1">
        <f t="shared" si="0"/>
        <v>0</v>
      </c>
    </row>
    <row r="364" spans="1:11" ht="30" x14ac:dyDescent="0.25">
      <c r="A364" s="88"/>
      <c r="B364" s="89"/>
      <c r="C364" s="99"/>
      <c r="D364" s="80" t="s">
        <v>303</v>
      </c>
      <c r="E364" s="106">
        <v>0</v>
      </c>
      <c r="F364" s="155">
        <v>0</v>
      </c>
      <c r="G364" s="106">
        <v>0</v>
      </c>
      <c r="H364" s="155">
        <v>0</v>
      </c>
      <c r="I364" s="99"/>
      <c r="J364" s="103"/>
      <c r="K364" s="1">
        <f t="shared" si="0"/>
        <v>0</v>
      </c>
    </row>
    <row r="365" spans="1:11" ht="30" x14ac:dyDescent="0.25">
      <c r="A365" s="88"/>
      <c r="B365" s="89"/>
      <c r="C365" s="99"/>
      <c r="D365" s="80" t="s">
        <v>304</v>
      </c>
      <c r="E365" s="106">
        <v>0</v>
      </c>
      <c r="F365" s="155">
        <v>0</v>
      </c>
      <c r="G365" s="106">
        <v>0</v>
      </c>
      <c r="H365" s="155">
        <v>0</v>
      </c>
      <c r="I365" s="99"/>
      <c r="J365" s="103"/>
      <c r="K365" s="1">
        <f t="shared" si="0"/>
        <v>0</v>
      </c>
    </row>
    <row r="366" spans="1:11" x14ac:dyDescent="0.25">
      <c r="A366" s="88"/>
      <c r="B366" s="89"/>
      <c r="C366" s="90" t="s">
        <v>132</v>
      </c>
      <c r="D366" s="91"/>
      <c r="E366" s="92"/>
      <c r="F366" s="92"/>
      <c r="G366" s="92"/>
      <c r="H366" s="92"/>
      <c r="I366" s="92"/>
      <c r="J366" s="93"/>
    </row>
    <row r="367" spans="1:11" x14ac:dyDescent="0.25">
      <c r="A367" s="88"/>
      <c r="B367" s="89"/>
      <c r="C367" s="95" t="s">
        <v>132</v>
      </c>
      <c r="D367" s="96"/>
      <c r="E367" s="97"/>
      <c r="F367" s="97"/>
      <c r="G367" s="97"/>
      <c r="H367" s="97"/>
      <c r="I367" s="97"/>
      <c r="J367" s="98"/>
    </row>
    <row r="368" spans="1:11" ht="52.5" customHeight="1" x14ac:dyDescent="0.25">
      <c r="A368" s="88"/>
      <c r="B368" s="89"/>
      <c r="C368" s="99"/>
      <c r="D368" s="59" t="s">
        <v>84</v>
      </c>
      <c r="E368" s="99"/>
      <c r="F368" s="99"/>
      <c r="G368" s="99"/>
      <c r="H368" s="99"/>
      <c r="I368" s="99"/>
      <c r="J368" s="100"/>
    </row>
    <row r="369" spans="1:11" ht="69" customHeight="1" x14ac:dyDescent="0.25">
      <c r="A369" s="88"/>
      <c r="B369" s="89"/>
      <c r="C369" s="99"/>
      <c r="D369" s="60" t="s">
        <v>228</v>
      </c>
      <c r="E369" s="99"/>
      <c r="F369" s="99"/>
      <c r="G369" s="99"/>
      <c r="H369" s="99"/>
      <c r="I369" s="99"/>
      <c r="J369" s="100"/>
    </row>
    <row r="370" spans="1:11" ht="99.75" customHeight="1" x14ac:dyDescent="0.25">
      <c r="A370" s="88"/>
      <c r="B370" s="89"/>
      <c r="C370" s="99"/>
      <c r="D370" s="153" t="s">
        <v>305</v>
      </c>
      <c r="E370" s="106">
        <v>1920000000</v>
      </c>
      <c r="F370" s="155">
        <v>0</v>
      </c>
      <c r="G370" s="106">
        <v>0</v>
      </c>
      <c r="H370" s="155">
        <v>0</v>
      </c>
      <c r="I370" s="113"/>
      <c r="J370" s="100"/>
      <c r="K370" s="1">
        <f t="shared" si="0"/>
        <v>0</v>
      </c>
    </row>
    <row r="371" spans="1:11" ht="102.75" customHeight="1" x14ac:dyDescent="0.25">
      <c r="A371" s="88"/>
      <c r="B371" s="89"/>
      <c r="C371" s="99"/>
      <c r="D371" s="153" t="s">
        <v>306</v>
      </c>
      <c r="E371" s="106">
        <v>515000000</v>
      </c>
      <c r="F371" s="155">
        <v>0</v>
      </c>
      <c r="G371" s="106">
        <v>0</v>
      </c>
      <c r="H371" s="155">
        <v>0</v>
      </c>
      <c r="I371" s="113"/>
      <c r="J371" s="100"/>
      <c r="K371" s="1">
        <f t="shared" si="0"/>
        <v>0</v>
      </c>
    </row>
    <row r="372" spans="1:11" ht="55.5" customHeight="1" x14ac:dyDescent="0.25">
      <c r="A372" s="88"/>
      <c r="B372" s="89"/>
      <c r="C372" s="99"/>
      <c r="D372" s="153" t="s">
        <v>307</v>
      </c>
      <c r="E372" s="108">
        <v>50000000</v>
      </c>
      <c r="F372" s="170">
        <v>0</v>
      </c>
      <c r="G372" s="108">
        <v>0</v>
      </c>
      <c r="H372" s="170">
        <v>0</v>
      </c>
      <c r="I372" s="99"/>
      <c r="J372" s="103"/>
      <c r="K372" s="1">
        <f t="shared" si="0"/>
        <v>0</v>
      </c>
    </row>
    <row r="373" spans="1:11" x14ac:dyDescent="0.25">
      <c r="A373" s="88"/>
      <c r="B373" s="89"/>
      <c r="C373" s="90" t="s">
        <v>112</v>
      </c>
      <c r="D373" s="91"/>
      <c r="E373" s="92"/>
      <c r="F373" s="92"/>
      <c r="G373" s="92"/>
      <c r="H373" s="92"/>
      <c r="I373" s="92"/>
      <c r="J373" s="93"/>
    </row>
    <row r="374" spans="1:11" x14ac:dyDescent="0.25">
      <c r="A374" s="88"/>
      <c r="B374" s="89"/>
      <c r="C374" s="95" t="s">
        <v>112</v>
      </c>
      <c r="D374" s="96"/>
      <c r="E374" s="97"/>
      <c r="F374" s="97"/>
      <c r="G374" s="97"/>
      <c r="H374" s="97"/>
      <c r="I374" s="97"/>
      <c r="J374" s="98"/>
    </row>
    <row r="375" spans="1:11" ht="30" x14ac:dyDescent="0.25">
      <c r="A375" s="88"/>
      <c r="B375" s="89"/>
      <c r="C375" s="99"/>
      <c r="D375" s="64" t="s">
        <v>87</v>
      </c>
      <c r="E375" s="99"/>
      <c r="F375" s="99"/>
      <c r="G375" s="99"/>
      <c r="H375" s="99"/>
      <c r="I375" s="99"/>
      <c r="J375" s="100"/>
    </row>
    <row r="376" spans="1:11" x14ac:dyDescent="0.25">
      <c r="A376" s="88"/>
      <c r="B376" s="89"/>
      <c r="C376" s="99"/>
      <c r="D376" s="65" t="s">
        <v>232</v>
      </c>
      <c r="E376" s="99"/>
      <c r="F376" s="99"/>
      <c r="G376" s="99"/>
      <c r="H376" s="99"/>
      <c r="I376" s="99"/>
      <c r="J376" s="100"/>
    </row>
    <row r="377" spans="1:11" ht="60" x14ac:dyDescent="0.25">
      <c r="A377" s="88"/>
      <c r="B377" s="89"/>
      <c r="C377" s="99"/>
      <c r="D377" s="80" t="s">
        <v>308</v>
      </c>
      <c r="E377" s="106">
        <v>700000000</v>
      </c>
      <c r="F377" s="155">
        <v>0</v>
      </c>
      <c r="G377" s="106">
        <v>0</v>
      </c>
      <c r="H377" s="155">
        <v>0</v>
      </c>
      <c r="I377" s="107"/>
      <c r="J377" s="100"/>
      <c r="K377" s="1">
        <f t="shared" si="0"/>
        <v>0</v>
      </c>
    </row>
    <row r="378" spans="1:11" ht="75" x14ac:dyDescent="0.25">
      <c r="A378" s="88"/>
      <c r="B378" s="89"/>
      <c r="C378" s="99"/>
      <c r="D378" s="80" t="s">
        <v>309</v>
      </c>
      <c r="E378" s="106">
        <v>2650000000</v>
      </c>
      <c r="F378" s="155">
        <v>0</v>
      </c>
      <c r="G378" s="106">
        <v>0</v>
      </c>
      <c r="H378" s="155">
        <v>0</v>
      </c>
      <c r="I378" s="107"/>
      <c r="J378" s="100"/>
      <c r="K378" s="1">
        <f t="shared" si="0"/>
        <v>0</v>
      </c>
    </row>
    <row r="379" spans="1:11" ht="45" x14ac:dyDescent="0.25">
      <c r="A379" s="88"/>
      <c r="B379" s="89"/>
      <c r="C379" s="99"/>
      <c r="D379" s="80" t="s">
        <v>310</v>
      </c>
      <c r="E379" s="106">
        <v>675790000</v>
      </c>
      <c r="F379" s="155">
        <v>0</v>
      </c>
      <c r="G379" s="106">
        <v>0</v>
      </c>
      <c r="H379" s="155">
        <v>0</v>
      </c>
      <c r="I379" s="107"/>
      <c r="J379" s="100"/>
      <c r="K379" s="1">
        <f t="shared" si="0"/>
        <v>0</v>
      </c>
    </row>
    <row r="380" spans="1:11" ht="45" x14ac:dyDescent="0.25">
      <c r="A380" s="88"/>
      <c r="B380" s="89"/>
      <c r="C380" s="99"/>
      <c r="D380" s="80" t="s">
        <v>311</v>
      </c>
      <c r="E380" s="106">
        <v>0</v>
      </c>
      <c r="F380" s="155">
        <v>0</v>
      </c>
      <c r="G380" s="106">
        <v>0</v>
      </c>
      <c r="H380" s="155">
        <v>0</v>
      </c>
      <c r="I380" s="114"/>
      <c r="J380" s="103"/>
      <c r="K380" s="1">
        <f t="shared" si="0"/>
        <v>0</v>
      </c>
    </row>
    <row r="381" spans="1:11" x14ac:dyDescent="0.25">
      <c r="A381" s="88"/>
      <c r="B381" s="89"/>
      <c r="C381" s="95" t="s">
        <v>4</v>
      </c>
      <c r="D381" s="96"/>
      <c r="E381" s="115"/>
      <c r="F381" s="116"/>
      <c r="G381" s="115"/>
      <c r="H381" s="116"/>
      <c r="I381" s="116"/>
      <c r="J381" s="98"/>
    </row>
    <row r="382" spans="1:11" ht="31.5" customHeight="1" x14ac:dyDescent="0.25">
      <c r="A382" s="88"/>
      <c r="B382" s="89"/>
      <c r="C382" s="99"/>
      <c r="D382" s="64" t="s">
        <v>87</v>
      </c>
      <c r="E382" s="117"/>
      <c r="F382" s="114"/>
      <c r="G382" s="117"/>
      <c r="H382" s="114"/>
      <c r="I382" s="114"/>
      <c r="J382" s="100"/>
    </row>
    <row r="383" spans="1:11" x14ac:dyDescent="0.25">
      <c r="A383" s="88"/>
      <c r="B383" s="89"/>
      <c r="C383" s="99"/>
      <c r="D383" s="65" t="s">
        <v>232</v>
      </c>
      <c r="E383" s="117"/>
      <c r="F383" s="114"/>
      <c r="G383" s="117"/>
      <c r="H383" s="114"/>
      <c r="I383" s="114"/>
      <c r="J383" s="100"/>
    </row>
    <row r="384" spans="1:11" ht="52.5" customHeight="1" x14ac:dyDescent="0.25">
      <c r="A384" s="88"/>
      <c r="B384" s="89"/>
      <c r="C384" s="99"/>
      <c r="D384" s="153" t="s">
        <v>312</v>
      </c>
      <c r="E384" s="106">
        <v>3000000000</v>
      </c>
      <c r="F384" s="155">
        <v>0</v>
      </c>
      <c r="G384" s="106">
        <v>0</v>
      </c>
      <c r="H384" s="155">
        <v>0</v>
      </c>
      <c r="I384" s="107"/>
      <c r="J384" s="100"/>
      <c r="K384" s="1">
        <f t="shared" si="0"/>
        <v>0</v>
      </c>
    </row>
    <row r="385" spans="1:11" x14ac:dyDescent="0.25">
      <c r="A385" s="88"/>
      <c r="B385" s="89"/>
      <c r="C385" s="90" t="s">
        <v>133</v>
      </c>
      <c r="D385" s="91"/>
      <c r="E385" s="92"/>
      <c r="F385" s="92"/>
      <c r="G385" s="92"/>
      <c r="H385" s="92"/>
      <c r="I385" s="92"/>
      <c r="J385" s="93"/>
    </row>
    <row r="386" spans="1:11" x14ac:dyDescent="0.25">
      <c r="A386" s="88"/>
      <c r="B386" s="89"/>
      <c r="C386" s="95" t="s">
        <v>134</v>
      </c>
      <c r="D386" s="96"/>
      <c r="E386" s="97"/>
      <c r="F386" s="97"/>
      <c r="G386" s="97"/>
      <c r="H386" s="97"/>
      <c r="I386" s="97"/>
      <c r="J386" s="98"/>
    </row>
    <row r="387" spans="1:11" ht="57.75" customHeight="1" x14ac:dyDescent="0.25">
      <c r="A387" s="88"/>
      <c r="B387" s="89"/>
      <c r="C387" s="99"/>
      <c r="D387" s="100" t="s">
        <v>135</v>
      </c>
      <c r="E387" s="106"/>
      <c r="F387" s="113"/>
      <c r="G387" s="106"/>
      <c r="H387" s="113"/>
      <c r="I387" s="118"/>
      <c r="J387" s="119" t="s">
        <v>193</v>
      </c>
    </row>
    <row r="388" spans="1:11" ht="30" x14ac:dyDescent="0.25">
      <c r="A388" s="88"/>
      <c r="B388" s="89"/>
      <c r="C388" s="90" t="s">
        <v>111</v>
      </c>
      <c r="D388" s="91"/>
      <c r="E388" s="92"/>
      <c r="F388" s="92"/>
      <c r="G388" s="92"/>
      <c r="H388" s="92"/>
      <c r="I388" s="92"/>
      <c r="J388" s="93"/>
    </row>
    <row r="389" spans="1:11" ht="30" x14ac:dyDescent="0.25">
      <c r="A389" s="88"/>
      <c r="B389" s="89"/>
      <c r="C389" s="95" t="s">
        <v>111</v>
      </c>
      <c r="D389" s="96"/>
      <c r="E389" s="97"/>
      <c r="F389" s="97"/>
      <c r="G389" s="97"/>
      <c r="H389" s="97"/>
      <c r="I389" s="97"/>
      <c r="J389" s="98"/>
    </row>
    <row r="390" spans="1:11" ht="54.75" customHeight="1" x14ac:dyDescent="0.25">
      <c r="A390" s="88"/>
      <c r="B390" s="89"/>
      <c r="C390" s="99"/>
      <c r="D390" s="100" t="s">
        <v>81</v>
      </c>
      <c r="E390" s="120"/>
      <c r="F390" s="120"/>
      <c r="G390" s="120"/>
      <c r="H390" s="120"/>
      <c r="I390" s="120"/>
      <c r="J390" s="103"/>
    </row>
    <row r="391" spans="1:11" ht="39.75" customHeight="1" x14ac:dyDescent="0.25">
      <c r="A391" s="88"/>
      <c r="B391" s="89"/>
      <c r="C391" s="99"/>
      <c r="D391" s="100" t="s">
        <v>82</v>
      </c>
      <c r="E391" s="120"/>
      <c r="F391" s="120"/>
      <c r="G391" s="120"/>
      <c r="H391" s="120"/>
      <c r="I391" s="120"/>
      <c r="J391" s="103"/>
    </row>
    <row r="392" spans="1:11" ht="52.5" customHeight="1" x14ac:dyDescent="0.25">
      <c r="A392" s="88"/>
      <c r="B392" s="89"/>
      <c r="C392" s="99"/>
      <c r="D392" s="103" t="s">
        <v>83</v>
      </c>
      <c r="E392" s="106"/>
      <c r="F392" s="107"/>
      <c r="G392" s="106"/>
      <c r="H392" s="107"/>
      <c r="I392" s="22"/>
      <c r="J392" s="103" t="s">
        <v>313</v>
      </c>
    </row>
    <row r="393" spans="1:11" ht="69" customHeight="1" x14ac:dyDescent="0.25">
      <c r="A393" s="81">
        <v>3</v>
      </c>
      <c r="B393" s="82" t="s">
        <v>136</v>
      </c>
      <c r="C393" s="83"/>
      <c r="D393" s="83"/>
      <c r="E393" s="84">
        <f>SUM(E394:E475)</f>
        <v>449581555761</v>
      </c>
      <c r="F393" s="85">
        <f>K393/E393*100%</f>
        <v>0</v>
      </c>
      <c r="G393" s="84">
        <f>SUM(G394:G475)</f>
        <v>0</v>
      </c>
      <c r="H393" s="85">
        <f>G393/E393*100%</f>
        <v>0</v>
      </c>
      <c r="I393" s="85"/>
      <c r="J393" s="86"/>
      <c r="K393" s="121">
        <f>SUM(K394:K475)</f>
        <v>0</v>
      </c>
    </row>
    <row r="394" spans="1:11" x14ac:dyDescent="0.25">
      <c r="A394" s="88"/>
      <c r="B394" s="89"/>
      <c r="C394" s="90" t="s">
        <v>114</v>
      </c>
      <c r="D394" s="91"/>
      <c r="E394" s="92"/>
      <c r="F394" s="92"/>
      <c r="G394" s="92"/>
      <c r="H394" s="92"/>
      <c r="I394" s="92"/>
      <c r="J394" s="93"/>
      <c r="K394" s="94"/>
    </row>
    <row r="395" spans="1:11" x14ac:dyDescent="0.25">
      <c r="A395" s="88"/>
      <c r="B395" s="89"/>
      <c r="C395" s="95" t="s">
        <v>114</v>
      </c>
      <c r="D395" s="96"/>
      <c r="E395" s="97"/>
      <c r="F395" s="97"/>
      <c r="G395" s="97"/>
      <c r="H395" s="97"/>
      <c r="I395" s="97"/>
      <c r="J395" s="98"/>
      <c r="K395" s="94"/>
    </row>
    <row r="396" spans="1:11" ht="30" x14ac:dyDescent="0.25">
      <c r="A396" s="88"/>
      <c r="B396" s="89"/>
      <c r="C396" s="99"/>
      <c r="D396" s="64" t="s">
        <v>244</v>
      </c>
      <c r="E396" s="99"/>
      <c r="F396" s="99"/>
      <c r="G396" s="99"/>
      <c r="H396" s="99"/>
      <c r="I396" s="99"/>
      <c r="J396" s="103"/>
      <c r="K396" s="94"/>
    </row>
    <row r="397" spans="1:11" x14ac:dyDescent="0.25">
      <c r="A397" s="88"/>
      <c r="B397" s="89"/>
      <c r="C397" s="99"/>
      <c r="D397" s="65" t="s">
        <v>245</v>
      </c>
      <c r="E397" s="99"/>
      <c r="F397" s="99"/>
      <c r="G397" s="99"/>
      <c r="H397" s="99"/>
      <c r="I397" s="99"/>
      <c r="J397" s="103"/>
      <c r="K397" s="94"/>
    </row>
    <row r="398" spans="1:11" ht="30" x14ac:dyDescent="0.25">
      <c r="A398" s="88"/>
      <c r="B398" s="89"/>
      <c r="C398" s="99"/>
      <c r="D398" s="80" t="s">
        <v>314</v>
      </c>
      <c r="E398" s="108">
        <v>800000000</v>
      </c>
      <c r="F398" s="170">
        <v>0</v>
      </c>
      <c r="G398" s="108">
        <v>0</v>
      </c>
      <c r="H398" s="170">
        <v>0</v>
      </c>
      <c r="I398" s="99"/>
      <c r="J398" s="103"/>
      <c r="K398" s="94">
        <f>E398*F398</f>
        <v>0</v>
      </c>
    </row>
    <row r="399" spans="1:11" ht="30" x14ac:dyDescent="0.25">
      <c r="A399" s="88"/>
      <c r="B399" s="89"/>
      <c r="C399" s="99"/>
      <c r="D399" s="80" t="s">
        <v>315</v>
      </c>
      <c r="E399" s="104"/>
      <c r="F399" s="105"/>
      <c r="G399" s="104"/>
      <c r="H399" s="105"/>
      <c r="I399" s="104"/>
      <c r="J399" s="103"/>
      <c r="K399" s="94"/>
    </row>
    <row r="400" spans="1:11" ht="75" x14ac:dyDescent="0.25">
      <c r="A400" s="88"/>
      <c r="B400" s="89"/>
      <c r="C400" s="99"/>
      <c r="D400" s="122" t="s">
        <v>137</v>
      </c>
      <c r="E400" s="163"/>
      <c r="F400" s="145"/>
      <c r="G400" s="163"/>
      <c r="H400" s="145"/>
      <c r="I400" s="163"/>
      <c r="J400" s="103"/>
      <c r="K400" s="94"/>
    </row>
    <row r="401" spans="1:11" ht="90" x14ac:dyDescent="0.25">
      <c r="A401" s="88"/>
      <c r="B401" s="89"/>
      <c r="C401" s="99"/>
      <c r="D401" s="103" t="s">
        <v>138</v>
      </c>
      <c r="E401" s="104"/>
      <c r="F401" s="105"/>
      <c r="G401" s="104"/>
      <c r="H401" s="105"/>
      <c r="I401" s="104"/>
      <c r="J401" s="103"/>
      <c r="K401" s="94"/>
    </row>
    <row r="402" spans="1:11" ht="69.75" customHeight="1" x14ac:dyDescent="0.25">
      <c r="A402" s="88"/>
      <c r="B402" s="89"/>
      <c r="C402" s="99"/>
      <c r="D402" s="64" t="s">
        <v>89</v>
      </c>
      <c r="E402" s="163"/>
      <c r="F402" s="145"/>
      <c r="G402" s="163"/>
      <c r="H402" s="145"/>
      <c r="I402" s="163"/>
      <c r="J402" s="100"/>
      <c r="K402" s="94"/>
    </row>
    <row r="403" spans="1:11" ht="30" x14ac:dyDescent="0.25">
      <c r="A403" s="88"/>
      <c r="B403" s="89"/>
      <c r="C403" s="99"/>
      <c r="D403" s="65" t="s">
        <v>235</v>
      </c>
      <c r="E403" s="163"/>
      <c r="F403" s="145"/>
      <c r="G403" s="163"/>
      <c r="H403" s="145"/>
      <c r="I403" s="163"/>
      <c r="J403" s="100"/>
      <c r="K403" s="94"/>
    </row>
    <row r="404" spans="1:11" ht="30" x14ac:dyDescent="0.25">
      <c r="A404" s="88"/>
      <c r="B404" s="89"/>
      <c r="C404" s="99"/>
      <c r="D404" s="123" t="s">
        <v>316</v>
      </c>
      <c r="E404" s="171">
        <v>0</v>
      </c>
      <c r="F404" s="157">
        <v>0</v>
      </c>
      <c r="G404" s="171">
        <v>0</v>
      </c>
      <c r="H404" s="157">
        <v>0</v>
      </c>
      <c r="I404" s="113"/>
      <c r="J404" s="100"/>
      <c r="K404" s="94">
        <f>E404*F404</f>
        <v>0</v>
      </c>
    </row>
    <row r="405" spans="1:11" ht="30" x14ac:dyDescent="0.25">
      <c r="A405" s="88"/>
      <c r="B405" s="89"/>
      <c r="C405" s="99"/>
      <c r="D405" s="123" t="s">
        <v>317</v>
      </c>
      <c r="E405" s="171">
        <v>29000000000</v>
      </c>
      <c r="F405" s="157">
        <v>0</v>
      </c>
      <c r="G405" s="171">
        <v>0</v>
      </c>
      <c r="H405" s="157">
        <v>0</v>
      </c>
      <c r="I405" s="113"/>
      <c r="J405" s="100"/>
      <c r="K405" s="94">
        <f t="shared" ref="K405:K468" si="1">E405*F405</f>
        <v>0</v>
      </c>
    </row>
    <row r="406" spans="1:11" ht="30" x14ac:dyDescent="0.25">
      <c r="A406" s="88"/>
      <c r="B406" s="89"/>
      <c r="C406" s="99"/>
      <c r="D406" s="123" t="s">
        <v>318</v>
      </c>
      <c r="E406" s="171">
        <v>500000000</v>
      </c>
      <c r="F406" s="157">
        <v>0</v>
      </c>
      <c r="G406" s="171">
        <v>0</v>
      </c>
      <c r="H406" s="157">
        <v>0</v>
      </c>
      <c r="I406" s="113"/>
      <c r="J406" s="100"/>
      <c r="K406" s="94">
        <f t="shared" si="1"/>
        <v>0</v>
      </c>
    </row>
    <row r="407" spans="1:11" ht="30" x14ac:dyDescent="0.25">
      <c r="A407" s="88"/>
      <c r="B407" s="89"/>
      <c r="C407" s="99"/>
      <c r="D407" s="123" t="s">
        <v>319</v>
      </c>
      <c r="E407" s="171">
        <v>3500000000</v>
      </c>
      <c r="F407" s="157">
        <v>0</v>
      </c>
      <c r="G407" s="171">
        <v>0</v>
      </c>
      <c r="H407" s="157">
        <v>0</v>
      </c>
      <c r="I407" s="113"/>
      <c r="J407" s="100"/>
      <c r="K407" s="94">
        <f t="shared" si="1"/>
        <v>0</v>
      </c>
    </row>
    <row r="408" spans="1:11" ht="36" customHeight="1" x14ac:dyDescent="0.25">
      <c r="A408" s="88"/>
      <c r="B408" s="89"/>
      <c r="C408" s="99"/>
      <c r="D408" s="65" t="s">
        <v>236</v>
      </c>
      <c r="E408" s="163"/>
      <c r="F408" s="163"/>
      <c r="G408" s="163"/>
      <c r="H408" s="163"/>
      <c r="I408" s="163"/>
      <c r="J408" s="103"/>
      <c r="K408" s="94">
        <f t="shared" si="1"/>
        <v>0</v>
      </c>
    </row>
    <row r="409" spans="1:11" ht="24" customHeight="1" x14ac:dyDescent="0.25">
      <c r="A409" s="88"/>
      <c r="B409" s="89"/>
      <c r="C409" s="99"/>
      <c r="D409" s="124" t="s">
        <v>139</v>
      </c>
      <c r="E409" s="168">
        <v>225000000</v>
      </c>
      <c r="F409" s="156">
        <v>0</v>
      </c>
      <c r="G409" s="168">
        <v>0</v>
      </c>
      <c r="H409" s="156">
        <v>0</v>
      </c>
      <c r="I409" s="175"/>
      <c r="J409" s="103"/>
      <c r="K409" s="94">
        <f t="shared" si="1"/>
        <v>0</v>
      </c>
    </row>
    <row r="410" spans="1:11" ht="33.75" customHeight="1" x14ac:dyDescent="0.25">
      <c r="A410" s="88"/>
      <c r="B410" s="89"/>
      <c r="C410" s="99"/>
      <c r="D410" s="126" t="s">
        <v>320</v>
      </c>
      <c r="E410" s="176"/>
      <c r="F410" s="130"/>
      <c r="G410" s="176"/>
      <c r="H410" s="130"/>
      <c r="I410" s="104"/>
      <c r="J410" s="103"/>
      <c r="K410" s="94">
        <f t="shared" si="1"/>
        <v>0</v>
      </c>
    </row>
    <row r="411" spans="1:11" ht="56.25" customHeight="1" x14ac:dyDescent="0.25">
      <c r="A411" s="88"/>
      <c r="B411" s="89"/>
      <c r="C411" s="99"/>
      <c r="D411" s="65" t="s">
        <v>237</v>
      </c>
      <c r="E411" s="163"/>
      <c r="F411" s="145"/>
      <c r="G411" s="163"/>
      <c r="H411" s="145"/>
      <c r="I411" s="163"/>
      <c r="J411" s="100"/>
      <c r="K411" s="94">
        <f t="shared" si="1"/>
        <v>0</v>
      </c>
    </row>
    <row r="412" spans="1:11" ht="60" x14ac:dyDescent="0.25">
      <c r="A412" s="88"/>
      <c r="B412" s="89"/>
      <c r="C412" s="99"/>
      <c r="D412" s="125" t="s">
        <v>321</v>
      </c>
      <c r="E412" s="171">
        <v>7703397000</v>
      </c>
      <c r="F412" s="157">
        <v>0</v>
      </c>
      <c r="G412" s="171">
        <v>0</v>
      </c>
      <c r="H412" s="157">
        <v>0</v>
      </c>
      <c r="I412" s="113"/>
      <c r="J412" s="100"/>
      <c r="K412" s="94">
        <f t="shared" si="1"/>
        <v>0</v>
      </c>
    </row>
    <row r="413" spans="1:11" ht="37.5" customHeight="1" x14ac:dyDescent="0.25">
      <c r="A413" s="88"/>
      <c r="B413" s="89"/>
      <c r="C413" s="99"/>
      <c r="D413" s="65" t="s">
        <v>238</v>
      </c>
      <c r="E413" s="163"/>
      <c r="F413" s="163"/>
      <c r="G413" s="163"/>
      <c r="H413" s="163"/>
      <c r="I413" s="163"/>
      <c r="J413" s="100"/>
      <c r="K413" s="94">
        <f t="shared" si="1"/>
        <v>0</v>
      </c>
    </row>
    <row r="414" spans="1:11" ht="30" customHeight="1" x14ac:dyDescent="0.25">
      <c r="A414" s="88"/>
      <c r="B414" s="89"/>
      <c r="C414" s="99"/>
      <c r="D414" s="126" t="s">
        <v>322</v>
      </c>
      <c r="E414" s="111"/>
      <c r="F414" s="127"/>
      <c r="G414" s="111"/>
      <c r="H414" s="127"/>
      <c r="I414" s="127"/>
      <c r="J414" s="100"/>
      <c r="K414" s="94">
        <f t="shared" si="1"/>
        <v>0</v>
      </c>
    </row>
    <row r="415" spans="1:11" ht="45" x14ac:dyDescent="0.25">
      <c r="A415" s="88"/>
      <c r="B415" s="89"/>
      <c r="C415" s="99"/>
      <c r="D415" s="126" t="s">
        <v>140</v>
      </c>
      <c r="E415" s="173">
        <v>75000000</v>
      </c>
      <c r="F415" s="156">
        <v>0</v>
      </c>
      <c r="G415" s="173">
        <v>0</v>
      </c>
      <c r="H415" s="156">
        <v>0</v>
      </c>
      <c r="I415" s="114"/>
      <c r="J415" s="103"/>
      <c r="K415" s="94">
        <f t="shared" si="1"/>
        <v>0</v>
      </c>
    </row>
    <row r="416" spans="1:11" ht="30" x14ac:dyDescent="0.25">
      <c r="A416" s="88"/>
      <c r="B416" s="89"/>
      <c r="C416" s="99"/>
      <c r="D416" s="126" t="s">
        <v>141</v>
      </c>
      <c r="E416" s="129"/>
      <c r="F416" s="161"/>
      <c r="G416" s="129"/>
      <c r="H416" s="161"/>
      <c r="I416" s="131"/>
      <c r="J416" s="103"/>
      <c r="K416" s="94">
        <f t="shared" si="1"/>
        <v>0</v>
      </c>
    </row>
    <row r="417" spans="1:11" ht="30" x14ac:dyDescent="0.25">
      <c r="A417" s="88"/>
      <c r="B417" s="89"/>
      <c r="C417" s="99"/>
      <c r="D417" s="126" t="s">
        <v>323</v>
      </c>
      <c r="E417" s="171">
        <v>500000000</v>
      </c>
      <c r="F417" s="157">
        <v>0</v>
      </c>
      <c r="G417" s="171">
        <v>0</v>
      </c>
      <c r="H417" s="157">
        <v>0</v>
      </c>
      <c r="I417" s="22"/>
      <c r="J417" s="100"/>
      <c r="K417" s="94">
        <f t="shared" si="1"/>
        <v>0</v>
      </c>
    </row>
    <row r="418" spans="1:11" ht="54" customHeight="1" x14ac:dyDescent="0.25">
      <c r="A418" s="88"/>
      <c r="B418" s="89"/>
      <c r="C418" s="99"/>
      <c r="D418" s="126" t="s">
        <v>324</v>
      </c>
      <c r="E418" s="111"/>
      <c r="F418" s="177"/>
      <c r="G418" s="111"/>
      <c r="H418" s="177"/>
      <c r="I418" s="132"/>
      <c r="J418" s="100"/>
      <c r="K418" s="94">
        <f t="shared" si="1"/>
        <v>0</v>
      </c>
    </row>
    <row r="419" spans="1:11" ht="36" customHeight="1" x14ac:dyDescent="0.25">
      <c r="A419" s="88"/>
      <c r="B419" s="89"/>
      <c r="C419" s="99"/>
      <c r="D419" s="126" t="s">
        <v>142</v>
      </c>
      <c r="E419" s="133"/>
      <c r="F419" s="161"/>
      <c r="G419" s="133"/>
      <c r="H419" s="161"/>
      <c r="I419" s="104"/>
      <c r="J419" s="103"/>
      <c r="K419" s="94">
        <f t="shared" si="1"/>
        <v>0</v>
      </c>
    </row>
    <row r="420" spans="1:11" ht="36.75" customHeight="1" x14ac:dyDescent="0.25">
      <c r="A420" s="88"/>
      <c r="B420" s="89"/>
      <c r="C420" s="99"/>
      <c r="D420" s="126" t="s">
        <v>143</v>
      </c>
      <c r="E420" s="164">
        <v>2850000000</v>
      </c>
      <c r="F420" s="156">
        <v>0</v>
      </c>
      <c r="G420" s="164">
        <v>0</v>
      </c>
      <c r="H420" s="156">
        <v>0</v>
      </c>
      <c r="I420" s="163"/>
      <c r="J420" s="103"/>
      <c r="K420" s="94">
        <f t="shared" si="1"/>
        <v>0</v>
      </c>
    </row>
    <row r="421" spans="1:11" ht="30" x14ac:dyDescent="0.25">
      <c r="A421" s="88"/>
      <c r="B421" s="89"/>
      <c r="C421" s="99"/>
      <c r="D421" s="126" t="s">
        <v>144</v>
      </c>
      <c r="E421" s="104"/>
      <c r="F421" s="104"/>
      <c r="G421" s="104"/>
      <c r="H421" s="104"/>
      <c r="I421" s="104"/>
      <c r="J421" s="103"/>
      <c r="K421" s="94">
        <f t="shared" si="1"/>
        <v>0</v>
      </c>
    </row>
    <row r="422" spans="1:11" ht="30" x14ac:dyDescent="0.25">
      <c r="A422" s="88"/>
      <c r="B422" s="89"/>
      <c r="C422" s="99"/>
      <c r="D422" s="126" t="s">
        <v>145</v>
      </c>
      <c r="E422" s="104"/>
      <c r="F422" s="104"/>
      <c r="G422" s="104"/>
      <c r="H422" s="104"/>
      <c r="I422" s="104"/>
      <c r="J422" s="103"/>
      <c r="K422" s="94">
        <f t="shared" si="1"/>
        <v>0</v>
      </c>
    </row>
    <row r="423" spans="1:11" ht="48" customHeight="1" x14ac:dyDescent="0.25">
      <c r="A423" s="88"/>
      <c r="B423" s="89"/>
      <c r="C423" s="99"/>
      <c r="D423" s="126" t="s">
        <v>146</v>
      </c>
      <c r="E423" s="104"/>
      <c r="F423" s="104"/>
      <c r="G423" s="104"/>
      <c r="H423" s="104"/>
      <c r="I423" s="104"/>
      <c r="J423" s="103"/>
      <c r="K423" s="94">
        <f t="shared" si="1"/>
        <v>0</v>
      </c>
    </row>
    <row r="424" spans="1:11" ht="51.75" customHeight="1" x14ac:dyDescent="0.25">
      <c r="A424" s="88"/>
      <c r="B424" s="89"/>
      <c r="C424" s="99"/>
      <c r="D424" s="65" t="s">
        <v>239</v>
      </c>
      <c r="E424" s="163"/>
      <c r="F424" s="163"/>
      <c r="G424" s="163"/>
      <c r="H424" s="163"/>
      <c r="I424" s="163"/>
      <c r="J424" s="100"/>
      <c r="K424" s="94">
        <f t="shared" si="1"/>
        <v>0</v>
      </c>
    </row>
    <row r="425" spans="1:11" ht="45" x14ac:dyDescent="0.25">
      <c r="A425" s="88"/>
      <c r="B425" s="89"/>
      <c r="C425" s="99"/>
      <c r="D425" s="126" t="s">
        <v>325</v>
      </c>
      <c r="E425" s="171">
        <v>268150000</v>
      </c>
      <c r="F425" s="157">
        <v>0</v>
      </c>
      <c r="G425" s="171">
        <v>0</v>
      </c>
      <c r="H425" s="157">
        <v>0</v>
      </c>
      <c r="I425" s="113"/>
      <c r="J425" s="100"/>
      <c r="K425" s="94">
        <f t="shared" si="1"/>
        <v>0</v>
      </c>
    </row>
    <row r="426" spans="1:11" ht="45" x14ac:dyDescent="0.25">
      <c r="A426" s="88"/>
      <c r="B426" s="89"/>
      <c r="C426" s="99"/>
      <c r="D426" s="126" t="s">
        <v>326</v>
      </c>
      <c r="E426" s="111"/>
      <c r="F426" s="112"/>
      <c r="G426" s="111"/>
      <c r="H426" s="112"/>
      <c r="I426" s="127"/>
      <c r="J426" s="100"/>
      <c r="K426" s="94">
        <f t="shared" si="1"/>
        <v>0</v>
      </c>
    </row>
    <row r="427" spans="1:11" ht="45" x14ac:dyDescent="0.25">
      <c r="A427" s="88"/>
      <c r="B427" s="89"/>
      <c r="C427" s="99"/>
      <c r="D427" s="126" t="s">
        <v>147</v>
      </c>
      <c r="E427" s="171">
        <v>100000000</v>
      </c>
      <c r="F427" s="157">
        <v>0</v>
      </c>
      <c r="G427" s="171">
        <v>0</v>
      </c>
      <c r="H427" s="157">
        <v>0</v>
      </c>
      <c r="I427" s="113"/>
      <c r="J427" s="103"/>
      <c r="K427" s="94">
        <f t="shared" si="1"/>
        <v>0</v>
      </c>
    </row>
    <row r="428" spans="1:11" ht="30" x14ac:dyDescent="0.25">
      <c r="A428" s="88"/>
      <c r="B428" s="89"/>
      <c r="C428" s="99"/>
      <c r="D428" s="134" t="s">
        <v>327</v>
      </c>
      <c r="E428" s="171">
        <v>50000000</v>
      </c>
      <c r="F428" s="157">
        <v>0</v>
      </c>
      <c r="G428" s="171">
        <v>0</v>
      </c>
      <c r="H428" s="157">
        <v>0</v>
      </c>
      <c r="I428" s="113"/>
      <c r="J428" s="100"/>
      <c r="K428" s="94">
        <f t="shared" si="1"/>
        <v>0</v>
      </c>
    </row>
    <row r="429" spans="1:11" ht="45" x14ac:dyDescent="0.25">
      <c r="A429" s="88"/>
      <c r="B429" s="89"/>
      <c r="C429" s="99"/>
      <c r="D429" s="65" t="s">
        <v>240</v>
      </c>
      <c r="E429" s="163"/>
      <c r="F429" s="163"/>
      <c r="G429" s="163"/>
      <c r="H429" s="163"/>
      <c r="I429" s="163"/>
      <c r="J429" s="103"/>
      <c r="K429" s="94">
        <f t="shared" si="1"/>
        <v>0</v>
      </c>
    </row>
    <row r="430" spans="1:11" ht="30" x14ac:dyDescent="0.25">
      <c r="A430" s="88"/>
      <c r="B430" s="89"/>
      <c r="C430" s="99"/>
      <c r="D430" s="126" t="s">
        <v>148</v>
      </c>
      <c r="E430" s="164">
        <v>50000000</v>
      </c>
      <c r="F430" s="156">
        <v>0</v>
      </c>
      <c r="G430" s="164">
        <v>0</v>
      </c>
      <c r="H430" s="156">
        <v>0</v>
      </c>
      <c r="I430" s="163"/>
      <c r="J430" s="103"/>
      <c r="K430" s="94">
        <f t="shared" si="1"/>
        <v>0</v>
      </c>
    </row>
    <row r="431" spans="1:11" ht="30" x14ac:dyDescent="0.25">
      <c r="A431" s="88"/>
      <c r="B431" s="89"/>
      <c r="C431" s="99"/>
      <c r="D431" s="65" t="s">
        <v>241</v>
      </c>
      <c r="E431" s="163"/>
      <c r="F431" s="163"/>
      <c r="G431" s="163"/>
      <c r="H431" s="163"/>
      <c r="I431" s="163"/>
      <c r="J431" s="103"/>
      <c r="K431" s="94">
        <f t="shared" si="1"/>
        <v>0</v>
      </c>
    </row>
    <row r="432" spans="1:11" ht="30" x14ac:dyDescent="0.25">
      <c r="A432" s="88"/>
      <c r="B432" s="89"/>
      <c r="C432" s="99"/>
      <c r="D432" s="135" t="s">
        <v>149</v>
      </c>
      <c r="E432" s="164">
        <v>50000000</v>
      </c>
      <c r="F432" s="156">
        <v>0</v>
      </c>
      <c r="G432" s="164">
        <v>0</v>
      </c>
      <c r="H432" s="156">
        <v>0</v>
      </c>
      <c r="I432" s="163"/>
      <c r="J432" s="103"/>
      <c r="K432" s="94">
        <f t="shared" si="1"/>
        <v>0</v>
      </c>
    </row>
    <row r="433" spans="1:11" ht="45" x14ac:dyDescent="0.25">
      <c r="A433" s="88"/>
      <c r="B433" s="89"/>
      <c r="C433" s="99"/>
      <c r="D433" s="135" t="s">
        <v>150</v>
      </c>
      <c r="E433" s="164">
        <v>75000000</v>
      </c>
      <c r="F433" s="156">
        <v>0</v>
      </c>
      <c r="G433" s="164">
        <v>0</v>
      </c>
      <c r="H433" s="156">
        <v>0</v>
      </c>
      <c r="I433" s="163"/>
      <c r="J433" s="103"/>
      <c r="K433" s="94">
        <f t="shared" si="1"/>
        <v>0</v>
      </c>
    </row>
    <row r="434" spans="1:11" ht="30" x14ac:dyDescent="0.25">
      <c r="A434" s="88"/>
      <c r="B434" s="89"/>
      <c r="C434" s="99"/>
      <c r="D434" s="135" t="s">
        <v>151</v>
      </c>
      <c r="E434" s="104"/>
      <c r="F434" s="178"/>
      <c r="G434" s="104"/>
      <c r="H434" s="178"/>
      <c r="I434" s="104"/>
      <c r="J434" s="103"/>
      <c r="K434" s="94">
        <f t="shared" si="1"/>
        <v>0</v>
      </c>
    </row>
    <row r="435" spans="1:11" ht="80.25" customHeight="1" x14ac:dyDescent="0.25">
      <c r="A435" s="88"/>
      <c r="B435" s="89"/>
      <c r="C435" s="99"/>
      <c r="D435" s="135" t="s">
        <v>152</v>
      </c>
      <c r="E435" s="168">
        <v>50000000</v>
      </c>
      <c r="F435" s="156">
        <v>0</v>
      </c>
      <c r="G435" s="168">
        <v>0</v>
      </c>
      <c r="H435" s="156">
        <v>0</v>
      </c>
      <c r="I435" s="163"/>
      <c r="J435" s="103"/>
      <c r="K435" s="94">
        <f t="shared" si="1"/>
        <v>0</v>
      </c>
    </row>
    <row r="436" spans="1:11" ht="66" customHeight="1" x14ac:dyDescent="0.25">
      <c r="A436" s="88"/>
      <c r="B436" s="89"/>
      <c r="C436" s="99"/>
      <c r="D436" s="135" t="s">
        <v>153</v>
      </c>
      <c r="E436" s="104"/>
      <c r="F436" s="104"/>
      <c r="G436" s="104"/>
      <c r="H436" s="104"/>
      <c r="I436" s="104"/>
      <c r="J436" s="103"/>
      <c r="K436" s="94">
        <f t="shared" si="1"/>
        <v>0</v>
      </c>
    </row>
    <row r="437" spans="1:11" ht="83.25" customHeight="1" x14ac:dyDescent="0.25">
      <c r="A437" s="88"/>
      <c r="B437" s="89"/>
      <c r="C437" s="99"/>
      <c r="D437" s="65" t="s">
        <v>242</v>
      </c>
      <c r="E437" s="163"/>
      <c r="F437" s="163"/>
      <c r="G437" s="163"/>
      <c r="H437" s="163"/>
      <c r="I437" s="163"/>
      <c r="J437" s="100"/>
      <c r="K437" s="94">
        <f t="shared" si="1"/>
        <v>0</v>
      </c>
    </row>
    <row r="438" spans="1:11" ht="82.5" customHeight="1" x14ac:dyDescent="0.25">
      <c r="A438" s="88"/>
      <c r="B438" s="89"/>
      <c r="C438" s="99"/>
      <c r="D438" s="135" t="s">
        <v>328</v>
      </c>
      <c r="E438" s="171">
        <v>50000000</v>
      </c>
      <c r="F438" s="157">
        <v>0</v>
      </c>
      <c r="G438" s="171">
        <v>0</v>
      </c>
      <c r="H438" s="157">
        <v>0</v>
      </c>
      <c r="I438" s="113"/>
      <c r="J438" s="100"/>
      <c r="K438" s="94">
        <f t="shared" si="1"/>
        <v>0</v>
      </c>
    </row>
    <row r="439" spans="1:11" ht="67.5" customHeight="1" x14ac:dyDescent="0.25">
      <c r="A439" s="88"/>
      <c r="B439" s="89"/>
      <c r="C439" s="99"/>
      <c r="D439" s="136" t="s">
        <v>154</v>
      </c>
      <c r="E439" s="163"/>
      <c r="F439" s="163"/>
      <c r="G439" s="163"/>
      <c r="H439" s="163"/>
      <c r="I439" s="163"/>
      <c r="J439" s="103"/>
      <c r="K439" s="94">
        <f t="shared" si="1"/>
        <v>0</v>
      </c>
    </row>
    <row r="440" spans="1:11" ht="56.25" customHeight="1" x14ac:dyDescent="0.25">
      <c r="A440" s="88"/>
      <c r="B440" s="89"/>
      <c r="C440" s="99"/>
      <c r="D440" s="137" t="s">
        <v>155</v>
      </c>
      <c r="E440" s="168">
        <v>800000000</v>
      </c>
      <c r="F440" s="156">
        <v>0</v>
      </c>
      <c r="G440" s="168">
        <v>0</v>
      </c>
      <c r="H440" s="156">
        <v>0</v>
      </c>
      <c r="I440" s="163"/>
      <c r="J440" s="103"/>
      <c r="K440" s="94">
        <f t="shared" si="1"/>
        <v>0</v>
      </c>
    </row>
    <row r="441" spans="1:11" ht="69" customHeight="1" x14ac:dyDescent="0.25">
      <c r="A441" s="88"/>
      <c r="B441" s="89"/>
      <c r="C441" s="99"/>
      <c r="D441" s="137" t="s">
        <v>156</v>
      </c>
      <c r="E441" s="104"/>
      <c r="F441" s="104"/>
      <c r="G441" s="104"/>
      <c r="H441" s="104"/>
      <c r="I441" s="104"/>
      <c r="J441" s="103"/>
      <c r="K441" s="94">
        <f t="shared" si="1"/>
        <v>0</v>
      </c>
    </row>
    <row r="442" spans="1:11" ht="56.25" customHeight="1" x14ac:dyDescent="0.25">
      <c r="A442" s="88"/>
      <c r="B442" s="89"/>
      <c r="C442" s="99"/>
      <c r="D442" s="137" t="s">
        <v>157</v>
      </c>
      <c r="E442" s="104"/>
      <c r="F442" s="104"/>
      <c r="G442" s="104"/>
      <c r="H442" s="104"/>
      <c r="I442" s="104"/>
      <c r="J442" s="103"/>
      <c r="K442" s="94">
        <f t="shared" si="1"/>
        <v>0</v>
      </c>
    </row>
    <row r="443" spans="1:11" ht="102.75" customHeight="1" x14ac:dyDescent="0.25">
      <c r="A443" s="88"/>
      <c r="B443" s="89"/>
      <c r="C443" s="99"/>
      <c r="D443" s="136" t="s">
        <v>158</v>
      </c>
      <c r="E443" s="163"/>
      <c r="F443" s="163"/>
      <c r="G443" s="163"/>
      <c r="H443" s="163"/>
      <c r="I443" s="163"/>
      <c r="J443" s="103"/>
      <c r="K443" s="94">
        <f t="shared" si="1"/>
        <v>0</v>
      </c>
    </row>
    <row r="444" spans="1:11" ht="82.5" customHeight="1" x14ac:dyDescent="0.25">
      <c r="A444" s="88"/>
      <c r="B444" s="89"/>
      <c r="C444" s="99"/>
      <c r="D444" s="137" t="s">
        <v>159</v>
      </c>
      <c r="E444" s="104"/>
      <c r="F444" s="104"/>
      <c r="G444" s="104"/>
      <c r="H444" s="104"/>
      <c r="I444" s="104"/>
      <c r="J444" s="103"/>
      <c r="K444" s="94">
        <f t="shared" si="1"/>
        <v>0</v>
      </c>
    </row>
    <row r="445" spans="1:11" ht="83.25" customHeight="1" x14ac:dyDescent="0.25">
      <c r="A445" s="88"/>
      <c r="B445" s="89"/>
      <c r="C445" s="99"/>
      <c r="D445" s="137" t="s">
        <v>160</v>
      </c>
      <c r="E445" s="104"/>
      <c r="F445" s="104"/>
      <c r="G445" s="104"/>
      <c r="H445" s="104"/>
      <c r="I445" s="104"/>
      <c r="J445" s="103"/>
      <c r="K445" s="94">
        <f t="shared" si="1"/>
        <v>0</v>
      </c>
    </row>
    <row r="446" spans="1:11" ht="102" customHeight="1" x14ac:dyDescent="0.25">
      <c r="A446" s="88"/>
      <c r="B446" s="89"/>
      <c r="C446" s="99"/>
      <c r="D446" s="65" t="s">
        <v>243</v>
      </c>
      <c r="E446" s="163"/>
      <c r="F446" s="163"/>
      <c r="G446" s="163"/>
      <c r="H446" s="163"/>
      <c r="I446" s="163"/>
      <c r="J446" s="100"/>
      <c r="K446" s="94">
        <f t="shared" si="1"/>
        <v>0</v>
      </c>
    </row>
    <row r="447" spans="1:11" ht="102.75" customHeight="1" x14ac:dyDescent="0.25">
      <c r="A447" s="88"/>
      <c r="B447" s="89"/>
      <c r="C447" s="99"/>
      <c r="D447" s="135" t="s">
        <v>329</v>
      </c>
      <c r="E447" s="174">
        <v>75000000</v>
      </c>
      <c r="F447" s="157">
        <v>0</v>
      </c>
      <c r="G447" s="174">
        <v>0</v>
      </c>
      <c r="H447" s="157">
        <v>0</v>
      </c>
      <c r="I447" s="113"/>
      <c r="J447" s="100"/>
      <c r="K447" s="94">
        <f t="shared" si="1"/>
        <v>0</v>
      </c>
    </row>
    <row r="448" spans="1:11" ht="90" customHeight="1" x14ac:dyDescent="0.25">
      <c r="A448" s="88"/>
      <c r="B448" s="89"/>
      <c r="C448" s="99"/>
      <c r="D448" s="135" t="s">
        <v>330</v>
      </c>
      <c r="E448" s="138"/>
      <c r="F448" s="127"/>
      <c r="G448" s="138"/>
      <c r="H448" s="127"/>
      <c r="I448" s="127"/>
      <c r="J448" s="100"/>
      <c r="K448" s="94">
        <f t="shared" si="1"/>
        <v>0</v>
      </c>
    </row>
    <row r="449" spans="1:11" ht="86.25" customHeight="1" x14ac:dyDescent="0.25">
      <c r="A449" s="88"/>
      <c r="B449" s="89"/>
      <c r="C449" s="99"/>
      <c r="D449" s="139" t="s">
        <v>161</v>
      </c>
      <c r="E449" s="163"/>
      <c r="F449" s="163"/>
      <c r="G449" s="163"/>
      <c r="H449" s="163"/>
      <c r="I449" s="163"/>
      <c r="J449" s="103"/>
      <c r="K449" s="94">
        <f t="shared" si="1"/>
        <v>0</v>
      </c>
    </row>
    <row r="450" spans="1:11" ht="90" x14ac:dyDescent="0.25">
      <c r="A450" s="88"/>
      <c r="B450" s="89"/>
      <c r="C450" s="99"/>
      <c r="D450" s="137" t="s">
        <v>162</v>
      </c>
      <c r="E450" s="104"/>
      <c r="F450" s="104"/>
      <c r="G450" s="104"/>
      <c r="H450" s="104"/>
      <c r="I450" s="104"/>
      <c r="J450" s="103"/>
      <c r="K450" s="94">
        <f t="shared" si="1"/>
        <v>0</v>
      </c>
    </row>
    <row r="451" spans="1:11" ht="88.5" customHeight="1" x14ac:dyDescent="0.25">
      <c r="A451" s="88"/>
      <c r="B451" s="89"/>
      <c r="C451" s="99"/>
      <c r="D451" s="137" t="s">
        <v>163</v>
      </c>
      <c r="E451" s="104"/>
      <c r="F451" s="104"/>
      <c r="G451" s="104"/>
      <c r="H451" s="104"/>
      <c r="I451" s="104"/>
      <c r="J451" s="103"/>
      <c r="K451" s="94">
        <f t="shared" si="1"/>
        <v>0</v>
      </c>
    </row>
    <row r="452" spans="1:11" ht="93.75" customHeight="1" x14ac:dyDescent="0.25">
      <c r="A452" s="88"/>
      <c r="B452" s="89"/>
      <c r="C452" s="99"/>
      <c r="D452" s="139" t="s">
        <v>164</v>
      </c>
      <c r="E452" s="163"/>
      <c r="F452" s="163"/>
      <c r="G452" s="163"/>
      <c r="H452" s="163"/>
      <c r="I452" s="163"/>
      <c r="J452" s="103"/>
      <c r="K452" s="94">
        <f t="shared" si="1"/>
        <v>0</v>
      </c>
    </row>
    <row r="453" spans="1:11" ht="60" x14ac:dyDescent="0.25">
      <c r="A453" s="88"/>
      <c r="B453" s="89"/>
      <c r="C453" s="99"/>
      <c r="D453" s="137" t="s">
        <v>165</v>
      </c>
      <c r="E453" s="104"/>
      <c r="F453" s="104"/>
      <c r="G453" s="104"/>
      <c r="H453" s="104"/>
      <c r="I453" s="104"/>
      <c r="J453" s="103"/>
      <c r="K453" s="94">
        <f t="shared" si="1"/>
        <v>0</v>
      </c>
    </row>
    <row r="454" spans="1:11" ht="60" x14ac:dyDescent="0.25">
      <c r="A454" s="88"/>
      <c r="B454" s="89"/>
      <c r="C454" s="99"/>
      <c r="D454" s="137" t="s">
        <v>166</v>
      </c>
      <c r="E454" s="104"/>
      <c r="F454" s="104"/>
      <c r="G454" s="104"/>
      <c r="H454" s="104"/>
      <c r="I454" s="104"/>
      <c r="J454" s="103"/>
      <c r="K454" s="94">
        <f t="shared" si="1"/>
        <v>0</v>
      </c>
    </row>
    <row r="455" spans="1:11" ht="60" x14ac:dyDescent="0.25">
      <c r="A455" s="88"/>
      <c r="B455" s="89"/>
      <c r="C455" s="99"/>
      <c r="D455" s="137" t="s">
        <v>167</v>
      </c>
      <c r="E455" s="104"/>
      <c r="F455" s="104"/>
      <c r="G455" s="104"/>
      <c r="H455" s="104"/>
      <c r="I455" s="104"/>
      <c r="J455" s="103"/>
      <c r="K455" s="94">
        <f t="shared" si="1"/>
        <v>0</v>
      </c>
    </row>
    <row r="456" spans="1:11" ht="30" x14ac:dyDescent="0.25">
      <c r="A456" s="88"/>
      <c r="B456" s="89"/>
      <c r="C456" s="90" t="s">
        <v>110</v>
      </c>
      <c r="D456" s="91"/>
      <c r="E456" s="92"/>
      <c r="F456" s="92"/>
      <c r="G456" s="92"/>
      <c r="H456" s="92"/>
      <c r="I456" s="92"/>
      <c r="J456" s="93"/>
      <c r="K456" s="94">
        <f t="shared" si="1"/>
        <v>0</v>
      </c>
    </row>
    <row r="457" spans="1:11" ht="30" x14ac:dyDescent="0.25">
      <c r="A457" s="88"/>
      <c r="B457" s="89"/>
      <c r="C457" s="95" t="s">
        <v>110</v>
      </c>
      <c r="D457" s="96"/>
      <c r="E457" s="97"/>
      <c r="F457" s="97"/>
      <c r="G457" s="97"/>
      <c r="H457" s="97"/>
      <c r="I457" s="97"/>
      <c r="J457" s="98"/>
      <c r="K457" s="94">
        <f t="shared" si="1"/>
        <v>0</v>
      </c>
    </row>
    <row r="458" spans="1:11" x14ac:dyDescent="0.25">
      <c r="A458" s="88"/>
      <c r="B458" s="89"/>
      <c r="C458" s="99"/>
      <c r="D458" s="59" t="s">
        <v>79</v>
      </c>
      <c r="E458" s="99"/>
      <c r="F458" s="99"/>
      <c r="G458" s="99"/>
      <c r="H458" s="99"/>
      <c r="I458" s="99"/>
      <c r="J458" s="100"/>
      <c r="K458" s="94">
        <f t="shared" si="1"/>
        <v>0</v>
      </c>
    </row>
    <row r="459" spans="1:11" x14ac:dyDescent="0.25">
      <c r="A459" s="88"/>
      <c r="B459" s="89"/>
      <c r="C459" s="99"/>
      <c r="D459" s="60" t="s">
        <v>215</v>
      </c>
      <c r="E459" s="99"/>
      <c r="F459" s="99"/>
      <c r="G459" s="99"/>
      <c r="H459" s="99"/>
      <c r="I459" s="99"/>
      <c r="J459" s="100"/>
      <c r="K459" s="94">
        <f t="shared" si="1"/>
        <v>0</v>
      </c>
    </row>
    <row r="460" spans="1:11" ht="66" customHeight="1" x14ac:dyDescent="0.25">
      <c r="A460" s="88"/>
      <c r="B460" s="89"/>
      <c r="C460" s="162"/>
      <c r="D460" s="179" t="s">
        <v>331</v>
      </c>
      <c r="E460" s="101">
        <v>720000000</v>
      </c>
      <c r="F460" s="165">
        <v>0</v>
      </c>
      <c r="G460" s="101">
        <v>0</v>
      </c>
      <c r="H460" s="165">
        <v>0</v>
      </c>
      <c r="I460" s="102"/>
      <c r="J460" s="103"/>
      <c r="K460" s="94">
        <f t="shared" si="1"/>
        <v>0</v>
      </c>
    </row>
    <row r="461" spans="1:11" ht="30" x14ac:dyDescent="0.25">
      <c r="A461" s="88"/>
      <c r="B461" s="89"/>
      <c r="C461" s="162"/>
      <c r="D461" s="80" t="s">
        <v>332</v>
      </c>
      <c r="E461" s="101">
        <v>12000000000</v>
      </c>
      <c r="F461" s="165">
        <v>0</v>
      </c>
      <c r="G461" s="101">
        <v>0</v>
      </c>
      <c r="H461" s="165">
        <v>0</v>
      </c>
      <c r="I461" s="102"/>
      <c r="J461" s="100"/>
      <c r="K461" s="94">
        <f t="shared" si="1"/>
        <v>0</v>
      </c>
    </row>
    <row r="462" spans="1:11" x14ac:dyDescent="0.25">
      <c r="A462" s="88"/>
      <c r="B462" s="89"/>
      <c r="C462" s="162"/>
      <c r="D462" s="80" t="s">
        <v>168</v>
      </c>
      <c r="E462" s="101">
        <v>200000000</v>
      </c>
      <c r="F462" s="165">
        <v>0</v>
      </c>
      <c r="G462" s="101">
        <v>0</v>
      </c>
      <c r="H462" s="165">
        <v>0</v>
      </c>
      <c r="I462" s="142"/>
      <c r="J462" s="103"/>
      <c r="K462" s="94">
        <f t="shared" si="1"/>
        <v>0</v>
      </c>
    </row>
    <row r="463" spans="1:11" x14ac:dyDescent="0.25">
      <c r="A463" s="88"/>
      <c r="B463" s="89"/>
      <c r="C463" s="162"/>
      <c r="D463" s="80" t="s">
        <v>216</v>
      </c>
      <c r="E463" s="101">
        <v>50412500000</v>
      </c>
      <c r="F463" s="165">
        <v>0</v>
      </c>
      <c r="G463" s="101">
        <v>0</v>
      </c>
      <c r="H463" s="165">
        <v>0</v>
      </c>
      <c r="I463" s="107"/>
      <c r="J463" s="100"/>
      <c r="K463" s="94">
        <f t="shared" si="1"/>
        <v>0</v>
      </c>
    </row>
    <row r="464" spans="1:11" x14ac:dyDescent="0.25">
      <c r="A464" s="88"/>
      <c r="B464" s="89"/>
      <c r="C464" s="162"/>
      <c r="D464" s="80" t="s">
        <v>333</v>
      </c>
      <c r="E464" s="101">
        <v>0</v>
      </c>
      <c r="F464" s="165">
        <v>0</v>
      </c>
      <c r="G464" s="101">
        <v>0</v>
      </c>
      <c r="H464" s="165">
        <v>0</v>
      </c>
      <c r="I464" s="151"/>
      <c r="J464" s="100"/>
      <c r="K464" s="94">
        <f t="shared" si="1"/>
        <v>0</v>
      </c>
    </row>
    <row r="465" spans="1:11" x14ac:dyDescent="0.25">
      <c r="A465" s="88"/>
      <c r="B465" s="89"/>
      <c r="C465" s="162"/>
      <c r="D465" s="80" t="s">
        <v>217</v>
      </c>
      <c r="E465" s="101">
        <v>168652508761</v>
      </c>
      <c r="F465" s="165">
        <v>0</v>
      </c>
      <c r="G465" s="101">
        <v>0</v>
      </c>
      <c r="H465" s="165">
        <v>0</v>
      </c>
      <c r="I465" s="107"/>
      <c r="J465" s="100"/>
      <c r="K465" s="94">
        <f t="shared" si="1"/>
        <v>0</v>
      </c>
    </row>
    <row r="466" spans="1:11" x14ac:dyDescent="0.25">
      <c r="A466" s="88"/>
      <c r="B466" s="89"/>
      <c r="C466" s="162"/>
      <c r="D466" s="80" t="s">
        <v>169</v>
      </c>
      <c r="E466" s="101">
        <v>0</v>
      </c>
      <c r="F466" s="165">
        <v>0</v>
      </c>
      <c r="G466" s="101">
        <v>0</v>
      </c>
      <c r="H466" s="165">
        <v>0</v>
      </c>
      <c r="I466" s="142"/>
      <c r="J466" s="103"/>
      <c r="K466" s="94">
        <f t="shared" si="1"/>
        <v>0</v>
      </c>
    </row>
    <row r="467" spans="1:11" x14ac:dyDescent="0.25">
      <c r="A467" s="88"/>
      <c r="B467" s="89"/>
      <c r="C467" s="162"/>
      <c r="D467" s="80" t="s">
        <v>218</v>
      </c>
      <c r="E467" s="101">
        <v>2500000000</v>
      </c>
      <c r="F467" s="165">
        <v>0</v>
      </c>
      <c r="G467" s="101">
        <v>0</v>
      </c>
      <c r="H467" s="165">
        <v>0</v>
      </c>
      <c r="I467" s="102"/>
      <c r="J467" s="103"/>
      <c r="K467" s="94">
        <f t="shared" si="1"/>
        <v>0</v>
      </c>
    </row>
    <row r="468" spans="1:11" x14ac:dyDescent="0.25">
      <c r="A468" s="88"/>
      <c r="B468" s="89"/>
      <c r="C468" s="162"/>
      <c r="D468" s="80" t="s">
        <v>170</v>
      </c>
      <c r="E468" s="101">
        <v>0</v>
      </c>
      <c r="F468" s="165">
        <v>0</v>
      </c>
      <c r="G468" s="101">
        <v>0</v>
      </c>
      <c r="H468" s="165">
        <v>0</v>
      </c>
      <c r="I468" s="142"/>
      <c r="J468" s="103"/>
      <c r="K468" s="94">
        <f t="shared" si="1"/>
        <v>0</v>
      </c>
    </row>
    <row r="469" spans="1:11" x14ac:dyDescent="0.25">
      <c r="A469" s="88"/>
      <c r="B469" s="89"/>
      <c r="C469" s="162"/>
      <c r="D469" s="80" t="s">
        <v>171</v>
      </c>
      <c r="E469" s="101">
        <v>131675000000</v>
      </c>
      <c r="F469" s="165">
        <v>0</v>
      </c>
      <c r="G469" s="101">
        <v>0</v>
      </c>
      <c r="H469" s="165">
        <v>0</v>
      </c>
      <c r="I469" s="142"/>
      <c r="J469" s="103"/>
      <c r="K469" s="94">
        <f t="shared" ref="K469:K475" si="2">E469*F469</f>
        <v>0</v>
      </c>
    </row>
    <row r="470" spans="1:11" x14ac:dyDescent="0.25">
      <c r="A470" s="88"/>
      <c r="B470" s="89"/>
      <c r="C470" s="162"/>
      <c r="D470" s="80" t="s">
        <v>172</v>
      </c>
      <c r="E470" s="101">
        <v>0</v>
      </c>
      <c r="F470" s="165">
        <v>0</v>
      </c>
      <c r="G470" s="101">
        <v>0</v>
      </c>
      <c r="H470" s="165">
        <v>0</v>
      </c>
      <c r="I470" s="142"/>
      <c r="J470" s="103"/>
      <c r="K470" s="94">
        <f t="shared" si="2"/>
        <v>0</v>
      </c>
    </row>
    <row r="471" spans="1:11" x14ac:dyDescent="0.25">
      <c r="A471" s="88"/>
      <c r="B471" s="89"/>
      <c r="C471" s="162"/>
      <c r="D471" s="80" t="s">
        <v>219</v>
      </c>
      <c r="E471" s="101">
        <v>18700000000</v>
      </c>
      <c r="F471" s="165">
        <v>0</v>
      </c>
      <c r="G471" s="101">
        <v>0</v>
      </c>
      <c r="H471" s="165">
        <v>0</v>
      </c>
      <c r="I471" s="107"/>
      <c r="J471" s="100"/>
      <c r="K471" s="94">
        <f t="shared" si="2"/>
        <v>0</v>
      </c>
    </row>
    <row r="472" spans="1:11" x14ac:dyDescent="0.25">
      <c r="A472" s="88"/>
      <c r="B472" s="89"/>
      <c r="C472" s="162"/>
      <c r="D472" s="80" t="s">
        <v>220</v>
      </c>
      <c r="E472" s="101">
        <v>5000000000</v>
      </c>
      <c r="F472" s="165">
        <v>0</v>
      </c>
      <c r="G472" s="101">
        <v>0</v>
      </c>
      <c r="H472" s="165">
        <v>0</v>
      </c>
      <c r="I472" s="107"/>
      <c r="J472" s="100"/>
      <c r="K472" s="94">
        <f t="shared" si="2"/>
        <v>0</v>
      </c>
    </row>
    <row r="473" spans="1:11" ht="30" x14ac:dyDescent="0.25">
      <c r="A473" s="88"/>
      <c r="B473" s="89"/>
      <c r="C473" s="162"/>
      <c r="D473" s="80" t="s">
        <v>221</v>
      </c>
      <c r="E473" s="101">
        <v>13000000000</v>
      </c>
      <c r="F473" s="165">
        <v>0</v>
      </c>
      <c r="G473" s="101">
        <v>0</v>
      </c>
      <c r="H473" s="165">
        <v>0</v>
      </c>
      <c r="I473" s="107"/>
      <c r="J473" s="100"/>
      <c r="K473" s="94">
        <f t="shared" si="2"/>
        <v>0</v>
      </c>
    </row>
    <row r="474" spans="1:11" ht="30" x14ac:dyDescent="0.25">
      <c r="A474" s="88"/>
      <c r="B474" s="89"/>
      <c r="C474" s="162"/>
      <c r="D474" s="80" t="s">
        <v>173</v>
      </c>
      <c r="E474" s="101">
        <v>0</v>
      </c>
      <c r="F474" s="165">
        <v>0</v>
      </c>
      <c r="G474" s="101">
        <v>0</v>
      </c>
      <c r="H474" s="165">
        <v>0</v>
      </c>
      <c r="I474" s="99"/>
      <c r="J474" s="103"/>
      <c r="K474" s="94">
        <f t="shared" si="2"/>
        <v>0</v>
      </c>
    </row>
    <row r="475" spans="1:11" ht="30" x14ac:dyDescent="0.25">
      <c r="A475" s="88"/>
      <c r="B475" s="89"/>
      <c r="C475" s="162"/>
      <c r="D475" s="80" t="s">
        <v>174</v>
      </c>
      <c r="E475" s="101">
        <v>0</v>
      </c>
      <c r="F475" s="165">
        <v>0</v>
      </c>
      <c r="G475" s="101">
        <v>0</v>
      </c>
      <c r="H475" s="165">
        <v>0</v>
      </c>
      <c r="I475" s="99"/>
      <c r="J475" s="103"/>
      <c r="K475" s="94">
        <f t="shared" si="2"/>
        <v>0</v>
      </c>
    </row>
    <row r="476" spans="1:11" ht="36" customHeight="1" x14ac:dyDescent="0.25">
      <c r="A476" s="81">
        <v>4</v>
      </c>
      <c r="B476" s="82" t="s">
        <v>175</v>
      </c>
      <c r="C476" s="83"/>
      <c r="D476" s="83"/>
      <c r="E476" s="84">
        <f>SUM(E477:E483)</f>
        <v>155000000</v>
      </c>
      <c r="F476" s="85">
        <f>K476/E476*100%</f>
        <v>0</v>
      </c>
      <c r="G476" s="84">
        <f>SUM(G477:G483)</f>
        <v>0</v>
      </c>
      <c r="H476" s="85">
        <f>G476/E476*100%</f>
        <v>0</v>
      </c>
      <c r="I476" s="85"/>
      <c r="J476" s="86" t="s">
        <v>356</v>
      </c>
      <c r="K476" s="87">
        <f>SUM(K477:K483)</f>
        <v>0</v>
      </c>
    </row>
    <row r="477" spans="1:11" ht="30" x14ac:dyDescent="0.25">
      <c r="A477" s="88"/>
      <c r="B477" s="89"/>
      <c r="C477" s="90" t="s">
        <v>113</v>
      </c>
      <c r="D477" s="91"/>
      <c r="E477" s="92"/>
      <c r="F477" s="92"/>
      <c r="G477" s="92"/>
      <c r="H477" s="92"/>
      <c r="I477" s="92"/>
      <c r="J477" s="93"/>
      <c r="K477" s="94"/>
    </row>
    <row r="478" spans="1:11" ht="30" x14ac:dyDescent="0.25">
      <c r="A478" s="88"/>
      <c r="B478" s="89"/>
      <c r="C478" s="95" t="s">
        <v>113</v>
      </c>
      <c r="D478" s="96"/>
      <c r="E478" s="97"/>
      <c r="F478" s="97"/>
      <c r="G478" s="97"/>
      <c r="H478" s="97"/>
      <c r="I478" s="97"/>
      <c r="J478" s="98"/>
      <c r="K478" s="94"/>
    </row>
    <row r="479" spans="1:11" ht="54" customHeight="1" x14ac:dyDescent="0.25">
      <c r="A479" s="88"/>
      <c r="B479" s="89"/>
      <c r="C479" s="99"/>
      <c r="D479" s="64" t="s">
        <v>88</v>
      </c>
      <c r="E479" s="99"/>
      <c r="F479" s="99"/>
      <c r="G479" s="99"/>
      <c r="H479" s="99"/>
      <c r="I479" s="99"/>
      <c r="J479" s="100"/>
      <c r="K479" s="94"/>
    </row>
    <row r="480" spans="1:11" ht="71.25" customHeight="1" x14ac:dyDescent="0.25">
      <c r="A480" s="143"/>
      <c r="B480" s="143"/>
      <c r="C480" s="99"/>
      <c r="D480" s="65" t="s">
        <v>233</v>
      </c>
      <c r="E480" s="99"/>
      <c r="F480" s="99"/>
      <c r="G480" s="99"/>
      <c r="H480" s="99"/>
      <c r="I480" s="99"/>
      <c r="J480" s="100"/>
      <c r="K480" s="94"/>
    </row>
    <row r="481" spans="1:11" ht="30" x14ac:dyDescent="0.25">
      <c r="A481" s="144"/>
      <c r="B481" s="141"/>
      <c r="C481" s="99"/>
      <c r="D481" s="153" t="s">
        <v>334</v>
      </c>
      <c r="E481" s="106">
        <v>80000000</v>
      </c>
      <c r="F481" s="155">
        <v>0</v>
      </c>
      <c r="G481" s="106">
        <v>0</v>
      </c>
      <c r="H481" s="155">
        <v>0</v>
      </c>
      <c r="I481" s="152"/>
      <c r="J481" s="100"/>
      <c r="K481" s="94">
        <f t="shared" ref="K481:K483" si="3">E481*F481</f>
        <v>0</v>
      </c>
    </row>
    <row r="482" spans="1:11" ht="57.75" customHeight="1" x14ac:dyDescent="0.25">
      <c r="A482" s="143"/>
      <c r="B482" s="143"/>
      <c r="C482" s="99"/>
      <c r="D482" s="65" t="s">
        <v>234</v>
      </c>
      <c r="E482" s="117"/>
      <c r="F482" s="110"/>
      <c r="G482" s="117"/>
      <c r="H482" s="110"/>
      <c r="I482" s="114"/>
      <c r="J482" s="100"/>
      <c r="K482" s="94">
        <f t="shared" si="3"/>
        <v>0</v>
      </c>
    </row>
    <row r="483" spans="1:11" ht="30" x14ac:dyDescent="0.25">
      <c r="A483" s="88"/>
      <c r="B483" s="89"/>
      <c r="C483" s="99"/>
      <c r="D483" s="80" t="s">
        <v>335</v>
      </c>
      <c r="E483" s="106">
        <v>75000000</v>
      </c>
      <c r="F483" s="155">
        <v>0</v>
      </c>
      <c r="G483" s="106">
        <v>0</v>
      </c>
      <c r="H483" s="155">
        <v>0</v>
      </c>
      <c r="I483" s="113"/>
      <c r="J483" s="100"/>
      <c r="K483" s="94">
        <f t="shared" si="3"/>
        <v>0</v>
      </c>
    </row>
    <row r="484" spans="1:11" ht="31.5" customHeight="1" x14ac:dyDescent="0.25">
      <c r="A484" s="88"/>
      <c r="B484" s="89"/>
      <c r="C484" s="90" t="s">
        <v>115</v>
      </c>
      <c r="D484" s="91"/>
      <c r="E484" s="92"/>
      <c r="F484" s="92"/>
      <c r="G484" s="92"/>
      <c r="H484" s="92"/>
      <c r="I484" s="92"/>
      <c r="J484" s="93"/>
      <c r="K484" s="94"/>
    </row>
    <row r="485" spans="1:11" ht="35.25" customHeight="1" x14ac:dyDescent="0.25">
      <c r="A485" s="88"/>
      <c r="B485" s="89"/>
      <c r="C485" s="95" t="s">
        <v>115</v>
      </c>
      <c r="D485" s="96"/>
      <c r="E485" s="97"/>
      <c r="F485" s="97"/>
      <c r="G485" s="97"/>
      <c r="H485" s="97"/>
      <c r="I485" s="97"/>
      <c r="J485" s="98"/>
      <c r="K485" s="94"/>
    </row>
    <row r="486" spans="1:11" ht="30" customHeight="1" x14ac:dyDescent="0.25">
      <c r="A486" s="88"/>
      <c r="B486" s="89"/>
      <c r="C486" s="99"/>
      <c r="D486" s="100" t="s">
        <v>90</v>
      </c>
      <c r="E486" s="106"/>
      <c r="F486" s="113"/>
      <c r="G486" s="106"/>
      <c r="H486" s="113"/>
      <c r="I486" s="113"/>
      <c r="J486" s="119" t="s">
        <v>207</v>
      </c>
      <c r="K486" s="94"/>
    </row>
    <row r="487" spans="1:11" x14ac:dyDescent="0.25">
      <c r="A487" s="81">
        <v>5</v>
      </c>
      <c r="B487" s="82" t="s">
        <v>176</v>
      </c>
      <c r="C487" s="83"/>
      <c r="D487" s="83"/>
      <c r="E487" s="84">
        <f>SUM(E488:E521)</f>
        <v>22105349500</v>
      </c>
      <c r="F487" s="85">
        <f>K487/E487*100%</f>
        <v>0</v>
      </c>
      <c r="G487" s="84">
        <f>SUM(G488:G521)</f>
        <v>0</v>
      </c>
      <c r="H487" s="85">
        <f>G487/E487*100%</f>
        <v>0</v>
      </c>
      <c r="I487" s="85"/>
      <c r="J487" s="86"/>
      <c r="K487" s="87">
        <f>SUM(K488:K521)</f>
        <v>0</v>
      </c>
    </row>
    <row r="488" spans="1:11" ht="35.25" customHeight="1" x14ac:dyDescent="0.25">
      <c r="A488" s="88"/>
      <c r="B488" s="89"/>
      <c r="C488" s="90" t="s">
        <v>115</v>
      </c>
      <c r="D488" s="91"/>
      <c r="E488" s="92"/>
      <c r="F488" s="92"/>
      <c r="G488" s="92"/>
      <c r="H488" s="92"/>
      <c r="I488" s="92"/>
      <c r="J488" s="93"/>
      <c r="K488" s="94"/>
    </row>
    <row r="489" spans="1:11" ht="31.5" customHeight="1" x14ac:dyDescent="0.25">
      <c r="A489" s="88"/>
      <c r="B489" s="89"/>
      <c r="C489" s="95" t="s">
        <v>115</v>
      </c>
      <c r="D489" s="96"/>
      <c r="E489" s="97"/>
      <c r="F489" s="97"/>
      <c r="G489" s="97"/>
      <c r="H489" s="97"/>
      <c r="I489" s="97"/>
      <c r="J489" s="98"/>
      <c r="K489" s="94"/>
    </row>
    <row r="490" spans="1:11" ht="33.75" customHeight="1" x14ac:dyDescent="0.25">
      <c r="A490" s="88"/>
      <c r="B490" s="89"/>
      <c r="C490" s="99"/>
      <c r="D490" s="64" t="s">
        <v>90</v>
      </c>
      <c r="E490" s="99"/>
      <c r="F490" s="99"/>
      <c r="G490" s="99"/>
      <c r="H490" s="99"/>
      <c r="I490" s="99"/>
      <c r="J490" s="100"/>
      <c r="K490" s="94"/>
    </row>
    <row r="491" spans="1:11" ht="82.5" customHeight="1" x14ac:dyDescent="0.25">
      <c r="A491" s="143"/>
      <c r="B491" s="143"/>
      <c r="C491" s="99"/>
      <c r="D491" s="65" t="s">
        <v>246</v>
      </c>
      <c r="E491" s="99"/>
      <c r="F491" s="99"/>
      <c r="G491" s="99"/>
      <c r="H491" s="99"/>
      <c r="I491" s="99"/>
      <c r="J491" s="100"/>
      <c r="K491" s="94"/>
    </row>
    <row r="492" spans="1:11" ht="30" x14ac:dyDescent="0.25">
      <c r="A492" s="144"/>
      <c r="B492" s="141"/>
      <c r="C492" s="99"/>
      <c r="D492" s="80" t="s">
        <v>177</v>
      </c>
      <c r="E492" s="104"/>
      <c r="F492" s="104"/>
      <c r="G492" s="104"/>
      <c r="H492" s="104"/>
      <c r="I492" s="104"/>
      <c r="J492" s="103"/>
      <c r="K492" s="94"/>
    </row>
    <row r="493" spans="1:11" ht="60" customHeight="1" x14ac:dyDescent="0.25">
      <c r="A493" s="144"/>
      <c r="B493" s="141"/>
      <c r="C493" s="99"/>
      <c r="D493" s="80" t="s">
        <v>178</v>
      </c>
      <c r="E493" s="168">
        <v>200000000</v>
      </c>
      <c r="F493" s="156">
        <v>0</v>
      </c>
      <c r="G493" s="168">
        <v>0</v>
      </c>
      <c r="H493" s="156">
        <v>0</v>
      </c>
      <c r="I493" s="163"/>
      <c r="J493" s="103"/>
      <c r="K493" s="94"/>
    </row>
    <row r="494" spans="1:11" ht="30" x14ac:dyDescent="0.25">
      <c r="A494" s="144"/>
      <c r="B494" s="141"/>
      <c r="C494" s="99"/>
      <c r="D494" s="80" t="s">
        <v>247</v>
      </c>
      <c r="E494" s="168">
        <v>8500000000</v>
      </c>
      <c r="F494" s="156">
        <v>0</v>
      </c>
      <c r="G494" s="168">
        <v>0</v>
      </c>
      <c r="H494" s="156">
        <v>0</v>
      </c>
      <c r="I494" s="151"/>
      <c r="J494" s="100"/>
      <c r="K494" s="94">
        <f t="shared" ref="K494:K521" si="4">E494*F494</f>
        <v>0</v>
      </c>
    </row>
    <row r="495" spans="1:11" ht="52.5" customHeight="1" x14ac:dyDescent="0.25">
      <c r="A495" s="144"/>
      <c r="B495" s="141"/>
      <c r="C495" s="99"/>
      <c r="D495" s="65" t="s">
        <v>248</v>
      </c>
      <c r="E495" s="180"/>
      <c r="F495" s="145"/>
      <c r="G495" s="180"/>
      <c r="H495" s="145"/>
      <c r="I495" s="145"/>
      <c r="J495" s="100"/>
      <c r="K495" s="94">
        <f t="shared" si="4"/>
        <v>0</v>
      </c>
    </row>
    <row r="496" spans="1:11" ht="45" x14ac:dyDescent="0.25">
      <c r="A496" s="144"/>
      <c r="B496" s="141"/>
      <c r="C496" s="99"/>
      <c r="D496" s="80" t="s">
        <v>179</v>
      </c>
      <c r="E496" s="181">
        <v>50000000</v>
      </c>
      <c r="F496" s="156">
        <v>0</v>
      </c>
      <c r="G496" s="181">
        <v>0</v>
      </c>
      <c r="H496" s="156">
        <v>0</v>
      </c>
      <c r="I496" s="145"/>
      <c r="J496" s="103"/>
      <c r="K496" s="94">
        <f t="shared" si="4"/>
        <v>0</v>
      </c>
    </row>
    <row r="497" spans="1:11" ht="45" x14ac:dyDescent="0.25">
      <c r="A497" s="144"/>
      <c r="B497" s="141"/>
      <c r="C497" s="99"/>
      <c r="D497" s="80" t="s">
        <v>180</v>
      </c>
      <c r="E497" s="181">
        <v>375000000</v>
      </c>
      <c r="F497" s="156">
        <v>0</v>
      </c>
      <c r="G497" s="181">
        <v>0</v>
      </c>
      <c r="H497" s="156">
        <v>0</v>
      </c>
      <c r="I497" s="145"/>
      <c r="J497" s="103"/>
      <c r="K497" s="94">
        <f t="shared" si="4"/>
        <v>0</v>
      </c>
    </row>
    <row r="498" spans="1:11" ht="30" x14ac:dyDescent="0.25">
      <c r="A498" s="144"/>
      <c r="B498" s="141"/>
      <c r="C498" s="99"/>
      <c r="D498" s="80" t="s">
        <v>249</v>
      </c>
      <c r="E498" s="181">
        <v>25000000</v>
      </c>
      <c r="F498" s="156">
        <v>0</v>
      </c>
      <c r="G498" s="181">
        <v>0</v>
      </c>
      <c r="H498" s="156">
        <v>0</v>
      </c>
      <c r="I498" s="151"/>
      <c r="J498" s="100"/>
      <c r="K498" s="94">
        <f t="shared" si="4"/>
        <v>0</v>
      </c>
    </row>
    <row r="499" spans="1:11" ht="30" customHeight="1" x14ac:dyDescent="0.25">
      <c r="A499" s="144"/>
      <c r="B499" s="141"/>
      <c r="C499" s="99"/>
      <c r="D499" s="80" t="s">
        <v>250</v>
      </c>
      <c r="E499" s="181">
        <v>0</v>
      </c>
      <c r="F499" s="156">
        <v>0</v>
      </c>
      <c r="G499" s="181">
        <v>0</v>
      </c>
      <c r="H499" s="156">
        <v>0</v>
      </c>
      <c r="I499" s="151"/>
      <c r="J499" s="100"/>
      <c r="K499" s="94">
        <f t="shared" si="4"/>
        <v>0</v>
      </c>
    </row>
    <row r="500" spans="1:11" ht="30" x14ac:dyDescent="0.25">
      <c r="A500" s="144"/>
      <c r="B500" s="141"/>
      <c r="C500" s="99"/>
      <c r="D500" s="80" t="s">
        <v>251</v>
      </c>
      <c r="E500" s="181">
        <v>25000000</v>
      </c>
      <c r="F500" s="156">
        <v>0</v>
      </c>
      <c r="G500" s="181">
        <v>0</v>
      </c>
      <c r="H500" s="156">
        <v>0</v>
      </c>
      <c r="I500" s="151"/>
      <c r="J500" s="100"/>
      <c r="K500" s="94">
        <f t="shared" si="4"/>
        <v>0</v>
      </c>
    </row>
    <row r="501" spans="1:11" ht="30" x14ac:dyDescent="0.25">
      <c r="A501" s="144"/>
      <c r="B501" s="141"/>
      <c r="C501" s="99"/>
      <c r="D501" s="80" t="s">
        <v>181</v>
      </c>
      <c r="E501" s="111"/>
      <c r="F501" s="177"/>
      <c r="G501" s="111"/>
      <c r="H501" s="177"/>
      <c r="I501" s="112"/>
      <c r="J501" s="103"/>
      <c r="K501" s="94">
        <f t="shared" si="4"/>
        <v>0</v>
      </c>
    </row>
    <row r="502" spans="1:11" ht="51" customHeight="1" x14ac:dyDescent="0.25">
      <c r="A502" s="144"/>
      <c r="B502" s="141"/>
      <c r="C502" s="99"/>
      <c r="D502" s="153" t="s">
        <v>336</v>
      </c>
      <c r="E502" s="171">
        <v>500000000</v>
      </c>
      <c r="F502" s="157">
        <v>0</v>
      </c>
      <c r="G502" s="171">
        <v>0</v>
      </c>
      <c r="H502" s="157">
        <v>0</v>
      </c>
      <c r="I502" s="151"/>
      <c r="J502" s="100"/>
      <c r="K502" s="94">
        <f t="shared" si="4"/>
        <v>0</v>
      </c>
    </row>
    <row r="503" spans="1:11" ht="30" x14ac:dyDescent="0.25">
      <c r="A503" s="144"/>
      <c r="B503" s="141"/>
      <c r="C503" s="99"/>
      <c r="D503" s="80" t="s">
        <v>182</v>
      </c>
      <c r="E503" s="171">
        <v>8756000000</v>
      </c>
      <c r="F503" s="157">
        <v>0</v>
      </c>
      <c r="G503" s="171">
        <v>0</v>
      </c>
      <c r="H503" s="157">
        <v>0</v>
      </c>
      <c r="I503" s="151"/>
      <c r="J503" s="103"/>
      <c r="K503" s="94">
        <f t="shared" si="4"/>
        <v>0</v>
      </c>
    </row>
    <row r="504" spans="1:11" ht="45" x14ac:dyDescent="0.25">
      <c r="A504" s="144"/>
      <c r="B504" s="141"/>
      <c r="C504" s="99"/>
      <c r="D504" s="80" t="s">
        <v>252</v>
      </c>
      <c r="E504" s="171">
        <v>1500000000</v>
      </c>
      <c r="F504" s="157">
        <v>0</v>
      </c>
      <c r="G504" s="171">
        <v>0</v>
      </c>
      <c r="H504" s="157">
        <v>0</v>
      </c>
      <c r="I504" s="151"/>
      <c r="J504" s="100"/>
      <c r="K504" s="94">
        <f t="shared" si="4"/>
        <v>0</v>
      </c>
    </row>
    <row r="505" spans="1:11" ht="45" x14ac:dyDescent="0.25">
      <c r="A505" s="144"/>
      <c r="B505" s="141"/>
      <c r="C505" s="99"/>
      <c r="D505" s="80" t="s">
        <v>337</v>
      </c>
      <c r="E505" s="111"/>
      <c r="F505" s="177"/>
      <c r="G505" s="111"/>
      <c r="H505" s="177"/>
      <c r="I505" s="127"/>
      <c r="J505" s="103"/>
      <c r="K505" s="94">
        <f t="shared" si="4"/>
        <v>0</v>
      </c>
    </row>
    <row r="506" spans="1:11" ht="30" x14ac:dyDescent="0.25">
      <c r="A506" s="144"/>
      <c r="B506" s="141"/>
      <c r="C506" s="99"/>
      <c r="D506" s="80" t="s">
        <v>183</v>
      </c>
      <c r="E506" s="168">
        <v>75000000</v>
      </c>
      <c r="F506" s="156">
        <v>0</v>
      </c>
      <c r="G506" s="168">
        <v>0</v>
      </c>
      <c r="H506" s="156">
        <v>0</v>
      </c>
      <c r="I506" s="163"/>
      <c r="J506" s="103"/>
      <c r="K506" s="94">
        <f t="shared" si="4"/>
        <v>0</v>
      </c>
    </row>
    <row r="507" spans="1:11" ht="30" x14ac:dyDescent="0.25">
      <c r="A507" s="144"/>
      <c r="B507" s="141"/>
      <c r="C507" s="99"/>
      <c r="D507" s="80" t="s">
        <v>184</v>
      </c>
      <c r="E507" s="168">
        <v>50000000</v>
      </c>
      <c r="F507" s="156">
        <v>0</v>
      </c>
      <c r="G507" s="168">
        <v>0</v>
      </c>
      <c r="H507" s="156">
        <v>0</v>
      </c>
      <c r="I507" s="163"/>
      <c r="J507" s="103"/>
      <c r="K507" s="94">
        <f t="shared" si="4"/>
        <v>0</v>
      </c>
    </row>
    <row r="508" spans="1:11" ht="72.75" customHeight="1" x14ac:dyDescent="0.25">
      <c r="A508" s="144"/>
      <c r="B508" s="141"/>
      <c r="C508" s="90" t="s">
        <v>185</v>
      </c>
      <c r="D508" s="91"/>
      <c r="E508" s="92"/>
      <c r="F508" s="92"/>
      <c r="G508" s="92"/>
      <c r="H508" s="92"/>
      <c r="I508" s="92"/>
      <c r="J508" s="93"/>
      <c r="K508" s="94">
        <f t="shared" si="4"/>
        <v>0</v>
      </c>
    </row>
    <row r="509" spans="1:11" ht="69.75" customHeight="1" x14ac:dyDescent="0.25">
      <c r="A509" s="144"/>
      <c r="B509" s="141"/>
      <c r="C509" s="95" t="s">
        <v>185</v>
      </c>
      <c r="D509" s="96"/>
      <c r="E509" s="97"/>
      <c r="F509" s="97"/>
      <c r="G509" s="97"/>
      <c r="H509" s="97"/>
      <c r="I509" s="97"/>
      <c r="J509" s="98"/>
      <c r="K509" s="94">
        <f t="shared" si="4"/>
        <v>0</v>
      </c>
    </row>
    <row r="510" spans="1:11" ht="33.75" customHeight="1" x14ac:dyDescent="0.25">
      <c r="A510" s="144"/>
      <c r="B510" s="141"/>
      <c r="C510" s="99"/>
      <c r="D510" s="68" t="s">
        <v>93</v>
      </c>
      <c r="E510" s="99"/>
      <c r="F510" s="99"/>
      <c r="G510" s="99"/>
      <c r="H510" s="99"/>
      <c r="I510" s="99"/>
      <c r="J510" s="100"/>
      <c r="K510" s="94">
        <f t="shared" si="4"/>
        <v>0</v>
      </c>
    </row>
    <row r="511" spans="1:11" ht="102.75" customHeight="1" x14ac:dyDescent="0.25">
      <c r="A511" s="144"/>
      <c r="B511" s="141"/>
      <c r="C511" s="99"/>
      <c r="D511" s="67" t="s">
        <v>255</v>
      </c>
      <c r="E511" s="99"/>
      <c r="F511" s="99"/>
      <c r="G511" s="99"/>
      <c r="H511" s="99"/>
      <c r="I511" s="99"/>
      <c r="J511" s="100"/>
      <c r="K511" s="94">
        <f t="shared" si="4"/>
        <v>0</v>
      </c>
    </row>
    <row r="512" spans="1:11" ht="89.25" customHeight="1" x14ac:dyDescent="0.25">
      <c r="A512" s="144"/>
      <c r="B512" s="141"/>
      <c r="C512" s="99"/>
      <c r="D512" s="153" t="s">
        <v>338</v>
      </c>
      <c r="E512" s="106">
        <v>300000000</v>
      </c>
      <c r="F512" s="155">
        <v>0</v>
      </c>
      <c r="G512" s="106">
        <v>0</v>
      </c>
      <c r="H512" s="155">
        <v>0</v>
      </c>
      <c r="I512" s="107"/>
      <c r="J512" s="100"/>
      <c r="K512" s="94">
        <f t="shared" si="4"/>
        <v>0</v>
      </c>
    </row>
    <row r="513" spans="1:11" ht="65.25" customHeight="1" x14ac:dyDescent="0.25">
      <c r="A513" s="144"/>
      <c r="B513" s="141"/>
      <c r="C513" s="99"/>
      <c r="D513" s="68" t="s">
        <v>94</v>
      </c>
      <c r="E513" s="146"/>
      <c r="F513" s="182"/>
      <c r="G513" s="146"/>
      <c r="H513" s="182"/>
      <c r="I513" s="147"/>
      <c r="J513" s="100"/>
      <c r="K513" s="94">
        <f t="shared" si="4"/>
        <v>0</v>
      </c>
    </row>
    <row r="514" spans="1:11" ht="84.75" customHeight="1" x14ac:dyDescent="0.25">
      <c r="A514" s="144"/>
      <c r="B514" s="141"/>
      <c r="C514" s="99"/>
      <c r="D514" s="67" t="s">
        <v>256</v>
      </c>
      <c r="E514" s="146"/>
      <c r="F514" s="182"/>
      <c r="G514" s="146"/>
      <c r="H514" s="182"/>
      <c r="I514" s="147"/>
      <c r="J514" s="100"/>
      <c r="K514" s="94">
        <f t="shared" si="4"/>
        <v>0</v>
      </c>
    </row>
    <row r="515" spans="1:11" ht="82.5" customHeight="1" x14ac:dyDescent="0.25">
      <c r="A515" s="144"/>
      <c r="B515" s="141"/>
      <c r="C515" s="99"/>
      <c r="D515" s="153" t="s">
        <v>339</v>
      </c>
      <c r="E515" s="106">
        <v>500000000</v>
      </c>
      <c r="F515" s="155">
        <v>0</v>
      </c>
      <c r="G515" s="106">
        <v>0</v>
      </c>
      <c r="H515" s="155">
        <v>0</v>
      </c>
      <c r="I515" s="107"/>
      <c r="J515" s="100"/>
      <c r="K515" s="94">
        <f t="shared" si="4"/>
        <v>0</v>
      </c>
    </row>
    <row r="516" spans="1:11" ht="88.5" customHeight="1" x14ac:dyDescent="0.25">
      <c r="A516" s="144"/>
      <c r="B516" s="141"/>
      <c r="C516" s="90" t="s">
        <v>265</v>
      </c>
      <c r="D516" s="91"/>
      <c r="E516" s="92"/>
      <c r="F516" s="92"/>
      <c r="G516" s="92"/>
      <c r="H516" s="92"/>
      <c r="I516" s="92"/>
      <c r="J516" s="93"/>
      <c r="K516" s="94">
        <f t="shared" si="4"/>
        <v>0</v>
      </c>
    </row>
    <row r="517" spans="1:11" ht="84" customHeight="1" x14ac:dyDescent="0.25">
      <c r="A517" s="144"/>
      <c r="B517" s="141"/>
      <c r="C517" s="95" t="s">
        <v>265</v>
      </c>
      <c r="D517" s="96"/>
      <c r="E517" s="97"/>
      <c r="F517" s="97"/>
      <c r="G517" s="97"/>
      <c r="H517" s="97"/>
      <c r="I517" s="97"/>
      <c r="J517" s="98"/>
      <c r="K517" s="94">
        <f t="shared" si="4"/>
        <v>0</v>
      </c>
    </row>
    <row r="518" spans="1:11" ht="66.75" customHeight="1" x14ac:dyDescent="0.25">
      <c r="A518" s="144"/>
      <c r="B518" s="141"/>
      <c r="C518" s="99"/>
      <c r="D518" s="59" t="s">
        <v>98</v>
      </c>
      <c r="E518" s="99"/>
      <c r="F518" s="99"/>
      <c r="G518" s="99"/>
      <c r="H518" s="99"/>
      <c r="I518" s="99"/>
      <c r="J518" s="100"/>
      <c r="K518" s="94">
        <f t="shared" si="4"/>
        <v>0</v>
      </c>
    </row>
    <row r="519" spans="1:11" ht="71.25" customHeight="1" x14ac:dyDescent="0.25">
      <c r="A519" s="144"/>
      <c r="B519" s="141"/>
      <c r="C519" s="99"/>
      <c r="D519" s="60" t="s">
        <v>259</v>
      </c>
      <c r="E519" s="99"/>
      <c r="F519" s="99"/>
      <c r="G519" s="99"/>
      <c r="H519" s="99"/>
      <c r="I519" s="99"/>
      <c r="J519" s="100"/>
      <c r="K519" s="94">
        <f t="shared" si="4"/>
        <v>0</v>
      </c>
    </row>
    <row r="520" spans="1:11" ht="52.5" customHeight="1" x14ac:dyDescent="0.25">
      <c r="A520" s="144"/>
      <c r="B520" s="141"/>
      <c r="C520" s="99"/>
      <c r="D520" s="153" t="s">
        <v>340</v>
      </c>
      <c r="E520" s="106">
        <v>632349500</v>
      </c>
      <c r="F520" s="107">
        <v>0</v>
      </c>
      <c r="G520" s="106">
        <v>0</v>
      </c>
      <c r="H520" s="107">
        <v>0</v>
      </c>
      <c r="I520" s="113"/>
      <c r="J520" s="100"/>
      <c r="K520" s="94">
        <f t="shared" si="4"/>
        <v>0</v>
      </c>
    </row>
    <row r="521" spans="1:11" ht="52.5" customHeight="1" x14ac:dyDescent="0.25">
      <c r="A521" s="144"/>
      <c r="B521" s="141"/>
      <c r="C521" s="99"/>
      <c r="D521" s="153" t="s">
        <v>260</v>
      </c>
      <c r="E521" s="106">
        <v>617000000</v>
      </c>
      <c r="F521" s="107">
        <v>0</v>
      </c>
      <c r="G521" s="106">
        <v>0</v>
      </c>
      <c r="H521" s="107">
        <v>0</v>
      </c>
      <c r="I521" s="113"/>
      <c r="J521" s="100"/>
      <c r="K521" s="94">
        <f t="shared" si="4"/>
        <v>0</v>
      </c>
    </row>
    <row r="522" spans="1:11" ht="30" x14ac:dyDescent="0.25">
      <c r="A522" s="81">
        <v>6</v>
      </c>
      <c r="B522" s="82" t="s">
        <v>186</v>
      </c>
      <c r="C522" s="83"/>
      <c r="D522" s="83"/>
      <c r="E522" s="84">
        <f>SUM(E523:E528)</f>
        <v>28509857000</v>
      </c>
      <c r="F522" s="85">
        <f>K522/E522*100%</f>
        <v>0</v>
      </c>
      <c r="G522" s="84">
        <f>SUM(G523:G528)</f>
        <v>0</v>
      </c>
      <c r="H522" s="85">
        <f>G522/E522*100%</f>
        <v>0</v>
      </c>
      <c r="I522" s="85"/>
      <c r="J522" s="86"/>
      <c r="K522" s="87">
        <f>SUM(K523:K528)</f>
        <v>0</v>
      </c>
    </row>
    <row r="523" spans="1:11" ht="36" customHeight="1" x14ac:dyDescent="0.25">
      <c r="A523" s="88"/>
      <c r="B523" s="89"/>
      <c r="C523" s="183" t="s">
        <v>0</v>
      </c>
      <c r="D523" s="91"/>
      <c r="E523" s="92"/>
      <c r="F523" s="92"/>
      <c r="G523" s="92"/>
      <c r="H523" s="92"/>
      <c r="I523" s="92"/>
      <c r="J523" s="93"/>
      <c r="K523" s="94"/>
    </row>
    <row r="524" spans="1:11" ht="33.75" customHeight="1" x14ac:dyDescent="0.25">
      <c r="A524" s="88"/>
      <c r="B524" s="89"/>
      <c r="C524" s="184" t="s">
        <v>0</v>
      </c>
      <c r="D524" s="96"/>
      <c r="E524" s="97"/>
      <c r="F524" s="97"/>
      <c r="G524" s="97"/>
      <c r="H524" s="97"/>
      <c r="I524" s="97"/>
      <c r="J524" s="98"/>
      <c r="K524" s="94"/>
    </row>
    <row r="525" spans="1:11" ht="71.25" customHeight="1" x14ac:dyDescent="0.25">
      <c r="A525" s="88"/>
      <c r="B525" s="89"/>
      <c r="C525" s="99"/>
      <c r="D525" s="56" t="s">
        <v>76</v>
      </c>
      <c r="E525" s="99"/>
      <c r="F525" s="99"/>
      <c r="G525" s="99"/>
      <c r="H525" s="99"/>
      <c r="I525" s="99"/>
      <c r="J525" s="100"/>
      <c r="K525" s="94"/>
    </row>
    <row r="526" spans="1:11" ht="69" customHeight="1" x14ac:dyDescent="0.25">
      <c r="A526" s="88"/>
      <c r="B526" s="89"/>
      <c r="C526" s="99"/>
      <c r="D526" s="57" t="s">
        <v>209</v>
      </c>
      <c r="E526" s="99"/>
      <c r="F526" s="99"/>
      <c r="G526" s="99"/>
      <c r="H526" s="99"/>
      <c r="I526" s="99"/>
      <c r="J526" s="100"/>
      <c r="K526" s="94"/>
    </row>
    <row r="527" spans="1:11" ht="24.75" customHeight="1" x14ac:dyDescent="0.25">
      <c r="A527" s="88"/>
      <c r="B527" s="89"/>
      <c r="C527" s="99"/>
      <c r="D527" s="54" t="s">
        <v>210</v>
      </c>
      <c r="E527" s="128">
        <v>28209857000</v>
      </c>
      <c r="F527" s="109">
        <v>0</v>
      </c>
      <c r="G527" s="128">
        <v>0</v>
      </c>
      <c r="H527" s="109">
        <v>0</v>
      </c>
      <c r="I527" s="148"/>
      <c r="J527" s="128"/>
      <c r="K527" s="128">
        <v>0</v>
      </c>
    </row>
    <row r="528" spans="1:11" ht="38.25" customHeight="1" x14ac:dyDescent="0.25">
      <c r="A528" s="88"/>
      <c r="B528" s="89"/>
      <c r="C528" s="99"/>
      <c r="D528" s="54" t="s">
        <v>211</v>
      </c>
      <c r="E528" s="128">
        <v>300000000</v>
      </c>
      <c r="F528" s="170">
        <v>0</v>
      </c>
      <c r="G528" s="128">
        <v>0</v>
      </c>
      <c r="H528" s="170">
        <v>0</v>
      </c>
      <c r="I528" s="148"/>
      <c r="J528" s="100"/>
      <c r="K528" s="94">
        <f>E528*F528</f>
        <v>0</v>
      </c>
    </row>
    <row r="529" spans="1:11" ht="45" x14ac:dyDescent="0.25">
      <c r="A529" s="81">
        <v>7</v>
      </c>
      <c r="B529" s="82" t="s">
        <v>187</v>
      </c>
      <c r="C529" s="83"/>
      <c r="D529" s="83"/>
      <c r="E529" s="84">
        <f>SUM(E530:E556)</f>
        <v>25054224000</v>
      </c>
      <c r="F529" s="85">
        <f>K529/E529*100%</f>
        <v>0</v>
      </c>
      <c r="G529" s="84">
        <f>SUM(G530:G556)</f>
        <v>0</v>
      </c>
      <c r="H529" s="85">
        <f>G529/E529*100%</f>
        <v>0</v>
      </c>
      <c r="I529" s="85"/>
      <c r="J529" s="86" t="s">
        <v>357</v>
      </c>
      <c r="K529" s="87">
        <f>SUM(K530:K556)</f>
        <v>0</v>
      </c>
    </row>
    <row r="530" spans="1:11" ht="51" customHeight="1" x14ac:dyDescent="0.25">
      <c r="A530" s="88"/>
      <c r="B530" s="89"/>
      <c r="C530" s="90" t="s">
        <v>208</v>
      </c>
      <c r="D530" s="91"/>
      <c r="E530" s="92"/>
      <c r="F530" s="92"/>
      <c r="G530" s="92"/>
      <c r="H530" s="92"/>
      <c r="I530" s="92"/>
      <c r="J530" s="93"/>
      <c r="K530" s="94"/>
    </row>
    <row r="531" spans="1:11" ht="48.75" customHeight="1" x14ac:dyDescent="0.25">
      <c r="A531" s="88"/>
      <c r="B531" s="89"/>
      <c r="C531" s="95" t="s">
        <v>208</v>
      </c>
      <c r="D531" s="96"/>
      <c r="E531" s="97"/>
      <c r="F531" s="97"/>
      <c r="G531" s="97"/>
      <c r="H531" s="97"/>
      <c r="I531" s="97"/>
      <c r="J531" s="98"/>
      <c r="K531" s="94"/>
    </row>
    <row r="532" spans="1:11" ht="33.75" customHeight="1" x14ac:dyDescent="0.25">
      <c r="A532" s="88"/>
      <c r="B532" s="89"/>
      <c r="C532" s="99"/>
      <c r="D532" s="52" t="s">
        <v>72</v>
      </c>
      <c r="E532" s="99"/>
      <c r="F532" s="99"/>
      <c r="G532" s="99"/>
      <c r="H532" s="99"/>
      <c r="I532" s="99"/>
      <c r="J532" s="100"/>
      <c r="K532" s="94"/>
    </row>
    <row r="533" spans="1:11" ht="35.25" customHeight="1" x14ac:dyDescent="0.25">
      <c r="A533" s="88"/>
      <c r="B533" s="89"/>
      <c r="C533" s="99"/>
      <c r="D533" s="55" t="s">
        <v>73</v>
      </c>
      <c r="E533" s="99"/>
      <c r="F533" s="99"/>
      <c r="G533" s="99"/>
      <c r="H533" s="99"/>
      <c r="I533" s="99"/>
      <c r="J533" s="100"/>
      <c r="K533" s="94"/>
    </row>
    <row r="534" spans="1:11" x14ac:dyDescent="0.25">
      <c r="A534" s="88"/>
      <c r="B534" s="89"/>
      <c r="C534" s="99"/>
      <c r="D534" s="80" t="s">
        <v>64</v>
      </c>
      <c r="E534" s="186">
        <v>400000000</v>
      </c>
      <c r="F534" s="156">
        <v>0</v>
      </c>
      <c r="G534" s="186">
        <v>0</v>
      </c>
      <c r="H534" s="156">
        <v>0</v>
      </c>
      <c r="I534" s="163"/>
      <c r="J534" s="103"/>
      <c r="K534" s="94"/>
    </row>
    <row r="535" spans="1:11" ht="30" x14ac:dyDescent="0.25">
      <c r="A535" s="88"/>
      <c r="B535" s="89"/>
      <c r="C535" s="141"/>
      <c r="D535" s="80" t="s">
        <v>188</v>
      </c>
      <c r="E535" s="164">
        <v>0</v>
      </c>
      <c r="F535" s="156">
        <v>0</v>
      </c>
      <c r="G535" s="164">
        <v>0</v>
      </c>
      <c r="H535" s="156">
        <v>0</v>
      </c>
      <c r="I535" s="163"/>
      <c r="J535" s="103"/>
      <c r="K535" s="94">
        <f>E535*F535</f>
        <v>0</v>
      </c>
    </row>
    <row r="536" spans="1:11" ht="30" x14ac:dyDescent="0.25">
      <c r="A536" s="88"/>
      <c r="B536" s="89"/>
      <c r="C536" s="141"/>
      <c r="D536" s="80" t="s">
        <v>65</v>
      </c>
      <c r="E536" s="171">
        <v>1193243000</v>
      </c>
      <c r="F536" s="157">
        <v>0</v>
      </c>
      <c r="G536" s="171">
        <v>0</v>
      </c>
      <c r="H536" s="157">
        <v>0</v>
      </c>
      <c r="I536" s="113"/>
      <c r="J536" s="100"/>
      <c r="K536" s="94">
        <f t="shared" ref="K536:K556" si="5">E536*F536</f>
        <v>0</v>
      </c>
    </row>
    <row r="537" spans="1:11" ht="31.5" customHeight="1" x14ac:dyDescent="0.25">
      <c r="A537" s="88"/>
      <c r="B537" s="89"/>
      <c r="C537" s="141"/>
      <c r="D537" s="153" t="s">
        <v>66</v>
      </c>
      <c r="E537" s="171">
        <v>5309729000</v>
      </c>
      <c r="F537" s="157">
        <v>0</v>
      </c>
      <c r="G537" s="171">
        <v>0</v>
      </c>
      <c r="H537" s="157">
        <v>0</v>
      </c>
      <c r="I537" s="113"/>
      <c r="J537" s="100"/>
      <c r="K537" s="94">
        <f t="shared" si="5"/>
        <v>0</v>
      </c>
    </row>
    <row r="538" spans="1:11" ht="30" x14ac:dyDescent="0.25">
      <c r="A538" s="88"/>
      <c r="B538" s="89"/>
      <c r="C538" s="141"/>
      <c r="D538" s="80" t="s">
        <v>67</v>
      </c>
      <c r="E538" s="111"/>
      <c r="F538" s="177"/>
      <c r="G538" s="111"/>
      <c r="H538" s="177"/>
      <c r="I538" s="127"/>
      <c r="J538" s="100"/>
      <c r="K538" s="94">
        <f t="shared" si="5"/>
        <v>0</v>
      </c>
    </row>
    <row r="539" spans="1:11" ht="30" x14ac:dyDescent="0.25">
      <c r="A539" s="88"/>
      <c r="B539" s="89"/>
      <c r="C539" s="141"/>
      <c r="D539" s="80" t="s">
        <v>68</v>
      </c>
      <c r="E539" s="111"/>
      <c r="F539" s="177"/>
      <c r="G539" s="111"/>
      <c r="H539" s="177"/>
      <c r="I539" s="127"/>
      <c r="J539" s="100"/>
      <c r="K539" s="94">
        <f t="shared" si="5"/>
        <v>0</v>
      </c>
    </row>
    <row r="540" spans="1:11" ht="24.75" customHeight="1" x14ac:dyDescent="0.25">
      <c r="A540" s="88"/>
      <c r="B540" s="89"/>
      <c r="C540" s="141"/>
      <c r="D540" s="153" t="s">
        <v>69</v>
      </c>
      <c r="E540" s="171">
        <v>5500000000</v>
      </c>
      <c r="F540" s="157">
        <v>0</v>
      </c>
      <c r="G540" s="171">
        <v>0</v>
      </c>
      <c r="H540" s="157">
        <v>0</v>
      </c>
      <c r="I540" s="113"/>
      <c r="J540" s="100"/>
      <c r="K540" s="94">
        <f t="shared" si="5"/>
        <v>0</v>
      </c>
    </row>
    <row r="541" spans="1:11" ht="30" x14ac:dyDescent="0.25">
      <c r="A541" s="88"/>
      <c r="B541" s="89"/>
      <c r="C541" s="99"/>
      <c r="D541" s="55" t="s">
        <v>74</v>
      </c>
      <c r="E541" s="163"/>
      <c r="F541" s="145"/>
      <c r="G541" s="163"/>
      <c r="H541" s="145"/>
      <c r="I541" s="163"/>
      <c r="J541" s="100"/>
      <c r="K541" s="94">
        <f t="shared" si="5"/>
        <v>0</v>
      </c>
    </row>
    <row r="542" spans="1:11" s="188" customFormat="1" ht="40.5" customHeight="1" x14ac:dyDescent="0.25">
      <c r="A542" s="88"/>
      <c r="B542" s="89"/>
      <c r="C542" s="187"/>
      <c r="D542" s="153" t="s">
        <v>189</v>
      </c>
      <c r="E542" s="164">
        <v>1000000000</v>
      </c>
      <c r="F542" s="156">
        <v>0</v>
      </c>
      <c r="G542" s="164">
        <v>0</v>
      </c>
      <c r="H542" s="156">
        <v>0</v>
      </c>
      <c r="I542" s="185"/>
      <c r="J542" s="103"/>
      <c r="K542" s="94">
        <f t="shared" si="5"/>
        <v>0</v>
      </c>
    </row>
    <row r="543" spans="1:11" s="188" customFormat="1" ht="27.75" customHeight="1" x14ac:dyDescent="0.25">
      <c r="A543" s="88"/>
      <c r="B543" s="89"/>
      <c r="C543" s="187"/>
      <c r="D543" s="153" t="s">
        <v>64</v>
      </c>
      <c r="E543" s="164">
        <v>400000000</v>
      </c>
      <c r="F543" s="156">
        <v>0</v>
      </c>
      <c r="G543" s="164">
        <v>0</v>
      </c>
      <c r="H543" s="156">
        <v>0</v>
      </c>
      <c r="I543" s="185"/>
      <c r="J543" s="103"/>
      <c r="K543" s="94">
        <f t="shared" si="5"/>
        <v>0</v>
      </c>
    </row>
    <row r="544" spans="1:11" ht="30" x14ac:dyDescent="0.25">
      <c r="A544" s="88"/>
      <c r="B544" s="89"/>
      <c r="C544" s="99"/>
      <c r="D544" s="153" t="s">
        <v>188</v>
      </c>
      <c r="E544" s="168">
        <v>896383000</v>
      </c>
      <c r="F544" s="156">
        <v>0</v>
      </c>
      <c r="G544" s="168">
        <v>0</v>
      </c>
      <c r="H544" s="156">
        <v>0</v>
      </c>
      <c r="I544" s="163"/>
      <c r="J544" s="103"/>
      <c r="K544" s="94">
        <f t="shared" si="5"/>
        <v>0</v>
      </c>
    </row>
    <row r="545" spans="1:11" ht="30" x14ac:dyDescent="0.25">
      <c r="A545" s="88"/>
      <c r="B545" s="89"/>
      <c r="C545" s="141"/>
      <c r="D545" s="153" t="s">
        <v>65</v>
      </c>
      <c r="E545" s="171">
        <v>3957277000</v>
      </c>
      <c r="F545" s="157">
        <v>0</v>
      </c>
      <c r="G545" s="171">
        <v>0</v>
      </c>
      <c r="H545" s="157">
        <v>0</v>
      </c>
      <c r="I545" s="113"/>
      <c r="J545" s="100"/>
      <c r="K545" s="94">
        <f t="shared" si="5"/>
        <v>0</v>
      </c>
    </row>
    <row r="546" spans="1:11" ht="30" x14ac:dyDescent="0.25">
      <c r="A546" s="88"/>
      <c r="B546" s="89"/>
      <c r="C546" s="141"/>
      <c r="D546" s="153" t="s">
        <v>190</v>
      </c>
      <c r="E546" s="171">
        <v>905347000</v>
      </c>
      <c r="F546" s="157">
        <v>0</v>
      </c>
      <c r="G546" s="171">
        <v>0</v>
      </c>
      <c r="H546" s="157">
        <v>0</v>
      </c>
      <c r="I546" s="113"/>
      <c r="J546" s="103"/>
      <c r="K546" s="94">
        <f t="shared" si="5"/>
        <v>0</v>
      </c>
    </row>
    <row r="547" spans="1:11" ht="30" x14ac:dyDescent="0.25">
      <c r="A547" s="88"/>
      <c r="B547" s="89"/>
      <c r="C547" s="141"/>
      <c r="D547" s="153" t="s">
        <v>70</v>
      </c>
      <c r="E547" s="171">
        <v>1794064000</v>
      </c>
      <c r="F547" s="157">
        <v>0</v>
      </c>
      <c r="G547" s="171">
        <v>0</v>
      </c>
      <c r="H547" s="157">
        <v>0</v>
      </c>
      <c r="I547" s="113"/>
      <c r="J547" s="100"/>
      <c r="K547" s="94">
        <f t="shared" si="5"/>
        <v>0</v>
      </c>
    </row>
    <row r="548" spans="1:11" ht="30" x14ac:dyDescent="0.25">
      <c r="A548" s="88"/>
      <c r="B548" s="89"/>
      <c r="C548" s="141"/>
      <c r="D548" s="153" t="s">
        <v>67</v>
      </c>
      <c r="E548" s="171">
        <v>103000000</v>
      </c>
      <c r="F548" s="157">
        <v>0</v>
      </c>
      <c r="G548" s="171">
        <v>0</v>
      </c>
      <c r="H548" s="157">
        <v>0</v>
      </c>
      <c r="I548" s="113"/>
      <c r="J548" s="103"/>
      <c r="K548" s="94">
        <f t="shared" si="5"/>
        <v>0</v>
      </c>
    </row>
    <row r="549" spans="1:11" ht="30" x14ac:dyDescent="0.25">
      <c r="A549" s="88"/>
      <c r="B549" s="89"/>
      <c r="C549" s="141"/>
      <c r="D549" s="153" t="s">
        <v>68</v>
      </c>
      <c r="E549" s="111"/>
      <c r="F549" s="177"/>
      <c r="G549" s="111"/>
      <c r="H549" s="177"/>
      <c r="I549" s="127"/>
      <c r="J549" s="100"/>
      <c r="K549" s="94">
        <f t="shared" si="5"/>
        <v>0</v>
      </c>
    </row>
    <row r="550" spans="1:11" ht="24.75" customHeight="1" x14ac:dyDescent="0.25">
      <c r="A550" s="88"/>
      <c r="B550" s="89"/>
      <c r="C550" s="141"/>
      <c r="D550" s="153" t="s">
        <v>69</v>
      </c>
      <c r="E550" s="171">
        <v>1700000000</v>
      </c>
      <c r="F550" s="157">
        <v>0</v>
      </c>
      <c r="G550" s="171">
        <v>0</v>
      </c>
      <c r="H550" s="157">
        <v>0</v>
      </c>
      <c r="I550" s="113"/>
      <c r="J550" s="100"/>
      <c r="K550" s="94">
        <f t="shared" si="5"/>
        <v>0</v>
      </c>
    </row>
    <row r="551" spans="1:11" ht="41.25" customHeight="1" x14ac:dyDescent="0.25">
      <c r="A551" s="88"/>
      <c r="B551" s="89"/>
      <c r="C551" s="99"/>
      <c r="D551" s="53" t="s">
        <v>75</v>
      </c>
      <c r="E551" s="163"/>
      <c r="F551" s="145"/>
      <c r="G551" s="163"/>
      <c r="H551" s="145"/>
      <c r="I551" s="163"/>
      <c r="J551" s="100"/>
      <c r="K551" s="94">
        <f t="shared" si="5"/>
        <v>0</v>
      </c>
    </row>
    <row r="552" spans="1:11" ht="30" x14ac:dyDescent="0.25">
      <c r="A552" s="88"/>
      <c r="B552" s="89"/>
      <c r="C552" s="141"/>
      <c r="D552" s="153" t="s">
        <v>341</v>
      </c>
      <c r="E552" s="111"/>
      <c r="F552" s="177"/>
      <c r="G552" s="111"/>
      <c r="H552" s="177"/>
      <c r="I552" s="127"/>
      <c r="J552" s="100"/>
      <c r="K552" s="94">
        <f t="shared" si="5"/>
        <v>0</v>
      </c>
    </row>
    <row r="553" spans="1:11" ht="30" x14ac:dyDescent="0.25">
      <c r="A553" s="88"/>
      <c r="B553" s="89"/>
      <c r="C553" s="141"/>
      <c r="D553" s="153" t="s">
        <v>116</v>
      </c>
      <c r="E553" s="111"/>
      <c r="F553" s="112"/>
      <c r="G553" s="111"/>
      <c r="H553" s="112"/>
      <c r="I553" s="127"/>
      <c r="J553" s="100"/>
      <c r="K553" s="94">
        <f t="shared" si="5"/>
        <v>0</v>
      </c>
    </row>
    <row r="554" spans="1:11" ht="48.75" customHeight="1" x14ac:dyDescent="0.25">
      <c r="A554" s="88"/>
      <c r="B554" s="89"/>
      <c r="C554" s="141"/>
      <c r="D554" s="153" t="s">
        <v>71</v>
      </c>
      <c r="E554" s="171">
        <v>284073000</v>
      </c>
      <c r="F554" s="157">
        <v>0</v>
      </c>
      <c r="G554" s="171">
        <v>0</v>
      </c>
      <c r="H554" s="157">
        <v>0</v>
      </c>
      <c r="I554" s="113"/>
      <c r="J554" s="100"/>
      <c r="K554" s="94">
        <f t="shared" si="5"/>
        <v>0</v>
      </c>
    </row>
    <row r="555" spans="1:11" ht="51.75" customHeight="1" x14ac:dyDescent="0.25">
      <c r="A555" s="88"/>
      <c r="B555" s="89"/>
      <c r="C555" s="141"/>
      <c r="D555" s="153" t="s">
        <v>342</v>
      </c>
      <c r="E555" s="171">
        <v>1511108000</v>
      </c>
      <c r="F555" s="157">
        <v>0</v>
      </c>
      <c r="G555" s="171">
        <v>0</v>
      </c>
      <c r="H555" s="157">
        <v>0</v>
      </c>
      <c r="I555" s="113"/>
      <c r="J555" s="100"/>
      <c r="K555" s="94">
        <f t="shared" si="5"/>
        <v>0</v>
      </c>
    </row>
    <row r="556" spans="1:11" ht="28.5" customHeight="1" x14ac:dyDescent="0.25">
      <c r="A556" s="88"/>
      <c r="B556" s="89"/>
      <c r="C556" s="141"/>
      <c r="D556" s="153" t="s">
        <v>191</v>
      </c>
      <c r="E556" s="106">
        <v>100000000</v>
      </c>
      <c r="F556" s="155">
        <v>0</v>
      </c>
      <c r="G556" s="106">
        <v>0</v>
      </c>
      <c r="H556" s="155">
        <v>0</v>
      </c>
      <c r="I556" s="113"/>
      <c r="J556" s="103"/>
      <c r="K556" s="94">
        <f t="shared" si="5"/>
        <v>0</v>
      </c>
    </row>
    <row r="557" spans="1:11" x14ac:dyDescent="0.25">
      <c r="A557" s="88"/>
      <c r="B557" s="89"/>
      <c r="C557" s="90" t="s">
        <v>133</v>
      </c>
      <c r="D557" s="91"/>
      <c r="E557" s="92"/>
      <c r="F557" s="92"/>
      <c r="G557" s="92"/>
      <c r="H557" s="92"/>
      <c r="I557" s="92"/>
      <c r="J557" s="93"/>
      <c r="K557" s="94"/>
    </row>
    <row r="558" spans="1:11" x14ac:dyDescent="0.25">
      <c r="A558" s="88"/>
      <c r="B558" s="89"/>
      <c r="C558" s="95" t="s">
        <v>134</v>
      </c>
      <c r="D558" s="96"/>
      <c r="E558" s="97"/>
      <c r="F558" s="97"/>
      <c r="G558" s="97"/>
      <c r="H558" s="97"/>
      <c r="I558" s="97"/>
      <c r="J558" s="98"/>
      <c r="K558" s="94"/>
    </row>
    <row r="559" spans="1:11" ht="51.75" customHeight="1" x14ac:dyDescent="0.25">
      <c r="A559" s="88"/>
      <c r="B559" s="89"/>
      <c r="C559" s="99"/>
      <c r="D559" s="100" t="s">
        <v>135</v>
      </c>
      <c r="E559" s="106"/>
      <c r="F559" s="113"/>
      <c r="G559" s="106"/>
      <c r="H559" s="113"/>
      <c r="I559" s="113"/>
      <c r="J559" s="119" t="s">
        <v>193</v>
      </c>
      <c r="K559" s="94"/>
    </row>
    <row r="560" spans="1:11" ht="39" customHeight="1" x14ac:dyDescent="0.25">
      <c r="A560" s="81">
        <v>8</v>
      </c>
      <c r="B560" s="82" t="s">
        <v>192</v>
      </c>
      <c r="C560" s="83"/>
      <c r="D560" s="83"/>
      <c r="E560" s="84">
        <f>SUM(E561:E565)</f>
        <v>50000000</v>
      </c>
      <c r="F560" s="85">
        <f>K560/E560*100%</f>
        <v>0</v>
      </c>
      <c r="G560" s="84">
        <f>SUM(G561:G565)</f>
        <v>0</v>
      </c>
      <c r="H560" s="85">
        <f>G560/E560*100%</f>
        <v>0</v>
      </c>
      <c r="I560" s="85"/>
      <c r="J560" s="86" t="s">
        <v>357</v>
      </c>
      <c r="K560" s="87">
        <f>SUM(K561:K565)</f>
        <v>0</v>
      </c>
    </row>
    <row r="561" spans="1:11" ht="50.25" customHeight="1" x14ac:dyDescent="0.25">
      <c r="A561" s="88"/>
      <c r="B561" s="89"/>
      <c r="C561" s="90" t="s">
        <v>266</v>
      </c>
      <c r="D561" s="91"/>
      <c r="E561" s="92"/>
      <c r="F561" s="92"/>
      <c r="G561" s="92"/>
      <c r="H561" s="92"/>
      <c r="I561" s="92"/>
      <c r="J561" s="93"/>
      <c r="K561" s="94"/>
    </row>
    <row r="562" spans="1:11" ht="52.5" customHeight="1" x14ac:dyDescent="0.25">
      <c r="A562" s="88"/>
      <c r="B562" s="89"/>
      <c r="C562" s="95" t="s">
        <v>266</v>
      </c>
      <c r="D562" s="96"/>
      <c r="E562" s="97"/>
      <c r="F562" s="97"/>
      <c r="G562" s="97"/>
      <c r="H562" s="97"/>
      <c r="I562" s="97"/>
      <c r="J562" s="98"/>
      <c r="K562" s="94"/>
    </row>
    <row r="563" spans="1:11" ht="39.75" customHeight="1" x14ac:dyDescent="0.25">
      <c r="A563" s="88"/>
      <c r="B563" s="89"/>
      <c r="C563" s="99"/>
      <c r="D563" s="72" t="s">
        <v>96</v>
      </c>
      <c r="E563" s="99"/>
      <c r="F563" s="99"/>
      <c r="G563" s="99"/>
      <c r="H563" s="99"/>
      <c r="I563" s="99"/>
      <c r="J563" s="100"/>
      <c r="K563" s="94"/>
    </row>
    <row r="564" spans="1:11" ht="36" customHeight="1" x14ac:dyDescent="0.25">
      <c r="A564" s="88"/>
      <c r="B564" s="89"/>
      <c r="C564" s="99"/>
      <c r="D564" s="63" t="s">
        <v>230</v>
      </c>
      <c r="E564" s="99"/>
      <c r="F564" s="99"/>
      <c r="G564" s="99"/>
      <c r="H564" s="99"/>
      <c r="I564" s="99"/>
      <c r="J564" s="100"/>
      <c r="K564" s="94"/>
    </row>
    <row r="565" spans="1:11" ht="36.75" customHeight="1" x14ac:dyDescent="0.25">
      <c r="A565" s="88"/>
      <c r="B565" s="89"/>
      <c r="C565" s="99"/>
      <c r="D565" s="153" t="s">
        <v>343</v>
      </c>
      <c r="E565" s="108">
        <v>50000000</v>
      </c>
      <c r="F565" s="170">
        <v>0</v>
      </c>
      <c r="G565" s="108">
        <v>0</v>
      </c>
      <c r="H565" s="170">
        <v>0</v>
      </c>
      <c r="I565" s="99"/>
      <c r="J565" s="103"/>
      <c r="K565" s="94">
        <f t="shared" ref="K565" si="6">E565*F565</f>
        <v>0</v>
      </c>
    </row>
    <row r="566" spans="1:11" x14ac:dyDescent="0.25">
      <c r="A566" s="88"/>
      <c r="B566" s="89"/>
      <c r="C566" s="90" t="s">
        <v>133</v>
      </c>
      <c r="D566" s="91"/>
      <c r="E566" s="92"/>
      <c r="F566" s="92"/>
      <c r="G566" s="92"/>
      <c r="H566" s="92"/>
      <c r="I566" s="92"/>
      <c r="J566" s="93"/>
      <c r="K566" s="94"/>
    </row>
    <row r="567" spans="1:11" x14ac:dyDescent="0.25">
      <c r="A567" s="88"/>
      <c r="B567" s="89"/>
      <c r="C567" s="95" t="s">
        <v>134</v>
      </c>
      <c r="D567" s="96"/>
      <c r="E567" s="97"/>
      <c r="F567" s="97"/>
      <c r="G567" s="97"/>
      <c r="H567" s="97"/>
      <c r="I567" s="97"/>
      <c r="J567" s="98"/>
      <c r="K567" s="94"/>
    </row>
    <row r="568" spans="1:11" ht="50.25" customHeight="1" x14ac:dyDescent="0.25">
      <c r="A568" s="88"/>
      <c r="B568" s="89"/>
      <c r="C568" s="99"/>
      <c r="D568" s="100" t="s">
        <v>135</v>
      </c>
      <c r="E568" s="106"/>
      <c r="F568" s="113"/>
      <c r="G568" s="106"/>
      <c r="H568" s="113"/>
      <c r="I568" s="113"/>
      <c r="J568" s="119" t="s">
        <v>193</v>
      </c>
      <c r="K568" s="94"/>
    </row>
    <row r="569" spans="1:11" ht="52.5" customHeight="1" x14ac:dyDescent="0.25">
      <c r="A569" s="81">
        <v>9</v>
      </c>
      <c r="B569" s="82" t="s">
        <v>194</v>
      </c>
      <c r="C569" s="83"/>
      <c r="D569" s="83"/>
      <c r="E569" s="84">
        <f>SUM(E570:E595)</f>
        <v>43005847000</v>
      </c>
      <c r="F569" s="85">
        <f>K569/E569*100%</f>
        <v>0</v>
      </c>
      <c r="G569" s="84">
        <f>SUM(G570:G595)</f>
        <v>0</v>
      </c>
      <c r="H569" s="85">
        <f>G569/E569*100%</f>
        <v>0</v>
      </c>
      <c r="I569" s="85"/>
      <c r="J569" s="86" t="s">
        <v>357</v>
      </c>
      <c r="K569" s="87">
        <f>SUM(K570:K595)</f>
        <v>0</v>
      </c>
    </row>
    <row r="570" spans="1:11" ht="50.25" customHeight="1" x14ac:dyDescent="0.25">
      <c r="A570" s="88"/>
      <c r="B570" s="89"/>
      <c r="C570" s="90" t="s">
        <v>195</v>
      </c>
      <c r="D570" s="91"/>
      <c r="E570" s="92"/>
      <c r="F570" s="92"/>
      <c r="G570" s="92"/>
      <c r="H570" s="92"/>
      <c r="I570" s="92"/>
      <c r="J570" s="93"/>
      <c r="K570" s="94"/>
    </row>
    <row r="571" spans="1:11" ht="53.25" customHeight="1" x14ac:dyDescent="0.25">
      <c r="A571" s="88"/>
      <c r="B571" s="89"/>
      <c r="C571" s="95" t="s">
        <v>195</v>
      </c>
      <c r="D571" s="96"/>
      <c r="E571" s="97"/>
      <c r="F571" s="97"/>
      <c r="G571" s="97"/>
      <c r="H571" s="97"/>
      <c r="I571" s="97"/>
      <c r="J571" s="98"/>
      <c r="K571" s="94"/>
    </row>
    <row r="572" spans="1:11" ht="38.25" customHeight="1" x14ac:dyDescent="0.25">
      <c r="A572" s="88"/>
      <c r="B572" s="89"/>
      <c r="C572" s="99"/>
      <c r="D572" s="59" t="s">
        <v>80</v>
      </c>
      <c r="E572" s="99"/>
      <c r="F572" s="99"/>
      <c r="G572" s="99"/>
      <c r="H572" s="99"/>
      <c r="I572" s="99"/>
      <c r="J572" s="100"/>
      <c r="K572" s="94"/>
    </row>
    <row r="573" spans="1:11" ht="72.75" customHeight="1" x14ac:dyDescent="0.25">
      <c r="A573" s="88"/>
      <c r="B573" s="89"/>
      <c r="C573" s="99"/>
      <c r="D573" s="60" t="s">
        <v>222</v>
      </c>
      <c r="E573" s="99"/>
      <c r="F573" s="99"/>
      <c r="G573" s="99"/>
      <c r="H573" s="99"/>
      <c r="I573" s="99"/>
      <c r="J573" s="103"/>
      <c r="K573" s="94"/>
    </row>
    <row r="574" spans="1:11" ht="58.5" customHeight="1" x14ac:dyDescent="0.25">
      <c r="A574" s="88"/>
      <c r="B574" s="89"/>
      <c r="C574" s="162"/>
      <c r="D574" s="179" t="s">
        <v>365</v>
      </c>
      <c r="E574" s="108">
        <v>350000000</v>
      </c>
      <c r="F574" s="170">
        <v>0</v>
      </c>
      <c r="G574" s="108">
        <v>0</v>
      </c>
      <c r="H574" s="170">
        <v>0</v>
      </c>
      <c r="I574" s="99"/>
      <c r="J574" s="103"/>
      <c r="K574" s="94">
        <f t="shared" ref="K574:K590" si="7">E574*F574</f>
        <v>0</v>
      </c>
    </row>
    <row r="575" spans="1:11" ht="48.75" customHeight="1" x14ac:dyDescent="0.25">
      <c r="A575" s="88"/>
      <c r="B575" s="89"/>
      <c r="C575" s="162"/>
      <c r="D575" s="179" t="s">
        <v>366</v>
      </c>
      <c r="E575" s="108">
        <v>200000000</v>
      </c>
      <c r="F575" s="170">
        <v>0</v>
      </c>
      <c r="G575" s="108">
        <v>0</v>
      </c>
      <c r="H575" s="170">
        <v>0</v>
      </c>
      <c r="I575" s="99"/>
      <c r="J575" s="103"/>
      <c r="K575" s="94">
        <f t="shared" si="7"/>
        <v>0</v>
      </c>
    </row>
    <row r="576" spans="1:11" ht="54.75" customHeight="1" x14ac:dyDescent="0.25">
      <c r="A576" s="88"/>
      <c r="B576" s="89"/>
      <c r="C576" s="162"/>
      <c r="D576" s="179" t="s">
        <v>367</v>
      </c>
      <c r="E576" s="108">
        <v>50000000</v>
      </c>
      <c r="F576" s="170">
        <v>0</v>
      </c>
      <c r="G576" s="108">
        <v>0</v>
      </c>
      <c r="H576" s="170">
        <v>0</v>
      </c>
      <c r="I576" s="99"/>
      <c r="J576" s="103"/>
      <c r="K576" s="94">
        <f t="shared" si="7"/>
        <v>0</v>
      </c>
    </row>
    <row r="577" spans="1:11" ht="39" customHeight="1" x14ac:dyDescent="0.25">
      <c r="A577" s="88"/>
      <c r="B577" s="89"/>
      <c r="C577" s="162"/>
      <c r="D577" s="153" t="s">
        <v>196</v>
      </c>
      <c r="E577" s="108">
        <v>50000000</v>
      </c>
      <c r="F577" s="170">
        <v>0</v>
      </c>
      <c r="G577" s="108">
        <v>0</v>
      </c>
      <c r="H577" s="170">
        <v>0</v>
      </c>
      <c r="I577" s="99"/>
      <c r="J577" s="103"/>
      <c r="K577" s="94">
        <f t="shared" si="7"/>
        <v>0</v>
      </c>
    </row>
    <row r="578" spans="1:11" ht="61.5" customHeight="1" x14ac:dyDescent="0.25">
      <c r="A578" s="88"/>
      <c r="B578" s="89"/>
      <c r="C578" s="162"/>
      <c r="D578" s="153" t="s">
        <v>197</v>
      </c>
      <c r="E578" s="108">
        <v>50000000</v>
      </c>
      <c r="F578" s="170">
        <v>0</v>
      </c>
      <c r="G578" s="108">
        <v>0</v>
      </c>
      <c r="H578" s="170">
        <v>0</v>
      </c>
      <c r="I578" s="99"/>
      <c r="J578" s="103"/>
      <c r="K578" s="94">
        <f t="shared" si="7"/>
        <v>0</v>
      </c>
    </row>
    <row r="579" spans="1:11" ht="54" customHeight="1" x14ac:dyDescent="0.25">
      <c r="A579" s="88"/>
      <c r="B579" s="89"/>
      <c r="C579" s="162"/>
      <c r="D579" s="153" t="s">
        <v>198</v>
      </c>
      <c r="E579" s="108">
        <v>100000000</v>
      </c>
      <c r="F579" s="170">
        <v>0</v>
      </c>
      <c r="G579" s="108">
        <v>0</v>
      </c>
      <c r="H579" s="170">
        <v>0</v>
      </c>
      <c r="I579" s="99"/>
      <c r="J579" s="103"/>
      <c r="K579" s="94">
        <f t="shared" si="7"/>
        <v>0</v>
      </c>
    </row>
    <row r="580" spans="1:11" ht="82.5" customHeight="1" x14ac:dyDescent="0.25">
      <c r="A580" s="88"/>
      <c r="B580" s="89"/>
      <c r="C580" s="99"/>
      <c r="D580" s="60" t="s">
        <v>223</v>
      </c>
      <c r="E580" s="99"/>
      <c r="F580" s="99"/>
      <c r="G580" s="99"/>
      <c r="H580" s="99"/>
      <c r="I580" s="99"/>
      <c r="J580" s="103"/>
      <c r="K580" s="94">
        <f t="shared" si="7"/>
        <v>0</v>
      </c>
    </row>
    <row r="581" spans="1:11" ht="66" customHeight="1" x14ac:dyDescent="0.25">
      <c r="A581" s="88"/>
      <c r="B581" s="89"/>
      <c r="C581" s="99"/>
      <c r="D581" s="103" t="s">
        <v>199</v>
      </c>
      <c r="E581" s="128">
        <v>50000000</v>
      </c>
      <c r="F581" s="170">
        <v>0</v>
      </c>
      <c r="G581" s="128">
        <v>0</v>
      </c>
      <c r="H581" s="170">
        <v>0</v>
      </c>
      <c r="I581" s="99"/>
      <c r="J581" s="103"/>
      <c r="K581" s="94">
        <f t="shared" si="7"/>
        <v>0</v>
      </c>
    </row>
    <row r="582" spans="1:11" ht="65.25" customHeight="1" x14ac:dyDescent="0.25">
      <c r="A582" s="88"/>
      <c r="B582" s="89"/>
      <c r="C582" s="99"/>
      <c r="D582" s="60" t="s">
        <v>224</v>
      </c>
      <c r="E582" s="149"/>
      <c r="F582" s="109"/>
      <c r="G582" s="149"/>
      <c r="H582" s="109"/>
      <c r="I582" s="99"/>
      <c r="J582" s="103"/>
      <c r="K582" s="94">
        <f t="shared" si="7"/>
        <v>0</v>
      </c>
    </row>
    <row r="583" spans="1:11" ht="39" customHeight="1" x14ac:dyDescent="0.25">
      <c r="A583" s="88"/>
      <c r="B583" s="89"/>
      <c r="C583" s="99"/>
      <c r="D583" s="103" t="s">
        <v>200</v>
      </c>
      <c r="E583" s="173">
        <v>50000000</v>
      </c>
      <c r="F583" s="156">
        <v>0</v>
      </c>
      <c r="G583" s="173">
        <v>0</v>
      </c>
      <c r="H583" s="156">
        <v>0</v>
      </c>
      <c r="I583" s="163"/>
      <c r="J583" s="103"/>
      <c r="K583" s="94">
        <f t="shared" si="7"/>
        <v>0</v>
      </c>
    </row>
    <row r="584" spans="1:11" ht="56.25" customHeight="1" x14ac:dyDescent="0.25">
      <c r="A584" s="88"/>
      <c r="B584" s="89"/>
      <c r="C584" s="99"/>
      <c r="D584" s="103" t="s">
        <v>201</v>
      </c>
      <c r="E584" s="173">
        <v>1100000000</v>
      </c>
      <c r="F584" s="156">
        <v>0</v>
      </c>
      <c r="G584" s="173">
        <v>0</v>
      </c>
      <c r="H584" s="156">
        <v>0</v>
      </c>
      <c r="I584" s="99"/>
      <c r="J584" s="103"/>
      <c r="K584" s="94">
        <f t="shared" si="7"/>
        <v>0</v>
      </c>
    </row>
    <row r="585" spans="1:11" ht="41.25" customHeight="1" x14ac:dyDescent="0.25">
      <c r="A585" s="88"/>
      <c r="B585" s="89"/>
      <c r="C585" s="99"/>
      <c r="D585" s="60" t="s">
        <v>225</v>
      </c>
      <c r="E585" s="99"/>
      <c r="F585" s="99"/>
      <c r="G585" s="99"/>
      <c r="H585" s="99"/>
      <c r="I585" s="99"/>
      <c r="J585" s="100"/>
      <c r="K585" s="94">
        <f t="shared" si="7"/>
        <v>0</v>
      </c>
    </row>
    <row r="586" spans="1:11" ht="72" customHeight="1" x14ac:dyDescent="0.25">
      <c r="A586" s="88"/>
      <c r="B586" s="89"/>
      <c r="C586" s="99"/>
      <c r="D586" s="103" t="s">
        <v>226</v>
      </c>
      <c r="E586" s="108">
        <v>0</v>
      </c>
      <c r="F586" s="170">
        <v>0</v>
      </c>
      <c r="G586" s="108">
        <v>0</v>
      </c>
      <c r="H586" s="170">
        <v>0</v>
      </c>
      <c r="I586" s="99"/>
      <c r="J586" s="103"/>
      <c r="K586" s="94">
        <f t="shared" si="7"/>
        <v>0</v>
      </c>
    </row>
    <row r="587" spans="1:11" ht="59.25" customHeight="1" x14ac:dyDescent="0.25">
      <c r="A587" s="88"/>
      <c r="B587" s="89"/>
      <c r="C587" s="120"/>
      <c r="D587" s="103" t="s">
        <v>227</v>
      </c>
      <c r="E587" s="108">
        <v>100000000</v>
      </c>
      <c r="F587" s="170">
        <v>0</v>
      </c>
      <c r="G587" s="108">
        <v>0</v>
      </c>
      <c r="H587" s="170">
        <v>0</v>
      </c>
      <c r="I587" s="113"/>
      <c r="J587" s="103"/>
      <c r="K587" s="94">
        <f t="shared" si="7"/>
        <v>0</v>
      </c>
    </row>
    <row r="588" spans="1:11" ht="54" customHeight="1" x14ac:dyDescent="0.25">
      <c r="A588" s="88"/>
      <c r="B588" s="89"/>
      <c r="C588" s="120"/>
      <c r="D588" s="189" t="s">
        <v>81</v>
      </c>
      <c r="E588" s="120"/>
      <c r="F588" s="120"/>
      <c r="G588" s="120"/>
      <c r="H588" s="120"/>
      <c r="I588" s="120"/>
      <c r="J588" s="103"/>
      <c r="K588" s="94">
        <f t="shared" si="7"/>
        <v>0</v>
      </c>
    </row>
    <row r="589" spans="1:11" ht="39" customHeight="1" x14ac:dyDescent="0.25">
      <c r="A589" s="88"/>
      <c r="B589" s="89"/>
      <c r="C589" s="120"/>
      <c r="D589" s="136" t="s">
        <v>82</v>
      </c>
      <c r="E589" s="120"/>
      <c r="F589" s="120"/>
      <c r="G589" s="120"/>
      <c r="H589" s="120"/>
      <c r="I589" s="120"/>
      <c r="J589" s="103"/>
      <c r="K589" s="94">
        <f t="shared" si="7"/>
        <v>0</v>
      </c>
    </row>
    <row r="590" spans="1:11" ht="105" customHeight="1" x14ac:dyDescent="0.25">
      <c r="A590" s="88"/>
      <c r="B590" s="89"/>
      <c r="C590" s="120"/>
      <c r="D590" s="103" t="s">
        <v>83</v>
      </c>
      <c r="E590" s="108">
        <v>38405847000</v>
      </c>
      <c r="F590" s="170">
        <v>0</v>
      </c>
      <c r="G590" s="108">
        <v>0</v>
      </c>
      <c r="H590" s="170">
        <v>0</v>
      </c>
      <c r="I590" s="36"/>
      <c r="J590" s="103" t="s">
        <v>344</v>
      </c>
      <c r="K590" s="94">
        <f t="shared" si="7"/>
        <v>0</v>
      </c>
    </row>
    <row r="591" spans="1:11" ht="30" x14ac:dyDescent="0.25">
      <c r="A591" s="88"/>
      <c r="B591" s="89"/>
      <c r="C591" s="90" t="s">
        <v>3</v>
      </c>
      <c r="D591" s="91"/>
      <c r="E591" s="92"/>
      <c r="F591" s="92"/>
      <c r="G591" s="92"/>
      <c r="H591" s="92"/>
      <c r="I591" s="92"/>
      <c r="J591" s="93"/>
      <c r="K591" s="94"/>
    </row>
    <row r="592" spans="1:11" ht="30" x14ac:dyDescent="0.25">
      <c r="A592" s="88"/>
      <c r="B592" s="89"/>
      <c r="C592" s="95" t="s">
        <v>3</v>
      </c>
      <c r="D592" s="96"/>
      <c r="E592" s="97"/>
      <c r="F592" s="97"/>
      <c r="G592" s="97"/>
      <c r="H592" s="97"/>
      <c r="I592" s="97"/>
      <c r="J592" s="98"/>
      <c r="K592" s="94"/>
    </row>
    <row r="593" spans="1:11" ht="51" customHeight="1" x14ac:dyDescent="0.25">
      <c r="A593" s="88"/>
      <c r="B593" s="89"/>
      <c r="C593" s="120"/>
      <c r="D593" s="64" t="s">
        <v>86</v>
      </c>
      <c r="E593" s="106"/>
      <c r="F593" s="113"/>
      <c r="G593" s="106"/>
      <c r="H593" s="113"/>
      <c r="I593" s="113"/>
      <c r="J593" s="100"/>
      <c r="K593" s="94"/>
    </row>
    <row r="594" spans="1:11" ht="37.5" customHeight="1" x14ac:dyDescent="0.25">
      <c r="A594" s="88"/>
      <c r="B594" s="89"/>
      <c r="C594" s="120"/>
      <c r="D594" s="65" t="s">
        <v>231</v>
      </c>
      <c r="E594" s="106"/>
      <c r="F594" s="113"/>
      <c r="G594" s="106"/>
      <c r="H594" s="113"/>
      <c r="I594" s="113"/>
      <c r="J594" s="100"/>
      <c r="K594" s="94"/>
    </row>
    <row r="595" spans="1:11" ht="36" customHeight="1" x14ac:dyDescent="0.25">
      <c r="A595" s="88"/>
      <c r="B595" s="89"/>
      <c r="C595" s="120"/>
      <c r="D595" s="153" t="s">
        <v>345</v>
      </c>
      <c r="E595" s="106">
        <v>2500000000</v>
      </c>
      <c r="F595" s="155">
        <v>0</v>
      </c>
      <c r="G595" s="106">
        <v>0</v>
      </c>
      <c r="H595" s="155">
        <v>0</v>
      </c>
      <c r="I595" s="113"/>
      <c r="J595" s="100"/>
      <c r="K595" s="94">
        <f t="shared" ref="K595" si="8">E595*F595</f>
        <v>0</v>
      </c>
    </row>
    <row r="596" spans="1:11" x14ac:dyDescent="0.25">
      <c r="A596" s="88"/>
      <c r="B596" s="89"/>
      <c r="C596" s="90" t="s">
        <v>133</v>
      </c>
      <c r="D596" s="91"/>
      <c r="E596" s="92"/>
      <c r="F596" s="92"/>
      <c r="G596" s="92"/>
      <c r="H596" s="92"/>
      <c r="I596" s="92"/>
      <c r="J596" s="93"/>
      <c r="K596" s="94"/>
    </row>
    <row r="597" spans="1:11" x14ac:dyDescent="0.25">
      <c r="A597" s="88"/>
      <c r="B597" s="89"/>
      <c r="C597" s="95" t="s">
        <v>134</v>
      </c>
      <c r="D597" s="96"/>
      <c r="E597" s="97"/>
      <c r="F597" s="97"/>
      <c r="G597" s="97"/>
      <c r="H597" s="97"/>
      <c r="I597" s="97"/>
      <c r="J597" s="98"/>
      <c r="K597" s="94"/>
    </row>
    <row r="598" spans="1:11" ht="53.25" customHeight="1" x14ac:dyDescent="0.25">
      <c r="A598" s="88"/>
      <c r="B598" s="89"/>
      <c r="C598" s="99"/>
      <c r="D598" s="100" t="s">
        <v>135</v>
      </c>
      <c r="E598" s="106"/>
      <c r="F598" s="113"/>
      <c r="G598" s="106"/>
      <c r="H598" s="113"/>
      <c r="I598" s="113"/>
      <c r="J598" s="119" t="s">
        <v>193</v>
      </c>
      <c r="K598" s="94"/>
    </row>
    <row r="599" spans="1:11" ht="30" x14ac:dyDescent="0.25">
      <c r="A599" s="81">
        <v>10</v>
      </c>
      <c r="B599" s="82" t="s">
        <v>202</v>
      </c>
      <c r="C599" s="83"/>
      <c r="D599" s="83"/>
      <c r="E599" s="84">
        <f>SUM(E600:E629)</f>
        <v>1779999800</v>
      </c>
      <c r="F599" s="85">
        <f>K599/E599*100%</f>
        <v>0</v>
      </c>
      <c r="G599" s="84">
        <f>SUM(G600:G629)</f>
        <v>0</v>
      </c>
      <c r="H599" s="85">
        <f>G599/E599*100%</f>
        <v>0</v>
      </c>
      <c r="I599" s="85"/>
      <c r="J599" s="86" t="s">
        <v>357</v>
      </c>
      <c r="K599" s="87">
        <f>SUM(K600:K632)</f>
        <v>0</v>
      </c>
    </row>
    <row r="600" spans="1:11" ht="36" customHeight="1" x14ac:dyDescent="0.25">
      <c r="A600" s="120"/>
      <c r="B600" s="120"/>
      <c r="C600" s="90" t="s">
        <v>2</v>
      </c>
      <c r="D600" s="91"/>
      <c r="E600" s="92"/>
      <c r="F600" s="92"/>
      <c r="G600" s="92"/>
      <c r="H600" s="92"/>
      <c r="I600" s="92"/>
      <c r="J600" s="93"/>
      <c r="K600" s="94"/>
    </row>
    <row r="601" spans="1:11" ht="33" customHeight="1" x14ac:dyDescent="0.25">
      <c r="A601" s="120"/>
      <c r="B601" s="120"/>
      <c r="C601" s="95" t="s">
        <v>2</v>
      </c>
      <c r="D601" s="96"/>
      <c r="E601" s="97"/>
      <c r="F601" s="97"/>
      <c r="G601" s="97"/>
      <c r="H601" s="97"/>
      <c r="I601" s="97"/>
      <c r="J601" s="98"/>
      <c r="K601" s="94"/>
    </row>
    <row r="602" spans="1:11" ht="57.75" customHeight="1" x14ac:dyDescent="0.25">
      <c r="A602" s="120"/>
      <c r="B602" s="120"/>
      <c r="C602" s="120"/>
      <c r="D602" s="69" t="s">
        <v>85</v>
      </c>
      <c r="E602" s="120"/>
      <c r="F602" s="120"/>
      <c r="G602" s="120"/>
      <c r="H602" s="120"/>
      <c r="I602" s="120"/>
      <c r="J602" s="103"/>
      <c r="K602" s="94"/>
    </row>
    <row r="603" spans="1:11" ht="35.25" customHeight="1" x14ac:dyDescent="0.25">
      <c r="A603" s="120"/>
      <c r="B603" s="120"/>
      <c r="C603" s="120"/>
      <c r="D603" s="70" t="s">
        <v>229</v>
      </c>
      <c r="E603" s="120"/>
      <c r="F603" s="120"/>
      <c r="G603" s="120"/>
      <c r="H603" s="120"/>
      <c r="I603" s="120"/>
      <c r="J603" s="103"/>
      <c r="K603" s="94"/>
    </row>
    <row r="604" spans="1:11" ht="73.5" customHeight="1" x14ac:dyDescent="0.25">
      <c r="A604" s="120"/>
      <c r="B604" s="120"/>
      <c r="C604" s="120"/>
      <c r="D604" s="153" t="s">
        <v>346</v>
      </c>
      <c r="E604" s="106">
        <v>150000000</v>
      </c>
      <c r="F604" s="155">
        <v>0</v>
      </c>
      <c r="G604" s="106">
        <v>0</v>
      </c>
      <c r="H604" s="155">
        <v>0</v>
      </c>
      <c r="I604" s="22"/>
      <c r="J604" s="103"/>
      <c r="K604" s="94">
        <f t="shared" ref="K604:K629" si="9">E604*F604</f>
        <v>0</v>
      </c>
    </row>
    <row r="605" spans="1:11" ht="88.5" customHeight="1" x14ac:dyDescent="0.25">
      <c r="A605" s="120"/>
      <c r="B605" s="120"/>
      <c r="C605" s="120"/>
      <c r="D605" s="153" t="s">
        <v>347</v>
      </c>
      <c r="E605" s="106">
        <v>30000000</v>
      </c>
      <c r="F605" s="155">
        <v>0</v>
      </c>
      <c r="G605" s="106">
        <v>0</v>
      </c>
      <c r="H605" s="155">
        <v>0</v>
      </c>
      <c r="I605" s="22"/>
      <c r="J605" s="103"/>
      <c r="K605" s="94">
        <f t="shared" si="9"/>
        <v>0</v>
      </c>
    </row>
    <row r="606" spans="1:11" ht="54" customHeight="1" x14ac:dyDescent="0.25">
      <c r="A606" s="120"/>
      <c r="B606" s="120"/>
      <c r="C606" s="90" t="s">
        <v>257</v>
      </c>
      <c r="D606" s="91"/>
      <c r="E606" s="92"/>
      <c r="F606" s="92"/>
      <c r="G606" s="92"/>
      <c r="H606" s="92"/>
      <c r="I606" s="92"/>
      <c r="J606" s="93"/>
      <c r="K606" s="94">
        <f t="shared" si="9"/>
        <v>0</v>
      </c>
    </row>
    <row r="607" spans="1:11" ht="56.25" customHeight="1" x14ac:dyDescent="0.25">
      <c r="A607" s="120"/>
      <c r="B607" s="120"/>
      <c r="C607" s="95" t="s">
        <v>257</v>
      </c>
      <c r="D607" s="96"/>
      <c r="E607" s="97"/>
      <c r="F607" s="97"/>
      <c r="G607" s="97"/>
      <c r="H607" s="97"/>
      <c r="I607" s="97"/>
      <c r="J607" s="98"/>
      <c r="K607" s="94">
        <f t="shared" si="9"/>
        <v>0</v>
      </c>
    </row>
    <row r="608" spans="1:11" ht="57.75" customHeight="1" x14ac:dyDescent="0.25">
      <c r="A608" s="120"/>
      <c r="B608" s="120"/>
      <c r="C608" s="120"/>
      <c r="D608" s="64" t="s">
        <v>95</v>
      </c>
      <c r="E608" s="120"/>
      <c r="F608" s="120"/>
      <c r="G608" s="120"/>
      <c r="H608" s="120"/>
      <c r="I608" s="120"/>
      <c r="J608" s="103"/>
      <c r="K608" s="94">
        <f t="shared" si="9"/>
        <v>0</v>
      </c>
    </row>
    <row r="609" spans="1:11" ht="73.5" customHeight="1" x14ac:dyDescent="0.25">
      <c r="A609" s="120"/>
      <c r="B609" s="120"/>
      <c r="C609" s="120"/>
      <c r="D609" s="65" t="s">
        <v>258</v>
      </c>
      <c r="E609" s="120"/>
      <c r="F609" s="120"/>
      <c r="G609" s="120"/>
      <c r="H609" s="120"/>
      <c r="I609" s="120"/>
      <c r="J609" s="103"/>
      <c r="K609" s="94">
        <f t="shared" si="9"/>
        <v>0</v>
      </c>
    </row>
    <row r="610" spans="1:11" ht="51" customHeight="1" x14ac:dyDescent="0.25">
      <c r="A610" s="120"/>
      <c r="B610" s="120"/>
      <c r="C610" s="141"/>
      <c r="D610" s="153" t="s">
        <v>348</v>
      </c>
      <c r="E610" s="171">
        <v>50000000</v>
      </c>
      <c r="F610" s="157">
        <v>0</v>
      </c>
      <c r="G610" s="171">
        <v>0</v>
      </c>
      <c r="H610" s="157">
        <v>0</v>
      </c>
      <c r="I610" s="22"/>
      <c r="J610" s="103"/>
      <c r="K610" s="94">
        <f t="shared" si="9"/>
        <v>0</v>
      </c>
    </row>
    <row r="611" spans="1:11" ht="45" x14ac:dyDescent="0.25">
      <c r="A611" s="120"/>
      <c r="B611" s="120"/>
      <c r="C611" s="141"/>
      <c r="D611" s="153" t="s">
        <v>349</v>
      </c>
      <c r="E611" s="171">
        <v>385000000</v>
      </c>
      <c r="F611" s="157">
        <v>0</v>
      </c>
      <c r="G611" s="171">
        <v>0</v>
      </c>
      <c r="H611" s="157">
        <v>0</v>
      </c>
      <c r="I611" s="22"/>
      <c r="J611" s="103"/>
      <c r="K611" s="94">
        <f t="shared" si="9"/>
        <v>0</v>
      </c>
    </row>
    <row r="612" spans="1:11" ht="45" x14ac:dyDescent="0.25">
      <c r="A612" s="120"/>
      <c r="B612" s="120"/>
      <c r="C612" s="141"/>
      <c r="D612" s="153" t="s">
        <v>350</v>
      </c>
      <c r="E612" s="106">
        <v>125000000</v>
      </c>
      <c r="F612" s="155">
        <v>0</v>
      </c>
      <c r="G612" s="106">
        <v>0</v>
      </c>
      <c r="H612" s="155">
        <v>0</v>
      </c>
      <c r="I612" s="22"/>
      <c r="J612" s="103"/>
      <c r="K612" s="94">
        <f t="shared" si="9"/>
        <v>0</v>
      </c>
    </row>
    <row r="613" spans="1:11" ht="71.25" customHeight="1" x14ac:dyDescent="0.25">
      <c r="A613" s="120"/>
      <c r="B613" s="120"/>
      <c r="C613" s="90" t="s">
        <v>263</v>
      </c>
      <c r="D613" s="91"/>
      <c r="E613" s="92"/>
      <c r="F613" s="92"/>
      <c r="G613" s="92"/>
      <c r="H613" s="92"/>
      <c r="I613" s="92"/>
      <c r="J613" s="93"/>
      <c r="K613" s="94">
        <f t="shared" si="9"/>
        <v>0</v>
      </c>
    </row>
    <row r="614" spans="1:11" ht="75" customHeight="1" x14ac:dyDescent="0.25">
      <c r="A614" s="120"/>
      <c r="B614" s="120"/>
      <c r="C614" s="95" t="s">
        <v>263</v>
      </c>
      <c r="D614" s="96"/>
      <c r="E614" s="97"/>
      <c r="F614" s="97"/>
      <c r="G614" s="97"/>
      <c r="H614" s="97"/>
      <c r="I614" s="97"/>
      <c r="J614" s="98"/>
      <c r="K614" s="94">
        <f t="shared" si="9"/>
        <v>0</v>
      </c>
    </row>
    <row r="615" spans="1:11" ht="71.25" customHeight="1" x14ac:dyDescent="0.25">
      <c r="A615" s="120"/>
      <c r="B615" s="120"/>
      <c r="C615" s="120"/>
      <c r="D615" s="73" t="s">
        <v>91</v>
      </c>
      <c r="E615" s="120"/>
      <c r="F615" s="120"/>
      <c r="G615" s="120"/>
      <c r="H615" s="120"/>
      <c r="I615" s="120"/>
      <c r="J615" s="103"/>
      <c r="K615" s="94">
        <f t="shared" si="9"/>
        <v>0</v>
      </c>
    </row>
    <row r="616" spans="1:11" ht="123.75" customHeight="1" x14ac:dyDescent="0.25">
      <c r="A616" s="120"/>
      <c r="B616" s="120"/>
      <c r="C616" s="120"/>
      <c r="D616" s="74" t="s">
        <v>253</v>
      </c>
      <c r="E616" s="120"/>
      <c r="F616" s="120"/>
      <c r="G616" s="120"/>
      <c r="H616" s="120"/>
      <c r="I616" s="120"/>
      <c r="J616" s="103"/>
      <c r="K616" s="94">
        <f t="shared" si="9"/>
        <v>0</v>
      </c>
    </row>
    <row r="617" spans="1:11" ht="42.75" customHeight="1" x14ac:dyDescent="0.25">
      <c r="A617" s="120"/>
      <c r="B617" s="120"/>
      <c r="C617" s="141"/>
      <c r="D617" s="153" t="s">
        <v>351</v>
      </c>
      <c r="E617" s="106">
        <v>125000000</v>
      </c>
      <c r="F617" s="155">
        <v>0</v>
      </c>
      <c r="G617" s="106">
        <v>0</v>
      </c>
      <c r="H617" s="155">
        <v>0</v>
      </c>
      <c r="I617" s="22"/>
      <c r="J617" s="103"/>
      <c r="K617" s="94">
        <f t="shared" si="9"/>
        <v>0</v>
      </c>
    </row>
    <row r="618" spans="1:11" ht="42.75" customHeight="1" x14ac:dyDescent="0.25">
      <c r="A618" s="120"/>
      <c r="B618" s="120"/>
      <c r="C618" s="141"/>
      <c r="D618" s="153" t="s">
        <v>352</v>
      </c>
      <c r="E618" s="106">
        <v>125000000</v>
      </c>
      <c r="F618" s="155">
        <v>0</v>
      </c>
      <c r="G618" s="106">
        <v>0</v>
      </c>
      <c r="H618" s="155">
        <v>0</v>
      </c>
      <c r="I618" s="22"/>
      <c r="J618" s="103"/>
      <c r="K618" s="94">
        <f t="shared" si="9"/>
        <v>0</v>
      </c>
    </row>
    <row r="619" spans="1:11" ht="42.75" customHeight="1" x14ac:dyDescent="0.25">
      <c r="A619" s="120"/>
      <c r="B619" s="120"/>
      <c r="C619" s="141"/>
      <c r="D619" s="153" t="s">
        <v>203</v>
      </c>
      <c r="E619" s="106">
        <v>125000000</v>
      </c>
      <c r="F619" s="155">
        <v>0</v>
      </c>
      <c r="G619" s="106">
        <v>0</v>
      </c>
      <c r="H619" s="155">
        <v>0</v>
      </c>
      <c r="I619" s="22"/>
      <c r="J619" s="103"/>
      <c r="K619" s="94">
        <f t="shared" si="9"/>
        <v>0</v>
      </c>
    </row>
    <row r="620" spans="1:11" ht="59.25" customHeight="1" x14ac:dyDescent="0.25">
      <c r="A620" s="120"/>
      <c r="B620" s="120"/>
      <c r="C620" s="141"/>
      <c r="D620" s="153" t="s">
        <v>353</v>
      </c>
      <c r="E620" s="106">
        <v>99999800</v>
      </c>
      <c r="F620" s="155">
        <v>0</v>
      </c>
      <c r="G620" s="106">
        <v>0</v>
      </c>
      <c r="H620" s="155">
        <v>0</v>
      </c>
      <c r="I620" s="22"/>
      <c r="J620" s="103"/>
      <c r="K620" s="94">
        <f t="shared" si="9"/>
        <v>0</v>
      </c>
    </row>
    <row r="621" spans="1:11" ht="72.75" customHeight="1" x14ac:dyDescent="0.25">
      <c r="A621" s="120"/>
      <c r="B621" s="120"/>
      <c r="C621" s="120"/>
      <c r="D621" s="153" t="s">
        <v>204</v>
      </c>
      <c r="E621" s="106">
        <v>90000000</v>
      </c>
      <c r="F621" s="155">
        <v>0</v>
      </c>
      <c r="G621" s="106">
        <v>0</v>
      </c>
      <c r="H621" s="155">
        <v>0</v>
      </c>
      <c r="I621" s="120"/>
      <c r="J621" s="103"/>
      <c r="K621" s="94">
        <f t="shared" si="9"/>
        <v>0</v>
      </c>
    </row>
    <row r="622" spans="1:11" ht="41.25" customHeight="1" x14ac:dyDescent="0.25">
      <c r="A622" s="120"/>
      <c r="B622" s="120"/>
      <c r="C622" s="120"/>
      <c r="D622" s="73" t="s">
        <v>92</v>
      </c>
      <c r="E622" s="120"/>
      <c r="F622" s="120"/>
      <c r="G622" s="120"/>
      <c r="H622" s="120"/>
      <c r="I622" s="120"/>
      <c r="J622" s="103"/>
      <c r="K622" s="94">
        <f t="shared" si="9"/>
        <v>0</v>
      </c>
    </row>
    <row r="623" spans="1:11" ht="67.5" customHeight="1" x14ac:dyDescent="0.25">
      <c r="A623" s="120"/>
      <c r="B623" s="120"/>
      <c r="C623" s="120"/>
      <c r="D623" s="74" t="s">
        <v>254</v>
      </c>
      <c r="E623" s="120"/>
      <c r="F623" s="120"/>
      <c r="G623" s="120"/>
      <c r="H623" s="120"/>
      <c r="I623" s="120"/>
      <c r="J623" s="103"/>
      <c r="K623" s="94">
        <f t="shared" si="9"/>
        <v>0</v>
      </c>
    </row>
    <row r="624" spans="1:11" ht="80.25" customHeight="1" x14ac:dyDescent="0.25">
      <c r="A624" s="120"/>
      <c r="B624" s="120"/>
      <c r="C624" s="120"/>
      <c r="D624" s="153" t="s">
        <v>354</v>
      </c>
      <c r="E624" s="106">
        <v>300000000</v>
      </c>
      <c r="F624" s="155">
        <v>0</v>
      </c>
      <c r="G624" s="106">
        <v>0</v>
      </c>
      <c r="H624" s="155">
        <v>0</v>
      </c>
      <c r="I624" s="22"/>
      <c r="J624" s="103"/>
      <c r="K624" s="94">
        <f t="shared" si="9"/>
        <v>0</v>
      </c>
    </row>
    <row r="625" spans="1:11" ht="45" customHeight="1" x14ac:dyDescent="0.25">
      <c r="A625" s="120"/>
      <c r="B625" s="120"/>
      <c r="C625" s="90" t="s">
        <v>205</v>
      </c>
      <c r="D625" s="91"/>
      <c r="E625" s="92"/>
      <c r="F625" s="92"/>
      <c r="G625" s="92"/>
      <c r="H625" s="92"/>
      <c r="I625" s="92"/>
      <c r="J625" s="93"/>
      <c r="K625" s="94">
        <f t="shared" si="9"/>
        <v>0</v>
      </c>
    </row>
    <row r="626" spans="1:11" ht="45" customHeight="1" x14ac:dyDescent="0.25">
      <c r="A626" s="120"/>
      <c r="B626" s="120"/>
      <c r="C626" s="95" t="s">
        <v>205</v>
      </c>
      <c r="D626" s="96"/>
      <c r="E626" s="97"/>
      <c r="F626" s="97"/>
      <c r="G626" s="97"/>
      <c r="H626" s="97"/>
      <c r="I626" s="97"/>
      <c r="J626" s="98"/>
      <c r="K626" s="94">
        <f t="shared" si="9"/>
        <v>0</v>
      </c>
    </row>
    <row r="627" spans="1:11" ht="60" customHeight="1" x14ac:dyDescent="0.25">
      <c r="A627" s="120"/>
      <c r="B627" s="120"/>
      <c r="C627" s="120"/>
      <c r="D627" s="58" t="s">
        <v>97</v>
      </c>
      <c r="E627" s="120"/>
      <c r="F627" s="120"/>
      <c r="G627" s="120"/>
      <c r="H627" s="120"/>
      <c r="I627" s="120"/>
      <c r="J627" s="103"/>
      <c r="K627" s="94">
        <f t="shared" si="9"/>
        <v>0</v>
      </c>
    </row>
    <row r="628" spans="1:11" ht="72" customHeight="1" x14ac:dyDescent="0.25">
      <c r="A628" s="120"/>
      <c r="B628" s="120"/>
      <c r="C628" s="103"/>
      <c r="D628" s="62" t="s">
        <v>264</v>
      </c>
      <c r="E628" s="120"/>
      <c r="F628" s="120"/>
      <c r="G628" s="120"/>
      <c r="H628" s="120"/>
      <c r="I628" s="120"/>
      <c r="J628" s="103"/>
      <c r="K628" s="94">
        <f t="shared" si="9"/>
        <v>0</v>
      </c>
    </row>
    <row r="629" spans="1:11" ht="111.75" customHeight="1" x14ac:dyDescent="0.25">
      <c r="A629" s="120"/>
      <c r="B629" s="120"/>
      <c r="C629" s="103"/>
      <c r="D629" s="103" t="s">
        <v>206</v>
      </c>
      <c r="E629" s="108">
        <v>175000000</v>
      </c>
      <c r="F629" s="109">
        <v>0</v>
      </c>
      <c r="G629" s="108">
        <v>0</v>
      </c>
      <c r="H629" s="109">
        <v>0</v>
      </c>
      <c r="I629" s="120"/>
      <c r="J629" s="103"/>
      <c r="K629" s="94">
        <f t="shared" si="9"/>
        <v>0</v>
      </c>
    </row>
    <row r="630" spans="1:11" x14ac:dyDescent="0.25">
      <c r="A630" s="88"/>
      <c r="B630" s="89"/>
      <c r="C630" s="90" t="s">
        <v>133</v>
      </c>
      <c r="D630" s="91"/>
      <c r="E630" s="92"/>
      <c r="F630" s="92"/>
      <c r="G630" s="92"/>
      <c r="H630" s="92"/>
      <c r="I630" s="92"/>
      <c r="J630" s="93"/>
      <c r="K630" s="94"/>
    </row>
    <row r="631" spans="1:11" x14ac:dyDescent="0.25">
      <c r="A631" s="88"/>
      <c r="B631" s="89"/>
      <c r="C631" s="95" t="s">
        <v>134</v>
      </c>
      <c r="D631" s="96"/>
      <c r="E631" s="97"/>
      <c r="F631" s="97"/>
      <c r="G631" s="97"/>
      <c r="H631" s="97"/>
      <c r="I631" s="97"/>
      <c r="J631" s="98"/>
      <c r="K631" s="94"/>
    </row>
    <row r="632" spans="1:11" ht="61.5" customHeight="1" x14ac:dyDescent="0.25">
      <c r="A632" s="88"/>
      <c r="B632" s="89"/>
      <c r="C632" s="99"/>
      <c r="D632" s="100" t="s">
        <v>135</v>
      </c>
      <c r="E632" s="106"/>
      <c r="F632" s="113"/>
      <c r="G632" s="106"/>
      <c r="H632" s="113"/>
      <c r="I632" s="113"/>
      <c r="J632" s="119" t="s">
        <v>193</v>
      </c>
      <c r="K632" s="94"/>
    </row>
  </sheetData>
  <mergeCells count="12">
    <mergeCell ref="G7:H7"/>
    <mergeCell ref="A10:D10"/>
    <mergeCell ref="A2:J2"/>
    <mergeCell ref="A3:J3"/>
    <mergeCell ref="A6:A8"/>
    <mergeCell ref="B6:B8"/>
    <mergeCell ref="C6:C8"/>
    <mergeCell ref="D6:D8"/>
    <mergeCell ref="E6:E8"/>
    <mergeCell ref="F6:H6"/>
    <mergeCell ref="I6:I8"/>
    <mergeCell ref="J6:J8"/>
  </mergeCells>
  <printOptions horizontalCentered="1"/>
  <pageMargins left="0.51181102362204722" right="0.31496062992125984" top="0.35433070866141736" bottom="0.35433070866141736" header="0.31496062992125984" footer="0.31496062992125984"/>
  <pageSetup paperSize="14" scale="37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138"/>
  <sheetViews>
    <sheetView tabSelected="1" topLeftCell="A115" workbookViewId="0">
      <selection activeCell="G130" sqref="G130"/>
    </sheetView>
  </sheetViews>
  <sheetFormatPr defaultColWidth="8.7109375" defaultRowHeight="15" x14ac:dyDescent="0.25"/>
  <cols>
    <col min="1" max="1" width="4" style="2" customWidth="1"/>
    <col min="2" max="2" width="22.85546875" style="2" customWidth="1"/>
    <col min="3" max="3" width="21.85546875" style="2" customWidth="1"/>
    <col min="4" max="4" width="39.140625" style="2" bestFit="1" customWidth="1"/>
    <col min="5" max="5" width="16" style="2" customWidth="1"/>
    <col min="6" max="6" width="8" style="2" customWidth="1"/>
    <col min="7" max="7" width="15.85546875" style="2" bestFit="1" customWidth="1"/>
    <col min="8" max="8" width="7.5703125" style="2" customWidth="1"/>
    <col min="9" max="9" width="8.5703125" style="2" bestFit="1" customWidth="1"/>
    <col min="10" max="10" width="9.85546875" style="51" customWidth="1"/>
    <col min="11" max="11" width="17" style="1" customWidth="1"/>
    <col min="12" max="16" width="8.7109375" style="2"/>
    <col min="17" max="17" width="18" style="2" bestFit="1" customWidth="1"/>
    <col min="18" max="16384" width="8.7109375" style="2"/>
  </cols>
  <sheetData>
    <row r="1" spans="1:17" x14ac:dyDescent="0.25">
      <c r="A1" s="195"/>
      <c r="B1" s="195"/>
      <c r="C1" s="195"/>
      <c r="D1" s="195"/>
      <c r="E1" s="195"/>
      <c r="F1" s="195"/>
      <c r="G1" s="195"/>
      <c r="H1" s="195"/>
      <c r="I1" s="195"/>
      <c r="J1" s="196"/>
    </row>
    <row r="2" spans="1:17" x14ac:dyDescent="0.25">
      <c r="A2" s="273" t="s">
        <v>362</v>
      </c>
      <c r="B2" s="273"/>
      <c r="C2" s="273"/>
      <c r="D2" s="273"/>
      <c r="E2" s="273"/>
      <c r="F2" s="273"/>
      <c r="G2" s="273"/>
      <c r="H2" s="273"/>
      <c r="I2" s="273"/>
      <c r="J2" s="273"/>
    </row>
    <row r="3" spans="1:17" x14ac:dyDescent="0.25">
      <c r="A3" s="273" t="s">
        <v>117</v>
      </c>
      <c r="B3" s="273"/>
      <c r="C3" s="273"/>
      <c r="D3" s="273"/>
      <c r="E3" s="273"/>
      <c r="F3" s="273"/>
      <c r="G3" s="273"/>
      <c r="H3" s="273"/>
      <c r="I3" s="273"/>
      <c r="J3" s="273"/>
    </row>
    <row r="4" spans="1:17" x14ac:dyDescent="0.25">
      <c r="A4" s="204" t="s">
        <v>378</v>
      </c>
      <c r="B4" s="195"/>
      <c r="C4" s="195"/>
      <c r="D4" s="205"/>
      <c r="E4" s="199"/>
      <c r="F4" s="197"/>
      <c r="G4" s="201"/>
      <c r="H4" s="202"/>
      <c r="I4" s="202"/>
      <c r="J4" s="203"/>
    </row>
    <row r="5" spans="1:17" ht="22.5" customHeight="1" x14ac:dyDescent="0.25">
      <c r="A5" s="274" t="s">
        <v>109</v>
      </c>
      <c r="B5" s="274" t="s">
        <v>118</v>
      </c>
      <c r="C5" s="274" t="s">
        <v>119</v>
      </c>
      <c r="D5" s="274" t="s">
        <v>107</v>
      </c>
      <c r="E5" s="277" t="s">
        <v>108</v>
      </c>
      <c r="F5" s="278" t="s">
        <v>102</v>
      </c>
      <c r="G5" s="279"/>
      <c r="H5" s="280"/>
      <c r="I5" s="281" t="s">
        <v>358</v>
      </c>
      <c r="J5" s="281" t="s">
        <v>1</v>
      </c>
    </row>
    <row r="6" spans="1:17" ht="23.25" customHeight="1" x14ac:dyDescent="0.25">
      <c r="A6" s="275"/>
      <c r="B6" s="275"/>
      <c r="C6" s="275"/>
      <c r="D6" s="275"/>
      <c r="E6" s="275"/>
      <c r="F6" s="252" t="s">
        <v>103</v>
      </c>
      <c r="G6" s="278" t="s">
        <v>104</v>
      </c>
      <c r="H6" s="280"/>
      <c r="I6" s="281"/>
      <c r="J6" s="281"/>
    </row>
    <row r="7" spans="1:17" x14ac:dyDescent="0.25">
      <c r="A7" s="276"/>
      <c r="B7" s="276"/>
      <c r="C7" s="276"/>
      <c r="D7" s="276"/>
      <c r="E7" s="276"/>
      <c r="F7" s="252" t="s">
        <v>105</v>
      </c>
      <c r="G7" s="252" t="s">
        <v>106</v>
      </c>
      <c r="H7" s="207" t="s">
        <v>105</v>
      </c>
      <c r="I7" s="281"/>
      <c r="J7" s="281"/>
    </row>
    <row r="8" spans="1:17" ht="19.5" customHeight="1" x14ac:dyDescent="0.25">
      <c r="A8" s="208">
        <v>1</v>
      </c>
      <c r="B8" s="208">
        <v>2</v>
      </c>
      <c r="C8" s="208">
        <v>3</v>
      </c>
      <c r="D8" s="208">
        <v>4</v>
      </c>
      <c r="E8" s="208">
        <v>5</v>
      </c>
      <c r="F8" s="208">
        <v>7</v>
      </c>
      <c r="G8" s="208">
        <v>8</v>
      </c>
      <c r="H8" s="208">
        <v>9</v>
      </c>
      <c r="I8" s="208">
        <v>10</v>
      </c>
      <c r="J8" s="208">
        <v>11</v>
      </c>
      <c r="Q8" s="190"/>
    </row>
    <row r="9" spans="1:17" ht="30.75" customHeight="1" x14ac:dyDescent="0.25">
      <c r="A9" s="282" t="s">
        <v>120</v>
      </c>
      <c r="B9" s="283"/>
      <c r="C9" s="283"/>
      <c r="D9" s="284"/>
      <c r="E9" s="209" t="e">
        <f>E10+#REF!+#REF!+#REF!+#REF!+#REF!+#REF!+#REF!+#REF!+#REF!</f>
        <v>#REF!</v>
      </c>
      <c r="F9" s="210" t="e">
        <f>K9/E9*100%</f>
        <v>#REF!</v>
      </c>
      <c r="G9" s="209" t="e">
        <f>G10+#REF!+#REF!+#REF!+#REF!+#REF!+#REF!+#REF!+#REF!+#REF!</f>
        <v>#REF!</v>
      </c>
      <c r="H9" s="210" t="e">
        <f>G9/E9*100%</f>
        <v>#REF!</v>
      </c>
      <c r="I9" s="210"/>
      <c r="J9" s="211"/>
      <c r="K9" s="14" t="e">
        <f>K10+#REF!+#REF!+#REF!+#REF!+#REF!+#REF!+#REF!+#REF!+#REF!</f>
        <v>#REF!</v>
      </c>
      <c r="Q9" s="190">
        <v>1213208971484</v>
      </c>
    </row>
    <row r="10" spans="1:17" ht="56.25" customHeight="1" x14ac:dyDescent="0.25">
      <c r="A10" s="212">
        <v>1</v>
      </c>
      <c r="B10" s="213" t="s">
        <v>121</v>
      </c>
      <c r="C10" s="214"/>
      <c r="D10" s="214"/>
      <c r="E10" s="215">
        <f>SUM(E11:E46)</f>
        <v>34998122752</v>
      </c>
      <c r="F10" s="216">
        <f>G10/E10*100%</f>
        <v>0.99921841013605683</v>
      </c>
      <c r="G10" s="215">
        <f>SUM(G11:G46)</f>
        <v>34970768574</v>
      </c>
      <c r="H10" s="216">
        <f>G10/E10*100%</f>
        <v>0.99921841013605683</v>
      </c>
      <c r="I10" s="216"/>
      <c r="J10" s="217"/>
      <c r="K10" s="1">
        <f>K15+K16+K20+K21+K25+K26+K30+K31+K35+K36+K40+K41+K45+K46</f>
        <v>0</v>
      </c>
      <c r="Q10" s="191" t="e">
        <f>E9-Q9</f>
        <v>#REF!</v>
      </c>
    </row>
    <row r="11" spans="1:17" x14ac:dyDescent="0.25">
      <c r="A11" s="218"/>
      <c r="B11" s="219"/>
      <c r="C11" s="220" t="s">
        <v>35</v>
      </c>
      <c r="D11" s="221"/>
      <c r="E11" s="222"/>
      <c r="F11" s="222"/>
      <c r="G11" s="222"/>
      <c r="H11" s="222"/>
      <c r="I11" s="222"/>
      <c r="J11" s="223"/>
    </row>
    <row r="12" spans="1:17" x14ac:dyDescent="0.25">
      <c r="A12" s="218"/>
      <c r="B12" s="219"/>
      <c r="C12" s="224" t="s">
        <v>129</v>
      </c>
      <c r="D12" s="225"/>
      <c r="E12" s="226"/>
      <c r="F12" s="226"/>
      <c r="G12" s="226"/>
      <c r="H12" s="226"/>
      <c r="I12" s="226"/>
      <c r="J12" s="227"/>
    </row>
    <row r="13" spans="1:17" ht="25.5" x14ac:dyDescent="0.25">
      <c r="A13" s="218"/>
      <c r="B13" s="219"/>
      <c r="C13" s="228"/>
      <c r="D13" s="229" t="s">
        <v>99</v>
      </c>
      <c r="E13" s="230"/>
      <c r="F13" s="231"/>
      <c r="G13" s="230"/>
      <c r="H13" s="231"/>
      <c r="I13" s="231"/>
      <c r="J13" s="232"/>
    </row>
    <row r="14" spans="1:17" x14ac:dyDescent="0.25">
      <c r="A14" s="218"/>
      <c r="B14" s="219"/>
      <c r="C14" s="228"/>
      <c r="D14" s="233" t="s">
        <v>261</v>
      </c>
      <c r="E14" s="230"/>
      <c r="F14" s="231"/>
      <c r="G14" s="230"/>
      <c r="H14" s="231"/>
      <c r="I14" s="231"/>
      <c r="J14" s="232"/>
    </row>
    <row r="15" spans="1:17" ht="25.5" x14ac:dyDescent="0.25">
      <c r="A15" s="218"/>
      <c r="B15" s="219"/>
      <c r="C15" s="228"/>
      <c r="D15" s="234" t="s">
        <v>100</v>
      </c>
      <c r="E15" s="230">
        <v>2975640000</v>
      </c>
      <c r="F15" s="235">
        <f>G15/E15*100%</f>
        <v>1</v>
      </c>
      <c r="G15" s="230">
        <f>2975640000</f>
        <v>2975640000</v>
      </c>
      <c r="H15" s="235">
        <f>G15/E15*100%</f>
        <v>1</v>
      </c>
      <c r="I15" s="236"/>
      <c r="J15" s="232"/>
    </row>
    <row r="16" spans="1:17" x14ac:dyDescent="0.25">
      <c r="A16" s="218"/>
      <c r="B16" s="219"/>
      <c r="C16" s="228"/>
      <c r="D16" s="234" t="s">
        <v>101</v>
      </c>
      <c r="E16" s="230">
        <v>1803960912</v>
      </c>
      <c r="F16" s="235">
        <f>G16/E16*100%</f>
        <v>0.9987578999161818</v>
      </c>
      <c r="G16" s="230">
        <f>1801720212</f>
        <v>1801720212</v>
      </c>
      <c r="H16" s="235">
        <f t="shared" ref="H16" si="0">G16/E16*100%</f>
        <v>0.9987578999161818</v>
      </c>
      <c r="I16" s="236"/>
      <c r="J16" s="232"/>
    </row>
    <row r="17" spans="1:10" s="2" customFormat="1" x14ac:dyDescent="0.25">
      <c r="A17" s="218"/>
      <c r="B17" s="219"/>
      <c r="C17" s="224" t="s">
        <v>36</v>
      </c>
      <c r="D17" s="225"/>
      <c r="E17" s="237"/>
      <c r="F17" s="238"/>
      <c r="G17" s="237"/>
      <c r="H17" s="238"/>
      <c r="I17" s="226"/>
      <c r="J17" s="227"/>
    </row>
    <row r="18" spans="1:10" s="2" customFormat="1" ht="25.5" x14ac:dyDescent="0.25">
      <c r="A18" s="218"/>
      <c r="B18" s="219"/>
      <c r="C18" s="228"/>
      <c r="D18" s="229" t="s">
        <v>99</v>
      </c>
      <c r="E18" s="230"/>
      <c r="F18" s="239"/>
      <c r="G18" s="230"/>
      <c r="H18" s="240"/>
      <c r="I18" s="236"/>
      <c r="J18" s="232"/>
    </row>
    <row r="19" spans="1:10" s="2" customFormat="1" x14ac:dyDescent="0.25">
      <c r="A19" s="218"/>
      <c r="B19" s="219"/>
      <c r="C19" s="228"/>
      <c r="D19" s="233" t="s">
        <v>261</v>
      </c>
      <c r="E19" s="230"/>
      <c r="F19" s="239"/>
      <c r="G19" s="230"/>
      <c r="H19" s="240"/>
      <c r="I19" s="236"/>
      <c r="J19" s="232"/>
    </row>
    <row r="20" spans="1:10" s="2" customFormat="1" ht="25.5" x14ac:dyDescent="0.25">
      <c r="A20" s="218"/>
      <c r="B20" s="219"/>
      <c r="C20" s="228"/>
      <c r="D20" s="234" t="s">
        <v>100</v>
      </c>
      <c r="E20" s="230">
        <v>2695640000</v>
      </c>
      <c r="F20" s="235">
        <f>G20/E20*100%</f>
        <v>1</v>
      </c>
      <c r="G20" s="230">
        <f>2695640000</f>
        <v>2695640000</v>
      </c>
      <c r="H20" s="235">
        <f t="shared" ref="H20:H21" si="1">G20/E20*100%</f>
        <v>1</v>
      </c>
      <c r="I20" s="236"/>
      <c r="J20" s="232"/>
    </row>
    <row r="21" spans="1:10" s="2" customFormat="1" x14ac:dyDescent="0.25">
      <c r="A21" s="218"/>
      <c r="B21" s="219"/>
      <c r="C21" s="228"/>
      <c r="D21" s="234" t="s">
        <v>101</v>
      </c>
      <c r="E21" s="230">
        <v>1635097968</v>
      </c>
      <c r="F21" s="235">
        <f>G21/E21*100%</f>
        <v>1</v>
      </c>
      <c r="G21" s="230">
        <f>1635097968</f>
        <v>1635097968</v>
      </c>
      <c r="H21" s="235">
        <f t="shared" si="1"/>
        <v>1</v>
      </c>
      <c r="I21" s="236"/>
      <c r="J21" s="232"/>
    </row>
    <row r="22" spans="1:10" s="2" customFormat="1" x14ac:dyDescent="0.25">
      <c r="A22" s="218"/>
      <c r="B22" s="219"/>
      <c r="C22" s="224" t="s">
        <v>37</v>
      </c>
      <c r="D22" s="225"/>
      <c r="E22" s="237"/>
      <c r="F22" s="238"/>
      <c r="G22" s="237"/>
      <c r="H22" s="238"/>
      <c r="I22" s="226"/>
      <c r="J22" s="227"/>
    </row>
    <row r="23" spans="1:10" s="2" customFormat="1" ht="25.5" x14ac:dyDescent="0.25">
      <c r="A23" s="218"/>
      <c r="B23" s="219"/>
      <c r="C23" s="228"/>
      <c r="D23" s="229" t="s">
        <v>99</v>
      </c>
      <c r="E23" s="230"/>
      <c r="F23" s="239"/>
      <c r="G23" s="230"/>
      <c r="H23" s="239"/>
      <c r="I23" s="231"/>
      <c r="J23" s="232"/>
    </row>
    <row r="24" spans="1:10" s="2" customFormat="1" x14ac:dyDescent="0.25">
      <c r="A24" s="218"/>
      <c r="B24" s="219"/>
      <c r="C24" s="228"/>
      <c r="D24" s="233" t="s">
        <v>261</v>
      </c>
      <c r="E24" s="230"/>
      <c r="F24" s="239"/>
      <c r="G24" s="230"/>
      <c r="H24" s="239"/>
      <c r="I24" s="231"/>
      <c r="J24" s="232"/>
    </row>
    <row r="25" spans="1:10" s="2" customFormat="1" ht="25.5" x14ac:dyDescent="0.25">
      <c r="A25" s="218"/>
      <c r="B25" s="219"/>
      <c r="C25" s="228"/>
      <c r="D25" s="234" t="s">
        <v>100</v>
      </c>
      <c r="E25" s="230">
        <v>2930640000</v>
      </c>
      <c r="F25" s="235">
        <f>G25/E25*100%</f>
        <v>1</v>
      </c>
      <c r="G25" s="230">
        <f>2930640000</f>
        <v>2930640000</v>
      </c>
      <c r="H25" s="235">
        <f t="shared" ref="H25:H26" si="2">G25/E25*100%</f>
        <v>1</v>
      </c>
      <c r="I25" s="241"/>
      <c r="J25" s="232"/>
    </row>
    <row r="26" spans="1:10" s="2" customFormat="1" x14ac:dyDescent="0.25">
      <c r="A26" s="218"/>
      <c r="B26" s="219"/>
      <c r="C26" s="228"/>
      <c r="D26" s="234" t="s">
        <v>101</v>
      </c>
      <c r="E26" s="230">
        <v>1769445176</v>
      </c>
      <c r="F26" s="235">
        <f>G26/E26*100%</f>
        <v>0.99943665505237445</v>
      </c>
      <c r="G26" s="230">
        <f>1768448368</f>
        <v>1768448368</v>
      </c>
      <c r="H26" s="235">
        <f t="shared" si="2"/>
        <v>0.99943665505237445</v>
      </c>
      <c r="I26" s="236"/>
      <c r="J26" s="232"/>
    </row>
    <row r="27" spans="1:10" s="2" customFormat="1" x14ac:dyDescent="0.25">
      <c r="A27" s="218"/>
      <c r="B27" s="219"/>
      <c r="C27" s="224" t="s">
        <v>38</v>
      </c>
      <c r="D27" s="225"/>
      <c r="E27" s="237"/>
      <c r="F27" s="238"/>
      <c r="G27" s="237"/>
      <c r="H27" s="238"/>
      <c r="I27" s="226"/>
      <c r="J27" s="227"/>
    </row>
    <row r="28" spans="1:10" s="2" customFormat="1" ht="25.5" x14ac:dyDescent="0.25">
      <c r="A28" s="218"/>
      <c r="B28" s="219"/>
      <c r="C28" s="228"/>
      <c r="D28" s="229" t="s">
        <v>99</v>
      </c>
      <c r="E28" s="230"/>
      <c r="F28" s="239"/>
      <c r="G28" s="230"/>
      <c r="H28" s="240"/>
      <c r="I28" s="236"/>
      <c r="J28" s="232"/>
    </row>
    <row r="29" spans="1:10" s="2" customFormat="1" x14ac:dyDescent="0.25">
      <c r="A29" s="218"/>
      <c r="B29" s="219"/>
      <c r="C29" s="228"/>
      <c r="D29" s="233" t="s">
        <v>261</v>
      </c>
      <c r="E29" s="230"/>
      <c r="F29" s="239"/>
      <c r="G29" s="230"/>
      <c r="H29" s="240"/>
      <c r="I29" s="236"/>
      <c r="J29" s="232"/>
    </row>
    <row r="30" spans="1:10" s="2" customFormat="1" ht="25.5" x14ac:dyDescent="0.25">
      <c r="A30" s="218"/>
      <c r="B30" s="219"/>
      <c r="C30" s="228"/>
      <c r="D30" s="234" t="s">
        <v>100</v>
      </c>
      <c r="E30" s="230">
        <v>2480900000</v>
      </c>
      <c r="F30" s="235">
        <f t="shared" ref="F30:F31" si="3">G30/E30*100%</f>
        <v>0.99395380708613812</v>
      </c>
      <c r="G30" s="230">
        <f>2465900000</f>
        <v>2465900000</v>
      </c>
      <c r="H30" s="235">
        <f t="shared" ref="H30:H31" si="4">G30/E30*100%</f>
        <v>0.99395380708613812</v>
      </c>
      <c r="I30" s="241"/>
      <c r="J30" s="232"/>
    </row>
    <row r="31" spans="1:10" s="2" customFormat="1" x14ac:dyDescent="0.25">
      <c r="A31" s="218"/>
      <c r="B31" s="219"/>
      <c r="C31" s="228"/>
      <c r="D31" s="234" t="s">
        <v>101</v>
      </c>
      <c r="E31" s="230">
        <v>1508450760</v>
      </c>
      <c r="F31" s="235">
        <f t="shared" si="3"/>
        <v>0.99929981141711244</v>
      </c>
      <c r="G31" s="230">
        <f>1507394560</f>
        <v>1507394560</v>
      </c>
      <c r="H31" s="235">
        <f t="shared" si="4"/>
        <v>0.99929981141711244</v>
      </c>
      <c r="I31" s="242"/>
      <c r="J31" s="232"/>
    </row>
    <row r="32" spans="1:10" s="2" customFormat="1" x14ac:dyDescent="0.25">
      <c r="A32" s="218"/>
      <c r="B32" s="219"/>
      <c r="C32" s="224" t="s">
        <v>39</v>
      </c>
      <c r="D32" s="225"/>
      <c r="E32" s="237"/>
      <c r="F32" s="238"/>
      <c r="G32" s="237"/>
      <c r="H32" s="238"/>
      <c r="I32" s="226"/>
      <c r="J32" s="227"/>
    </row>
    <row r="33" spans="1:11" ht="25.5" x14ac:dyDescent="0.25">
      <c r="A33" s="218"/>
      <c r="B33" s="219"/>
      <c r="C33" s="228"/>
      <c r="D33" s="229" t="s">
        <v>99</v>
      </c>
      <c r="E33" s="230"/>
      <c r="F33" s="239"/>
      <c r="G33" s="230"/>
      <c r="H33" s="240"/>
      <c r="I33" s="236"/>
      <c r="J33" s="232"/>
    </row>
    <row r="34" spans="1:11" x14ac:dyDescent="0.25">
      <c r="A34" s="218"/>
      <c r="B34" s="219"/>
      <c r="C34" s="228"/>
      <c r="D34" s="233" t="s">
        <v>261</v>
      </c>
      <c r="E34" s="230"/>
      <c r="F34" s="239"/>
      <c r="G34" s="230"/>
      <c r="H34" s="240"/>
      <c r="I34" s="236"/>
      <c r="J34" s="232"/>
    </row>
    <row r="35" spans="1:11" ht="25.5" x14ac:dyDescent="0.25">
      <c r="A35" s="218"/>
      <c r="B35" s="219"/>
      <c r="C35" s="228"/>
      <c r="D35" s="234" t="s">
        <v>100</v>
      </c>
      <c r="E35" s="230">
        <v>3395640000</v>
      </c>
      <c r="F35" s="235">
        <f t="shared" ref="F35:F36" si="5">G35/E35*100%</f>
        <v>1</v>
      </c>
      <c r="G35" s="230">
        <f>3395640000</f>
        <v>3395640000</v>
      </c>
      <c r="H35" s="235">
        <f t="shared" ref="H35:H36" si="6">G35/E35*100%</f>
        <v>1</v>
      </c>
      <c r="I35" s="236"/>
      <c r="J35" s="232"/>
    </row>
    <row r="36" spans="1:11" x14ac:dyDescent="0.25">
      <c r="A36" s="218"/>
      <c r="B36" s="219"/>
      <c r="C36" s="228"/>
      <c r="D36" s="234" t="s">
        <v>101</v>
      </c>
      <c r="E36" s="230">
        <v>2057255328</v>
      </c>
      <c r="F36" s="235">
        <f t="shared" si="5"/>
        <v>0.99949463249123738</v>
      </c>
      <c r="G36" s="230">
        <f>2056215658</f>
        <v>2056215658</v>
      </c>
      <c r="H36" s="235">
        <f t="shared" si="6"/>
        <v>0.99949463249123738</v>
      </c>
      <c r="I36" s="236"/>
      <c r="J36" s="232"/>
    </row>
    <row r="37" spans="1:11" x14ac:dyDescent="0.25">
      <c r="A37" s="218"/>
      <c r="B37" s="219"/>
      <c r="C37" s="224" t="s">
        <v>40</v>
      </c>
      <c r="D37" s="225"/>
      <c r="E37" s="237"/>
      <c r="F37" s="238"/>
      <c r="G37" s="237"/>
      <c r="H37" s="238"/>
      <c r="I37" s="243"/>
      <c r="J37" s="227"/>
    </row>
    <row r="38" spans="1:11" ht="25.5" x14ac:dyDescent="0.25">
      <c r="A38" s="218"/>
      <c r="B38" s="219"/>
      <c r="C38" s="228"/>
      <c r="D38" s="229" t="s">
        <v>99</v>
      </c>
      <c r="E38" s="230"/>
      <c r="F38" s="239"/>
      <c r="G38" s="230"/>
      <c r="H38" s="239"/>
      <c r="I38" s="231"/>
      <c r="J38" s="232"/>
    </row>
    <row r="39" spans="1:11" x14ac:dyDescent="0.25">
      <c r="A39" s="218"/>
      <c r="B39" s="219"/>
      <c r="C39" s="228"/>
      <c r="D39" s="233" t="s">
        <v>261</v>
      </c>
      <c r="E39" s="230"/>
      <c r="F39" s="239"/>
      <c r="G39" s="230"/>
      <c r="H39" s="239"/>
      <c r="I39" s="231"/>
      <c r="J39" s="232"/>
    </row>
    <row r="40" spans="1:11" ht="25.5" x14ac:dyDescent="0.25">
      <c r="A40" s="218"/>
      <c r="B40" s="219"/>
      <c r="C40" s="228"/>
      <c r="D40" s="234" t="s">
        <v>100</v>
      </c>
      <c r="E40" s="230">
        <v>1430900000</v>
      </c>
      <c r="F40" s="235">
        <f t="shared" ref="F40:F41" si="7">G40/E40*100%</f>
        <v>1</v>
      </c>
      <c r="G40" s="230">
        <f>1430900000</f>
        <v>1430900000</v>
      </c>
      <c r="H40" s="235">
        <f t="shared" ref="H40:H41" si="8">G40/E40*100%</f>
        <v>1</v>
      </c>
      <c r="I40" s="236"/>
      <c r="J40" s="232"/>
    </row>
    <row r="41" spans="1:11" x14ac:dyDescent="0.25">
      <c r="A41" s="218"/>
      <c r="B41" s="219"/>
      <c r="C41" s="228"/>
      <c r="D41" s="234" t="s">
        <v>101</v>
      </c>
      <c r="E41" s="230">
        <v>870474720</v>
      </c>
      <c r="F41" s="235">
        <f t="shared" si="7"/>
        <v>1</v>
      </c>
      <c r="G41" s="230">
        <f>870474720</f>
        <v>870474720</v>
      </c>
      <c r="H41" s="235">
        <f t="shared" si="8"/>
        <v>1</v>
      </c>
      <c r="I41" s="236"/>
      <c r="J41" s="232"/>
    </row>
    <row r="42" spans="1:11" x14ac:dyDescent="0.25">
      <c r="A42" s="218"/>
      <c r="B42" s="219"/>
      <c r="C42" s="224" t="s">
        <v>41</v>
      </c>
      <c r="D42" s="225"/>
      <c r="E42" s="237"/>
      <c r="F42" s="238"/>
      <c r="G42" s="237"/>
      <c r="H42" s="238"/>
      <c r="I42" s="226"/>
      <c r="J42" s="227"/>
    </row>
    <row r="43" spans="1:11" ht="25.5" x14ac:dyDescent="0.25">
      <c r="A43" s="218"/>
      <c r="B43" s="219"/>
      <c r="C43" s="228"/>
      <c r="D43" s="229" t="s">
        <v>99</v>
      </c>
      <c r="E43" s="230"/>
      <c r="F43" s="239"/>
      <c r="G43" s="230"/>
      <c r="H43" s="240"/>
      <c r="I43" s="236"/>
      <c r="J43" s="232"/>
    </row>
    <row r="44" spans="1:11" x14ac:dyDescent="0.25">
      <c r="A44" s="218"/>
      <c r="B44" s="219"/>
      <c r="C44" s="228"/>
      <c r="D44" s="233" t="s">
        <v>261</v>
      </c>
      <c r="E44" s="230"/>
      <c r="F44" s="239"/>
      <c r="G44" s="230"/>
      <c r="H44" s="240"/>
      <c r="I44" s="236"/>
      <c r="J44" s="232"/>
    </row>
    <row r="45" spans="1:11" ht="25.5" x14ac:dyDescent="0.25">
      <c r="A45" s="218"/>
      <c r="B45" s="219"/>
      <c r="C45" s="228"/>
      <c r="D45" s="234" t="s">
        <v>100</v>
      </c>
      <c r="E45" s="230">
        <v>5850440000</v>
      </c>
      <c r="F45" s="235">
        <f t="shared" ref="F45:F46" si="9">G45/E45*100%</f>
        <v>1</v>
      </c>
      <c r="G45" s="230">
        <f>5850440000</f>
        <v>5850440000</v>
      </c>
      <c r="H45" s="235">
        <f t="shared" ref="H45:H46" si="10">G45/E45*100%</f>
        <v>1</v>
      </c>
      <c r="I45" s="236"/>
      <c r="J45" s="232"/>
    </row>
    <row r="46" spans="1:11" x14ac:dyDescent="0.25">
      <c r="A46" s="218"/>
      <c r="B46" s="219"/>
      <c r="C46" s="228"/>
      <c r="D46" s="234" t="s">
        <v>101</v>
      </c>
      <c r="E46" s="230">
        <v>3593637888</v>
      </c>
      <c r="F46" s="235">
        <f t="shared" si="9"/>
        <v>0.99804632513936808</v>
      </c>
      <c r="G46" s="230">
        <f>3586617088</f>
        <v>3586617088</v>
      </c>
      <c r="H46" s="235">
        <f t="shared" si="10"/>
        <v>0.99804632513936808</v>
      </c>
      <c r="I46" s="236"/>
      <c r="J46" s="232"/>
    </row>
    <row r="47" spans="1:11" x14ac:dyDescent="0.25">
      <c r="A47" s="195"/>
      <c r="B47" s="195"/>
      <c r="C47" s="195"/>
      <c r="D47" s="195"/>
      <c r="E47" s="195"/>
      <c r="F47" s="195"/>
      <c r="G47" s="195"/>
      <c r="H47" s="195"/>
      <c r="I47" s="195"/>
      <c r="J47" s="196"/>
    </row>
    <row r="48" spans="1:11" x14ac:dyDescent="0.25">
      <c r="A48" s="195"/>
      <c r="B48" s="195"/>
      <c r="C48" s="195"/>
      <c r="D48" s="195"/>
      <c r="E48" s="195"/>
      <c r="F48" s="195"/>
      <c r="G48" s="195"/>
      <c r="H48" s="195"/>
      <c r="I48" s="195"/>
      <c r="J48" s="196"/>
      <c r="K48" s="2"/>
    </row>
    <row r="49" spans="1:11" x14ac:dyDescent="0.25">
      <c r="A49" s="195"/>
      <c r="B49" s="195"/>
      <c r="C49" s="195"/>
      <c r="D49" s="195"/>
      <c r="E49" s="195"/>
      <c r="F49" s="195"/>
      <c r="G49" s="195"/>
      <c r="H49" s="195"/>
      <c r="I49" s="195"/>
      <c r="J49" s="196"/>
      <c r="K49" s="2"/>
    </row>
    <row r="50" spans="1:11" x14ac:dyDescent="0.25">
      <c r="A50" s="195"/>
      <c r="B50" s="195"/>
      <c r="C50" s="195"/>
      <c r="D50" s="195"/>
      <c r="E50" s="195"/>
      <c r="F50" s="195"/>
      <c r="G50" s="195"/>
      <c r="H50" s="195"/>
      <c r="I50" s="195"/>
      <c r="J50" s="196"/>
      <c r="K50" s="2"/>
    </row>
    <row r="51" spans="1:11" x14ac:dyDescent="0.25">
      <c r="A51" s="273" t="s">
        <v>362</v>
      </c>
      <c r="B51" s="273"/>
      <c r="C51" s="273"/>
      <c r="D51" s="273"/>
      <c r="E51" s="273"/>
      <c r="F51" s="273"/>
      <c r="G51" s="273"/>
      <c r="H51" s="273"/>
      <c r="I51" s="273"/>
      <c r="J51" s="273"/>
      <c r="K51" s="2"/>
    </row>
    <row r="52" spans="1:11" x14ac:dyDescent="0.25">
      <c r="A52" s="273" t="s">
        <v>117</v>
      </c>
      <c r="B52" s="273"/>
      <c r="C52" s="273"/>
      <c r="D52" s="273"/>
      <c r="E52" s="273"/>
      <c r="F52" s="273"/>
      <c r="G52" s="273"/>
      <c r="H52" s="273"/>
      <c r="I52" s="273"/>
      <c r="J52" s="273"/>
      <c r="K52" s="2"/>
    </row>
    <row r="53" spans="1:11" x14ac:dyDescent="0.25">
      <c r="A53" s="285" t="s">
        <v>370</v>
      </c>
      <c r="B53" s="285"/>
      <c r="C53" s="285"/>
      <c r="D53" s="285"/>
      <c r="E53" s="285"/>
      <c r="F53" s="285"/>
      <c r="G53" s="285"/>
      <c r="H53" s="285"/>
      <c r="I53" s="285"/>
      <c r="J53" s="285"/>
      <c r="K53" s="2"/>
    </row>
    <row r="54" spans="1:11" x14ac:dyDescent="0.25">
      <c r="A54" s="253"/>
      <c r="B54" s="253"/>
      <c r="C54" s="253"/>
      <c r="D54" s="253"/>
      <c r="E54" s="253"/>
      <c r="F54" s="253"/>
      <c r="G54" s="253"/>
      <c r="H54" s="253"/>
      <c r="I54" s="253"/>
      <c r="J54" s="253"/>
      <c r="K54" s="2"/>
    </row>
    <row r="55" spans="1:11" x14ac:dyDescent="0.25">
      <c r="A55" s="253"/>
      <c r="B55" s="253"/>
      <c r="C55" s="253"/>
      <c r="D55" s="253"/>
      <c r="E55" s="253"/>
      <c r="F55" s="253"/>
      <c r="G55" s="253"/>
      <c r="H55" s="253"/>
      <c r="I55" s="253"/>
      <c r="J55" s="253"/>
      <c r="K55" s="2"/>
    </row>
    <row r="56" spans="1:11" x14ac:dyDescent="0.25">
      <c r="A56" s="204" t="s">
        <v>378</v>
      </c>
      <c r="B56" s="195"/>
      <c r="C56" s="195"/>
      <c r="D56" s="205"/>
      <c r="E56" s="199"/>
      <c r="F56" s="197"/>
      <c r="G56" s="201"/>
      <c r="H56" s="202"/>
      <c r="I56" s="202"/>
      <c r="J56" s="203"/>
      <c r="K56" s="2"/>
    </row>
    <row r="57" spans="1:11" x14ac:dyDescent="0.25">
      <c r="A57" s="274" t="s">
        <v>109</v>
      </c>
      <c r="B57" s="274" t="s">
        <v>118</v>
      </c>
      <c r="C57" s="274" t="s">
        <v>119</v>
      </c>
      <c r="D57" s="274" t="s">
        <v>107</v>
      </c>
      <c r="E57" s="277" t="s">
        <v>108</v>
      </c>
      <c r="F57" s="278" t="s">
        <v>102</v>
      </c>
      <c r="G57" s="279"/>
      <c r="H57" s="280"/>
      <c r="I57" s="281" t="s">
        <v>358</v>
      </c>
      <c r="J57" s="281" t="s">
        <v>1</v>
      </c>
      <c r="K57" s="2"/>
    </row>
    <row r="58" spans="1:11" x14ac:dyDescent="0.25">
      <c r="A58" s="275"/>
      <c r="B58" s="275"/>
      <c r="C58" s="275"/>
      <c r="D58" s="275"/>
      <c r="E58" s="275"/>
      <c r="F58" s="252" t="s">
        <v>103</v>
      </c>
      <c r="G58" s="278" t="s">
        <v>104</v>
      </c>
      <c r="H58" s="280"/>
      <c r="I58" s="281"/>
      <c r="J58" s="281"/>
      <c r="K58" s="2"/>
    </row>
    <row r="59" spans="1:11" x14ac:dyDescent="0.25">
      <c r="A59" s="276"/>
      <c r="B59" s="276"/>
      <c r="C59" s="276"/>
      <c r="D59" s="276"/>
      <c r="E59" s="276"/>
      <c r="F59" s="252" t="s">
        <v>105</v>
      </c>
      <c r="G59" s="252" t="s">
        <v>106</v>
      </c>
      <c r="H59" s="207" t="s">
        <v>105</v>
      </c>
      <c r="I59" s="281"/>
      <c r="J59" s="281"/>
      <c r="K59" s="2"/>
    </row>
    <row r="60" spans="1:11" x14ac:dyDescent="0.25">
      <c r="A60" s="208">
        <v>1</v>
      </c>
      <c r="B60" s="208">
        <v>2</v>
      </c>
      <c r="C60" s="208">
        <v>3</v>
      </c>
      <c r="D60" s="208">
        <v>4</v>
      </c>
      <c r="E60" s="208">
        <v>5</v>
      </c>
      <c r="F60" s="208">
        <v>7</v>
      </c>
      <c r="G60" s="208">
        <v>8</v>
      </c>
      <c r="H60" s="208">
        <v>9</v>
      </c>
      <c r="I60" s="208">
        <v>10</v>
      </c>
      <c r="J60" s="208">
        <v>11</v>
      </c>
      <c r="K60" s="2"/>
    </row>
    <row r="61" spans="1:11" x14ac:dyDescent="0.25">
      <c r="A61" s="282" t="s">
        <v>120</v>
      </c>
      <c r="B61" s="283"/>
      <c r="C61" s="283"/>
      <c r="D61" s="284"/>
      <c r="E61" s="209" t="e">
        <f>E62+#REF!+#REF!+#REF!+#REF!+#REF!+#REF!+#REF!+#REF!+#REF!</f>
        <v>#REF!</v>
      </c>
      <c r="F61" s="210" t="e">
        <f>K61/E61*100%</f>
        <v>#REF!</v>
      </c>
      <c r="G61" s="209" t="e">
        <f>G62+#REF!+#REF!+#REF!+#REF!+#REF!+#REF!+#REF!+#REF!+#REF!</f>
        <v>#REF!</v>
      </c>
      <c r="H61" s="210" t="e">
        <f>G61/E61*100%</f>
        <v>#REF!</v>
      </c>
      <c r="I61" s="210"/>
      <c r="J61" s="211"/>
      <c r="K61" s="2"/>
    </row>
    <row r="62" spans="1:11" ht="38.25" x14ac:dyDescent="0.25">
      <c r="A62" s="212">
        <v>1</v>
      </c>
      <c r="B62" s="213" t="s">
        <v>121</v>
      </c>
      <c r="C62" s="214"/>
      <c r="D62" s="214"/>
      <c r="E62" s="215">
        <f>SUM(E63:E91)</f>
        <v>21759800000</v>
      </c>
      <c r="F62" s="216">
        <f>G62/E62*100%</f>
        <v>0.99931065542881825</v>
      </c>
      <c r="G62" s="215">
        <f>SUM(G63:G91)</f>
        <v>21744800000</v>
      </c>
      <c r="H62" s="216">
        <f>G62/E62*100%</f>
        <v>0.99931065542881825</v>
      </c>
      <c r="I62" s="216"/>
      <c r="J62" s="217"/>
      <c r="K62" s="2"/>
    </row>
    <row r="63" spans="1:11" x14ac:dyDescent="0.25">
      <c r="A63" s="218"/>
      <c r="B63" s="219"/>
      <c r="C63" s="220" t="s">
        <v>35</v>
      </c>
      <c r="D63" s="221"/>
      <c r="E63" s="222"/>
      <c r="F63" s="222"/>
      <c r="G63" s="222"/>
      <c r="H63" s="222"/>
      <c r="I63" s="222"/>
      <c r="J63" s="223"/>
      <c r="K63" s="2"/>
    </row>
    <row r="64" spans="1:11" x14ac:dyDescent="0.25">
      <c r="A64" s="218"/>
      <c r="B64" s="219"/>
      <c r="C64" s="224" t="s">
        <v>129</v>
      </c>
      <c r="D64" s="225"/>
      <c r="E64" s="226"/>
      <c r="F64" s="226"/>
      <c r="G64" s="226"/>
      <c r="H64" s="226"/>
      <c r="I64" s="226"/>
      <c r="J64" s="227"/>
      <c r="K64" s="2"/>
    </row>
    <row r="65" spans="1:11" ht="25.5" x14ac:dyDescent="0.25">
      <c r="A65" s="218"/>
      <c r="B65" s="219"/>
      <c r="C65" s="228"/>
      <c r="D65" s="229" t="s">
        <v>99</v>
      </c>
      <c r="E65" s="230"/>
      <c r="F65" s="231"/>
      <c r="G65" s="230"/>
      <c r="H65" s="231"/>
      <c r="I65" s="231"/>
      <c r="J65" s="232"/>
      <c r="K65" s="2"/>
    </row>
    <row r="66" spans="1:11" x14ac:dyDescent="0.25">
      <c r="A66" s="218"/>
      <c r="B66" s="219"/>
      <c r="C66" s="228"/>
      <c r="D66" s="233" t="s">
        <v>261</v>
      </c>
      <c r="E66" s="230"/>
      <c r="F66" s="231"/>
      <c r="G66" s="230"/>
      <c r="H66" s="231"/>
      <c r="I66" s="231"/>
      <c r="J66" s="232"/>
      <c r="K66" s="2"/>
    </row>
    <row r="67" spans="1:11" ht="25.5" x14ac:dyDescent="0.25">
      <c r="A67" s="218"/>
      <c r="B67" s="219"/>
      <c r="C67" s="228"/>
      <c r="D67" s="234" t="s">
        <v>100</v>
      </c>
      <c r="E67" s="230">
        <v>2975640000</v>
      </c>
      <c r="F67" s="235">
        <f>G67/E67*100%</f>
        <v>1</v>
      </c>
      <c r="G67" s="230">
        <f>2975640000</f>
        <v>2975640000</v>
      </c>
      <c r="H67" s="235">
        <f>G67/E67*100%</f>
        <v>1</v>
      </c>
      <c r="I67" s="236"/>
      <c r="J67" s="232"/>
      <c r="K67" s="2"/>
    </row>
    <row r="68" spans="1:11" x14ac:dyDescent="0.25">
      <c r="A68" s="218"/>
      <c r="B68" s="219"/>
      <c r="C68" s="224" t="s">
        <v>36</v>
      </c>
      <c r="D68" s="225"/>
      <c r="E68" s="237"/>
      <c r="F68" s="238"/>
      <c r="G68" s="237"/>
      <c r="H68" s="238"/>
      <c r="I68" s="226"/>
      <c r="J68" s="227"/>
      <c r="K68" s="2"/>
    </row>
    <row r="69" spans="1:11" ht="25.5" x14ac:dyDescent="0.25">
      <c r="A69" s="218"/>
      <c r="B69" s="219"/>
      <c r="C69" s="228"/>
      <c r="D69" s="229" t="s">
        <v>99</v>
      </c>
      <c r="E69" s="230"/>
      <c r="F69" s="239"/>
      <c r="G69" s="230"/>
      <c r="H69" s="240"/>
      <c r="I69" s="236"/>
      <c r="J69" s="232"/>
      <c r="K69" s="2"/>
    </row>
    <row r="70" spans="1:11" x14ac:dyDescent="0.25">
      <c r="A70" s="218"/>
      <c r="B70" s="219"/>
      <c r="C70" s="228"/>
      <c r="D70" s="233" t="s">
        <v>261</v>
      </c>
      <c r="E70" s="230"/>
      <c r="F70" s="239"/>
      <c r="G70" s="230"/>
      <c r="H70" s="240"/>
      <c r="I70" s="236"/>
      <c r="J70" s="232"/>
      <c r="K70" s="2"/>
    </row>
    <row r="71" spans="1:11" ht="25.5" x14ac:dyDescent="0.25">
      <c r="A71" s="218"/>
      <c r="B71" s="219"/>
      <c r="C71" s="228"/>
      <c r="D71" s="234" t="s">
        <v>100</v>
      </c>
      <c r="E71" s="230">
        <v>2695640000</v>
      </c>
      <c r="F71" s="235">
        <f>G71/E71*100%</f>
        <v>1</v>
      </c>
      <c r="G71" s="230">
        <f>2695640000</f>
        <v>2695640000</v>
      </c>
      <c r="H71" s="235">
        <f t="shared" ref="H71" si="11">G71/E71*100%</f>
        <v>1</v>
      </c>
      <c r="I71" s="236"/>
      <c r="J71" s="232"/>
      <c r="K71" s="2"/>
    </row>
    <row r="72" spans="1:11" x14ac:dyDescent="0.25">
      <c r="A72" s="218"/>
      <c r="B72" s="219"/>
      <c r="C72" s="224" t="s">
        <v>37</v>
      </c>
      <c r="D72" s="225"/>
      <c r="E72" s="237"/>
      <c r="F72" s="238"/>
      <c r="G72" s="237"/>
      <c r="H72" s="238"/>
      <c r="I72" s="226"/>
      <c r="J72" s="227"/>
      <c r="K72" s="2"/>
    </row>
    <row r="73" spans="1:11" ht="25.5" x14ac:dyDescent="0.25">
      <c r="A73" s="218"/>
      <c r="B73" s="219"/>
      <c r="C73" s="228"/>
      <c r="D73" s="229" t="s">
        <v>99</v>
      </c>
      <c r="E73" s="230"/>
      <c r="F73" s="239"/>
      <c r="G73" s="230"/>
      <c r="H73" s="239"/>
      <c r="I73" s="231"/>
      <c r="J73" s="232"/>
      <c r="K73" s="2"/>
    </row>
    <row r="74" spans="1:11" x14ac:dyDescent="0.25">
      <c r="A74" s="218"/>
      <c r="B74" s="219"/>
      <c r="C74" s="228"/>
      <c r="D74" s="233" t="s">
        <v>261</v>
      </c>
      <c r="E74" s="230"/>
      <c r="F74" s="239"/>
      <c r="G74" s="230"/>
      <c r="H74" s="239"/>
      <c r="I74" s="231"/>
      <c r="J74" s="232"/>
      <c r="K74" s="2"/>
    </row>
    <row r="75" spans="1:11" ht="25.5" x14ac:dyDescent="0.25">
      <c r="A75" s="218"/>
      <c r="B75" s="219"/>
      <c r="C75" s="228"/>
      <c r="D75" s="234" t="s">
        <v>100</v>
      </c>
      <c r="E75" s="230">
        <v>2930640000</v>
      </c>
      <c r="F75" s="235">
        <f>G75/E75*100%</f>
        <v>1</v>
      </c>
      <c r="G75" s="230">
        <f>2930640000</f>
        <v>2930640000</v>
      </c>
      <c r="H75" s="235">
        <f t="shared" ref="H75" si="12">G75/E75*100%</f>
        <v>1</v>
      </c>
      <c r="I75" s="241"/>
      <c r="J75" s="232"/>
      <c r="K75" s="2"/>
    </row>
    <row r="76" spans="1:11" x14ac:dyDescent="0.25">
      <c r="A76" s="218"/>
      <c r="B76" s="219"/>
      <c r="C76" s="224" t="s">
        <v>38</v>
      </c>
      <c r="D76" s="225"/>
      <c r="E76" s="237"/>
      <c r="F76" s="238"/>
      <c r="G76" s="237"/>
      <c r="H76" s="238"/>
      <c r="I76" s="226"/>
      <c r="J76" s="227"/>
      <c r="K76" s="2"/>
    </row>
    <row r="77" spans="1:11" ht="25.5" x14ac:dyDescent="0.25">
      <c r="A77" s="218"/>
      <c r="B77" s="219"/>
      <c r="C77" s="228"/>
      <c r="D77" s="229" t="s">
        <v>99</v>
      </c>
      <c r="E77" s="230"/>
      <c r="F77" s="239"/>
      <c r="G77" s="230"/>
      <c r="H77" s="240"/>
      <c r="I77" s="236"/>
      <c r="J77" s="232"/>
      <c r="K77" s="2"/>
    </row>
    <row r="78" spans="1:11" x14ac:dyDescent="0.25">
      <c r="A78" s="218"/>
      <c r="B78" s="219"/>
      <c r="C78" s="228"/>
      <c r="D78" s="233" t="s">
        <v>261</v>
      </c>
      <c r="E78" s="230"/>
      <c r="F78" s="239"/>
      <c r="G78" s="230"/>
      <c r="H78" s="240"/>
      <c r="I78" s="236"/>
      <c r="J78" s="232"/>
      <c r="K78" s="2"/>
    </row>
    <row r="79" spans="1:11" ht="25.5" x14ac:dyDescent="0.25">
      <c r="A79" s="218"/>
      <c r="B79" s="219"/>
      <c r="C79" s="228"/>
      <c r="D79" s="234" t="s">
        <v>100</v>
      </c>
      <c r="E79" s="230">
        <v>2480900000</v>
      </c>
      <c r="F79" s="235">
        <f t="shared" ref="F79" si="13">G79/E79*100%</f>
        <v>0.99395380708613812</v>
      </c>
      <c r="G79" s="230">
        <f>2465900000</f>
        <v>2465900000</v>
      </c>
      <c r="H79" s="235">
        <f t="shared" ref="H79" si="14">G79/E79*100%</f>
        <v>0.99395380708613812</v>
      </c>
      <c r="I79" s="241"/>
      <c r="J79" s="232"/>
      <c r="K79" s="2"/>
    </row>
    <row r="80" spans="1:11" x14ac:dyDescent="0.25">
      <c r="A80" s="218"/>
      <c r="B80" s="219"/>
      <c r="C80" s="224" t="s">
        <v>39</v>
      </c>
      <c r="D80" s="225"/>
      <c r="E80" s="237"/>
      <c r="F80" s="238"/>
      <c r="G80" s="237"/>
      <c r="H80" s="238"/>
      <c r="I80" s="226"/>
      <c r="J80" s="227"/>
      <c r="K80" s="2"/>
    </row>
    <row r="81" spans="1:11" ht="25.5" x14ac:dyDescent="0.25">
      <c r="A81" s="218"/>
      <c r="B81" s="219"/>
      <c r="C81" s="228"/>
      <c r="D81" s="229" t="s">
        <v>99</v>
      </c>
      <c r="E81" s="230"/>
      <c r="F81" s="239"/>
      <c r="G81" s="230"/>
      <c r="H81" s="240"/>
      <c r="I81" s="236"/>
      <c r="J81" s="232"/>
      <c r="K81" s="2"/>
    </row>
    <row r="82" spans="1:11" x14ac:dyDescent="0.25">
      <c r="A82" s="218"/>
      <c r="B82" s="219"/>
      <c r="C82" s="228"/>
      <c r="D82" s="233" t="s">
        <v>261</v>
      </c>
      <c r="E82" s="230"/>
      <c r="F82" s="239"/>
      <c r="G82" s="230"/>
      <c r="H82" s="240"/>
      <c r="I82" s="236"/>
      <c r="J82" s="232"/>
      <c r="K82" s="2"/>
    </row>
    <row r="83" spans="1:11" ht="25.5" x14ac:dyDescent="0.25">
      <c r="A83" s="218"/>
      <c r="B83" s="219"/>
      <c r="C83" s="228"/>
      <c r="D83" s="234" t="s">
        <v>100</v>
      </c>
      <c r="E83" s="230">
        <v>3395640000</v>
      </c>
      <c r="F83" s="235">
        <f t="shared" ref="F83" si="15">G83/E83*100%</f>
        <v>1</v>
      </c>
      <c r="G83" s="230">
        <f>3395640000</f>
        <v>3395640000</v>
      </c>
      <c r="H83" s="235">
        <f t="shared" ref="H83" si="16">G83/E83*100%</f>
        <v>1</v>
      </c>
      <c r="I83" s="236"/>
      <c r="J83" s="232"/>
      <c r="K83" s="2"/>
    </row>
    <row r="84" spans="1:11" x14ac:dyDescent="0.25">
      <c r="A84" s="218"/>
      <c r="B84" s="219"/>
      <c r="C84" s="224" t="s">
        <v>40</v>
      </c>
      <c r="D84" s="225"/>
      <c r="E84" s="237"/>
      <c r="F84" s="238"/>
      <c r="G84" s="237"/>
      <c r="H84" s="238"/>
      <c r="I84" s="243"/>
      <c r="J84" s="227"/>
      <c r="K84" s="2"/>
    </row>
    <row r="85" spans="1:11" ht="25.5" x14ac:dyDescent="0.25">
      <c r="A85" s="218"/>
      <c r="B85" s="219"/>
      <c r="C85" s="228"/>
      <c r="D85" s="229" t="s">
        <v>99</v>
      </c>
      <c r="E85" s="230"/>
      <c r="F85" s="239"/>
      <c r="G85" s="230"/>
      <c r="H85" s="239"/>
      <c r="I85" s="231"/>
      <c r="J85" s="232"/>
      <c r="K85" s="2"/>
    </row>
    <row r="86" spans="1:11" x14ac:dyDescent="0.25">
      <c r="A86" s="218"/>
      <c r="B86" s="219"/>
      <c r="C86" s="228"/>
      <c r="D86" s="233" t="s">
        <v>261</v>
      </c>
      <c r="E86" s="230"/>
      <c r="F86" s="239"/>
      <c r="G86" s="230"/>
      <c r="H86" s="239"/>
      <c r="I86" s="231"/>
      <c r="J86" s="232"/>
      <c r="K86" s="2"/>
    </row>
    <row r="87" spans="1:11" ht="25.5" x14ac:dyDescent="0.25">
      <c r="A87" s="218"/>
      <c r="B87" s="219"/>
      <c r="C87" s="228"/>
      <c r="D87" s="234" t="s">
        <v>100</v>
      </c>
      <c r="E87" s="230">
        <v>1430900000</v>
      </c>
      <c r="F87" s="235">
        <f t="shared" ref="F87" si="17">G87/E87*100%</f>
        <v>1</v>
      </c>
      <c r="G87" s="230">
        <f>1430900000</f>
        <v>1430900000</v>
      </c>
      <c r="H87" s="235">
        <f t="shared" ref="H87" si="18">G87/E87*100%</f>
        <v>1</v>
      </c>
      <c r="I87" s="236"/>
      <c r="J87" s="232"/>
      <c r="K87" s="2"/>
    </row>
    <row r="88" spans="1:11" x14ac:dyDescent="0.25">
      <c r="A88" s="218"/>
      <c r="B88" s="219"/>
      <c r="C88" s="224" t="s">
        <v>41</v>
      </c>
      <c r="D88" s="225"/>
      <c r="E88" s="237"/>
      <c r="F88" s="238"/>
      <c r="G88" s="237"/>
      <c r="H88" s="238"/>
      <c r="I88" s="226"/>
      <c r="J88" s="227"/>
      <c r="K88" s="2"/>
    </row>
    <row r="89" spans="1:11" ht="25.5" x14ac:dyDescent="0.25">
      <c r="A89" s="218"/>
      <c r="B89" s="219"/>
      <c r="C89" s="228"/>
      <c r="D89" s="229" t="s">
        <v>99</v>
      </c>
      <c r="E89" s="230"/>
      <c r="F89" s="239"/>
      <c r="G89" s="230"/>
      <c r="H89" s="240"/>
      <c r="I89" s="236"/>
      <c r="J89" s="232"/>
      <c r="K89" s="2"/>
    </row>
    <row r="90" spans="1:11" x14ac:dyDescent="0.25">
      <c r="A90" s="218"/>
      <c r="B90" s="219"/>
      <c r="C90" s="228"/>
      <c r="D90" s="233" t="s">
        <v>261</v>
      </c>
      <c r="E90" s="230"/>
      <c r="F90" s="239"/>
      <c r="G90" s="230"/>
      <c r="H90" s="240"/>
      <c r="I90" s="236"/>
      <c r="J90" s="232"/>
      <c r="K90" s="2"/>
    </row>
    <row r="91" spans="1:11" ht="25.5" x14ac:dyDescent="0.25">
      <c r="A91" s="218"/>
      <c r="B91" s="219"/>
      <c r="C91" s="228"/>
      <c r="D91" s="234" t="s">
        <v>100</v>
      </c>
      <c r="E91" s="230">
        <v>5850440000</v>
      </c>
      <c r="F91" s="235">
        <f t="shared" ref="F91" si="19">G91/E91*100%</f>
        <v>1</v>
      </c>
      <c r="G91" s="230">
        <f>5850440000</f>
        <v>5850440000</v>
      </c>
      <c r="H91" s="235">
        <f t="shared" ref="H91" si="20">G91/E91*100%</f>
        <v>1</v>
      </c>
      <c r="I91" s="236"/>
      <c r="J91" s="232"/>
      <c r="K91" s="2"/>
    </row>
    <row r="92" spans="1:11" x14ac:dyDescent="0.25">
      <c r="A92" s="195"/>
      <c r="B92" s="195"/>
      <c r="C92" s="195"/>
      <c r="D92" s="195"/>
      <c r="E92" s="195"/>
      <c r="F92" s="195"/>
      <c r="G92" s="195"/>
      <c r="H92" s="195"/>
      <c r="I92" s="195"/>
      <c r="J92" s="196"/>
      <c r="K92" s="2"/>
    </row>
    <row r="93" spans="1:11" x14ac:dyDescent="0.25">
      <c r="A93" s="195"/>
      <c r="B93" s="195"/>
      <c r="C93" s="195"/>
      <c r="D93" s="195"/>
      <c r="E93" s="195"/>
      <c r="F93" s="195"/>
      <c r="G93" s="195"/>
      <c r="H93" s="195"/>
      <c r="I93" s="195"/>
      <c r="J93" s="196"/>
      <c r="K93" s="2"/>
    </row>
    <row r="94" spans="1:11" x14ac:dyDescent="0.25">
      <c r="A94" s="195"/>
      <c r="B94" s="195"/>
      <c r="C94" s="195"/>
      <c r="D94" s="195"/>
      <c r="E94" s="195"/>
      <c r="F94" s="195"/>
      <c r="G94" s="195"/>
      <c r="H94" s="195"/>
      <c r="I94" s="195"/>
      <c r="J94" s="196"/>
      <c r="K94" s="2"/>
    </row>
    <row r="95" spans="1:11" x14ac:dyDescent="0.25">
      <c r="A95" s="273" t="s">
        <v>362</v>
      </c>
      <c r="B95" s="273"/>
      <c r="C95" s="273"/>
      <c r="D95" s="273"/>
      <c r="E95" s="273"/>
      <c r="F95" s="273"/>
      <c r="G95" s="273"/>
      <c r="H95" s="273"/>
      <c r="I95" s="273"/>
      <c r="J95" s="273"/>
      <c r="K95" s="2"/>
    </row>
    <row r="96" spans="1:11" x14ac:dyDescent="0.25">
      <c r="A96" s="273" t="s">
        <v>117</v>
      </c>
      <c r="B96" s="273"/>
      <c r="C96" s="273"/>
      <c r="D96" s="273"/>
      <c r="E96" s="273"/>
      <c r="F96" s="273"/>
      <c r="G96" s="273"/>
      <c r="H96" s="273"/>
      <c r="I96" s="273"/>
      <c r="J96" s="273"/>
      <c r="K96" s="2"/>
    </row>
    <row r="97" spans="1:11" x14ac:dyDescent="0.25">
      <c r="A97" s="285" t="s">
        <v>371</v>
      </c>
      <c r="B97" s="285"/>
      <c r="C97" s="285"/>
      <c r="D97" s="285"/>
      <c r="E97" s="285"/>
      <c r="F97" s="285"/>
      <c r="G97" s="285"/>
      <c r="H97" s="285"/>
      <c r="I97" s="285"/>
      <c r="J97" s="285"/>
      <c r="K97" s="2"/>
    </row>
    <row r="98" spans="1:11" x14ac:dyDescent="0.25">
      <c r="A98" s="204" t="s">
        <v>378</v>
      </c>
      <c r="B98" s="195"/>
      <c r="C98" s="195"/>
      <c r="D98" s="205"/>
      <c r="E98" s="199"/>
      <c r="F98" s="197"/>
      <c r="G98" s="201"/>
      <c r="H98" s="202"/>
      <c r="I98" s="202"/>
      <c r="J98" s="203"/>
      <c r="K98" s="2"/>
    </row>
    <row r="99" spans="1:11" x14ac:dyDescent="0.25">
      <c r="A99" s="274" t="s">
        <v>109</v>
      </c>
      <c r="B99" s="274" t="s">
        <v>118</v>
      </c>
      <c r="C99" s="274" t="s">
        <v>119</v>
      </c>
      <c r="D99" s="274" t="s">
        <v>107</v>
      </c>
      <c r="E99" s="277" t="s">
        <v>108</v>
      </c>
      <c r="F99" s="278" t="s">
        <v>102</v>
      </c>
      <c r="G99" s="279"/>
      <c r="H99" s="280"/>
      <c r="I99" s="281" t="s">
        <v>358</v>
      </c>
      <c r="J99" s="281" t="s">
        <v>1</v>
      </c>
      <c r="K99" s="2"/>
    </row>
    <row r="100" spans="1:11" x14ac:dyDescent="0.25">
      <c r="A100" s="275"/>
      <c r="B100" s="275"/>
      <c r="C100" s="275"/>
      <c r="D100" s="275"/>
      <c r="E100" s="275"/>
      <c r="F100" s="252" t="s">
        <v>103</v>
      </c>
      <c r="G100" s="278" t="s">
        <v>104</v>
      </c>
      <c r="H100" s="280"/>
      <c r="I100" s="281"/>
      <c r="J100" s="281"/>
      <c r="K100" s="2"/>
    </row>
    <row r="101" spans="1:11" x14ac:dyDescent="0.25">
      <c r="A101" s="276"/>
      <c r="B101" s="276"/>
      <c r="C101" s="276"/>
      <c r="D101" s="276"/>
      <c r="E101" s="276"/>
      <c r="F101" s="252" t="s">
        <v>105</v>
      </c>
      <c r="G101" s="252" t="s">
        <v>106</v>
      </c>
      <c r="H101" s="207" t="s">
        <v>105</v>
      </c>
      <c r="I101" s="281"/>
      <c r="J101" s="281"/>
      <c r="K101" s="2"/>
    </row>
    <row r="102" spans="1:11" x14ac:dyDescent="0.25">
      <c r="A102" s="208">
        <v>1</v>
      </c>
      <c r="B102" s="208">
        <v>2</v>
      </c>
      <c r="C102" s="208">
        <v>3</v>
      </c>
      <c r="D102" s="208">
        <v>4</v>
      </c>
      <c r="E102" s="208">
        <v>5</v>
      </c>
      <c r="F102" s="208">
        <v>7</v>
      </c>
      <c r="G102" s="208">
        <v>8</v>
      </c>
      <c r="H102" s="208">
        <v>9</v>
      </c>
      <c r="I102" s="208">
        <v>10</v>
      </c>
      <c r="J102" s="208">
        <v>11</v>
      </c>
      <c r="K102" s="2"/>
    </row>
    <row r="103" spans="1:11" x14ac:dyDescent="0.25">
      <c r="A103" s="282" t="s">
        <v>120</v>
      </c>
      <c r="B103" s="283"/>
      <c r="C103" s="283"/>
      <c r="D103" s="284"/>
      <c r="E103" s="209" t="e">
        <f>E104+#REF!+#REF!+#REF!+#REF!+#REF!+#REF!+#REF!+#REF!+#REF!</f>
        <v>#REF!</v>
      </c>
      <c r="F103" s="210" t="e">
        <f>K103/E103*100%</f>
        <v>#REF!</v>
      </c>
      <c r="G103" s="209" t="e">
        <f>G104+#REF!+#REF!+#REF!+#REF!+#REF!+#REF!+#REF!+#REF!+#REF!</f>
        <v>#REF!</v>
      </c>
      <c r="H103" s="210" t="e">
        <f>G103/E103*100%</f>
        <v>#REF!</v>
      </c>
      <c r="I103" s="210"/>
      <c r="J103" s="211"/>
      <c r="K103" s="2"/>
    </row>
    <row r="104" spans="1:11" ht="38.25" x14ac:dyDescent="0.25">
      <c r="A104" s="212">
        <v>1</v>
      </c>
      <c r="B104" s="213" t="s">
        <v>121</v>
      </c>
      <c r="C104" s="214"/>
      <c r="D104" s="214"/>
      <c r="E104" s="215">
        <f>SUM(E105:E133)</f>
        <v>13238322752</v>
      </c>
      <c r="F104" s="216">
        <f>G104/E104*100%</f>
        <v>0.9990667867651033</v>
      </c>
      <c r="G104" s="215">
        <f>SUM(G105:G133)</f>
        <v>13225968574</v>
      </c>
      <c r="H104" s="216">
        <f>G104/E104*100%</f>
        <v>0.9990667867651033</v>
      </c>
      <c r="I104" s="216"/>
      <c r="J104" s="217"/>
      <c r="K104" s="2"/>
    </row>
    <row r="105" spans="1:11" x14ac:dyDescent="0.25">
      <c r="A105" s="218"/>
      <c r="B105" s="219"/>
      <c r="C105" s="220" t="s">
        <v>35</v>
      </c>
      <c r="D105" s="221"/>
      <c r="E105" s="222"/>
      <c r="F105" s="222"/>
      <c r="G105" s="222"/>
      <c r="H105" s="222"/>
      <c r="I105" s="222"/>
      <c r="J105" s="223"/>
      <c r="K105" s="2"/>
    </row>
    <row r="106" spans="1:11" x14ac:dyDescent="0.25">
      <c r="A106" s="218"/>
      <c r="B106" s="219"/>
      <c r="C106" s="224" t="s">
        <v>129</v>
      </c>
      <c r="D106" s="225"/>
      <c r="E106" s="226"/>
      <c r="F106" s="226"/>
      <c r="G106" s="226"/>
      <c r="H106" s="226"/>
      <c r="I106" s="226"/>
      <c r="J106" s="227"/>
      <c r="K106" s="2"/>
    </row>
    <row r="107" spans="1:11" ht="25.5" x14ac:dyDescent="0.25">
      <c r="A107" s="218"/>
      <c r="B107" s="219"/>
      <c r="C107" s="228"/>
      <c r="D107" s="229" t="s">
        <v>99</v>
      </c>
      <c r="E107" s="230"/>
      <c r="F107" s="231"/>
      <c r="G107" s="230"/>
      <c r="H107" s="231"/>
      <c r="I107" s="231"/>
      <c r="J107" s="232"/>
      <c r="K107" s="2"/>
    </row>
    <row r="108" spans="1:11" x14ac:dyDescent="0.25">
      <c r="A108" s="218"/>
      <c r="B108" s="219"/>
      <c r="C108" s="228"/>
      <c r="D108" s="233" t="s">
        <v>261</v>
      </c>
      <c r="E108" s="230"/>
      <c r="F108" s="231"/>
      <c r="G108" s="230"/>
      <c r="H108" s="231"/>
      <c r="I108" s="231"/>
      <c r="J108" s="232"/>
      <c r="K108" s="2"/>
    </row>
    <row r="109" spans="1:11" x14ac:dyDescent="0.25">
      <c r="A109" s="218"/>
      <c r="B109" s="219"/>
      <c r="C109" s="228"/>
      <c r="D109" s="234" t="s">
        <v>101</v>
      </c>
      <c r="E109" s="230">
        <v>1803960912</v>
      </c>
      <c r="F109" s="235">
        <f>G109/E109*100%</f>
        <v>0.9987578999161818</v>
      </c>
      <c r="G109" s="230">
        <f>1801720212</f>
        <v>1801720212</v>
      </c>
      <c r="H109" s="235">
        <f>G109/E109*100%</f>
        <v>0.9987578999161818</v>
      </c>
      <c r="I109" s="236"/>
      <c r="J109" s="232"/>
      <c r="K109" s="2"/>
    </row>
    <row r="110" spans="1:11" x14ac:dyDescent="0.25">
      <c r="A110" s="218"/>
      <c r="B110" s="219"/>
      <c r="C110" s="224" t="s">
        <v>36</v>
      </c>
      <c r="D110" s="225"/>
      <c r="E110" s="237"/>
      <c r="F110" s="238"/>
      <c r="G110" s="237"/>
      <c r="H110" s="238"/>
      <c r="I110" s="226"/>
      <c r="J110" s="227"/>
      <c r="K110" s="2"/>
    </row>
    <row r="111" spans="1:11" ht="25.5" x14ac:dyDescent="0.25">
      <c r="A111" s="218"/>
      <c r="B111" s="219"/>
      <c r="C111" s="228"/>
      <c r="D111" s="229" t="s">
        <v>99</v>
      </c>
      <c r="E111" s="230"/>
      <c r="F111" s="239"/>
      <c r="G111" s="230"/>
      <c r="H111" s="240"/>
      <c r="I111" s="236"/>
      <c r="J111" s="232"/>
      <c r="K111" s="2"/>
    </row>
    <row r="112" spans="1:11" x14ac:dyDescent="0.25">
      <c r="A112" s="218"/>
      <c r="B112" s="219"/>
      <c r="C112" s="228"/>
      <c r="D112" s="233" t="s">
        <v>261</v>
      </c>
      <c r="E112" s="230"/>
      <c r="F112" s="239"/>
      <c r="G112" s="230"/>
      <c r="H112" s="240"/>
      <c r="I112" s="236"/>
      <c r="J112" s="232"/>
      <c r="K112" s="2"/>
    </row>
    <row r="113" spans="1:11" x14ac:dyDescent="0.25">
      <c r="A113" s="218"/>
      <c r="B113" s="219"/>
      <c r="C113" s="228"/>
      <c r="D113" s="234" t="s">
        <v>101</v>
      </c>
      <c r="E113" s="230">
        <v>1635097968</v>
      </c>
      <c r="F113" s="235">
        <f>G113/E113*100%</f>
        <v>1</v>
      </c>
      <c r="G113" s="230">
        <f>1635097968</f>
        <v>1635097968</v>
      </c>
      <c r="H113" s="235">
        <f t="shared" ref="H113" si="21">G113/E113*100%</f>
        <v>1</v>
      </c>
      <c r="I113" s="236"/>
      <c r="J113" s="232"/>
      <c r="K113" s="2"/>
    </row>
    <row r="114" spans="1:11" x14ac:dyDescent="0.25">
      <c r="A114" s="218"/>
      <c r="B114" s="219"/>
      <c r="C114" s="224" t="s">
        <v>37</v>
      </c>
      <c r="D114" s="225"/>
      <c r="E114" s="237"/>
      <c r="F114" s="238"/>
      <c r="G114" s="237"/>
      <c r="H114" s="238"/>
      <c r="I114" s="226"/>
      <c r="J114" s="227"/>
      <c r="K114" s="2"/>
    </row>
    <row r="115" spans="1:11" ht="25.5" x14ac:dyDescent="0.25">
      <c r="A115" s="218"/>
      <c r="B115" s="219"/>
      <c r="C115" s="228"/>
      <c r="D115" s="229" t="s">
        <v>99</v>
      </c>
      <c r="E115" s="230"/>
      <c r="F115" s="239"/>
      <c r="G115" s="230"/>
      <c r="H115" s="239"/>
      <c r="I115" s="231"/>
      <c r="J115" s="232"/>
      <c r="K115" s="2"/>
    </row>
    <row r="116" spans="1:11" x14ac:dyDescent="0.25">
      <c r="A116" s="218"/>
      <c r="B116" s="219"/>
      <c r="C116" s="228"/>
      <c r="D116" s="233" t="s">
        <v>261</v>
      </c>
      <c r="E116" s="230"/>
      <c r="F116" s="239"/>
      <c r="G116" s="230"/>
      <c r="H116" s="239"/>
      <c r="I116" s="231"/>
      <c r="J116" s="232"/>
      <c r="K116" s="2"/>
    </row>
    <row r="117" spans="1:11" x14ac:dyDescent="0.25">
      <c r="A117" s="218"/>
      <c r="B117" s="219"/>
      <c r="C117" s="228"/>
      <c r="D117" s="234" t="s">
        <v>101</v>
      </c>
      <c r="E117" s="230">
        <v>1769445176</v>
      </c>
      <c r="F117" s="235">
        <f>G117/E117*100%</f>
        <v>0.99943665505237445</v>
      </c>
      <c r="G117" s="230">
        <f>1768448368</f>
        <v>1768448368</v>
      </c>
      <c r="H117" s="235">
        <f t="shared" ref="H117" si="22">G117/E117*100%</f>
        <v>0.99943665505237445</v>
      </c>
      <c r="I117" s="236"/>
      <c r="J117" s="232"/>
      <c r="K117" s="2"/>
    </row>
    <row r="118" spans="1:11" x14ac:dyDescent="0.25">
      <c r="A118" s="218"/>
      <c r="B118" s="219"/>
      <c r="C118" s="224" t="s">
        <v>38</v>
      </c>
      <c r="D118" s="225"/>
      <c r="E118" s="237"/>
      <c r="F118" s="238"/>
      <c r="G118" s="237"/>
      <c r="H118" s="238"/>
      <c r="I118" s="226"/>
      <c r="J118" s="227"/>
      <c r="K118" s="2"/>
    </row>
    <row r="119" spans="1:11" ht="25.5" x14ac:dyDescent="0.25">
      <c r="A119" s="218"/>
      <c r="B119" s="219"/>
      <c r="C119" s="228"/>
      <c r="D119" s="229" t="s">
        <v>99</v>
      </c>
      <c r="E119" s="230"/>
      <c r="F119" s="239"/>
      <c r="G119" s="230"/>
      <c r="H119" s="240"/>
      <c r="I119" s="236"/>
      <c r="J119" s="232"/>
      <c r="K119" s="2"/>
    </row>
    <row r="120" spans="1:11" x14ac:dyDescent="0.25">
      <c r="A120" s="218"/>
      <c r="B120" s="219"/>
      <c r="C120" s="228"/>
      <c r="D120" s="233" t="s">
        <v>261</v>
      </c>
      <c r="E120" s="230"/>
      <c r="F120" s="239"/>
      <c r="G120" s="230"/>
      <c r="H120" s="240"/>
      <c r="I120" s="236"/>
      <c r="J120" s="232"/>
      <c r="K120" s="2"/>
    </row>
    <row r="121" spans="1:11" x14ac:dyDescent="0.25">
      <c r="A121" s="218"/>
      <c r="B121" s="219"/>
      <c r="C121" s="228"/>
      <c r="D121" s="234" t="s">
        <v>101</v>
      </c>
      <c r="E121" s="230">
        <v>1508450760</v>
      </c>
      <c r="F121" s="235">
        <f t="shared" ref="F121" si="23">G121/E121*100%</f>
        <v>0.99929981141711244</v>
      </c>
      <c r="G121" s="230">
        <f>1507394560</f>
        <v>1507394560</v>
      </c>
      <c r="H121" s="235">
        <f t="shared" ref="H121" si="24">G121/E121*100%</f>
        <v>0.99929981141711244</v>
      </c>
      <c r="I121" s="242"/>
      <c r="J121" s="232"/>
      <c r="K121" s="2"/>
    </row>
    <row r="122" spans="1:11" x14ac:dyDescent="0.25">
      <c r="A122" s="218"/>
      <c r="B122" s="219"/>
      <c r="C122" s="224" t="s">
        <v>39</v>
      </c>
      <c r="D122" s="225"/>
      <c r="E122" s="237"/>
      <c r="F122" s="238"/>
      <c r="G122" s="237"/>
      <c r="H122" s="238"/>
      <c r="I122" s="226"/>
      <c r="J122" s="227"/>
      <c r="K122" s="2"/>
    </row>
    <row r="123" spans="1:11" ht="25.5" x14ac:dyDescent="0.25">
      <c r="A123" s="218"/>
      <c r="B123" s="219"/>
      <c r="C123" s="228"/>
      <c r="D123" s="229" t="s">
        <v>99</v>
      </c>
      <c r="E123" s="230"/>
      <c r="F123" s="239"/>
      <c r="G123" s="230"/>
      <c r="H123" s="240"/>
      <c r="I123" s="236"/>
      <c r="J123" s="232"/>
      <c r="K123" s="2"/>
    </row>
    <row r="124" spans="1:11" x14ac:dyDescent="0.25">
      <c r="A124" s="218"/>
      <c r="B124" s="219"/>
      <c r="C124" s="228"/>
      <c r="D124" s="233" t="s">
        <v>261</v>
      </c>
      <c r="E124" s="230"/>
      <c r="F124" s="239"/>
      <c r="G124" s="230"/>
      <c r="H124" s="240"/>
      <c r="I124" s="236"/>
      <c r="J124" s="232"/>
      <c r="K124" s="2"/>
    </row>
    <row r="125" spans="1:11" x14ac:dyDescent="0.25">
      <c r="A125" s="218"/>
      <c r="B125" s="219"/>
      <c r="C125" s="228"/>
      <c r="D125" s="234" t="s">
        <v>101</v>
      </c>
      <c r="E125" s="230">
        <v>2057255328</v>
      </c>
      <c r="F125" s="235">
        <f t="shared" ref="F125" si="25">G125/E125*100%</f>
        <v>0.99949463249123738</v>
      </c>
      <c r="G125" s="230">
        <f>2056215658</f>
        <v>2056215658</v>
      </c>
      <c r="H125" s="235">
        <f t="shared" ref="H125" si="26">G125/E125*100%</f>
        <v>0.99949463249123738</v>
      </c>
      <c r="I125" s="236"/>
      <c r="J125" s="232"/>
      <c r="K125" s="2"/>
    </row>
    <row r="126" spans="1:11" x14ac:dyDescent="0.25">
      <c r="A126" s="218"/>
      <c r="B126" s="219"/>
      <c r="C126" s="224" t="s">
        <v>40</v>
      </c>
      <c r="D126" s="225"/>
      <c r="E126" s="237"/>
      <c r="F126" s="238"/>
      <c r="G126" s="237"/>
      <c r="H126" s="238"/>
      <c r="I126" s="243"/>
      <c r="J126" s="227"/>
      <c r="K126" s="2"/>
    </row>
    <row r="127" spans="1:11" ht="25.5" x14ac:dyDescent="0.25">
      <c r="A127" s="218"/>
      <c r="B127" s="219"/>
      <c r="C127" s="228"/>
      <c r="D127" s="229" t="s">
        <v>99</v>
      </c>
      <c r="E127" s="230"/>
      <c r="F127" s="239"/>
      <c r="G127" s="230"/>
      <c r="H127" s="239"/>
      <c r="I127" s="231"/>
      <c r="J127" s="232"/>
      <c r="K127" s="2"/>
    </row>
    <row r="128" spans="1:11" x14ac:dyDescent="0.25">
      <c r="A128" s="218"/>
      <c r="B128" s="219"/>
      <c r="C128" s="228"/>
      <c r="D128" s="233" t="s">
        <v>261</v>
      </c>
      <c r="E128" s="230"/>
      <c r="F128" s="239"/>
      <c r="G128" s="230"/>
      <c r="H128" s="239"/>
      <c r="I128" s="231"/>
      <c r="J128" s="232"/>
      <c r="K128" s="2"/>
    </row>
    <row r="129" spans="1:11" x14ac:dyDescent="0.25">
      <c r="A129" s="218"/>
      <c r="B129" s="219"/>
      <c r="C129" s="228"/>
      <c r="D129" s="234" t="s">
        <v>101</v>
      </c>
      <c r="E129" s="230">
        <v>870474720</v>
      </c>
      <c r="F129" s="235">
        <f t="shared" ref="F129" si="27">G129/E129*100%</f>
        <v>1</v>
      </c>
      <c r="G129" s="230">
        <f>870474720</f>
        <v>870474720</v>
      </c>
      <c r="H129" s="235">
        <f t="shared" ref="H129" si="28">G129/E129*100%</f>
        <v>1</v>
      </c>
      <c r="I129" s="236"/>
      <c r="J129" s="232"/>
      <c r="K129" s="2"/>
    </row>
    <row r="130" spans="1:11" x14ac:dyDescent="0.25">
      <c r="A130" s="218"/>
      <c r="B130" s="219"/>
      <c r="C130" s="224" t="s">
        <v>41</v>
      </c>
      <c r="D130" s="225"/>
      <c r="E130" s="237"/>
      <c r="F130" s="238"/>
      <c r="G130" s="237"/>
      <c r="H130" s="238"/>
      <c r="I130" s="226"/>
      <c r="J130" s="227"/>
      <c r="K130" s="2"/>
    </row>
    <row r="131" spans="1:11" ht="25.5" x14ac:dyDescent="0.25">
      <c r="A131" s="218"/>
      <c r="B131" s="219"/>
      <c r="C131" s="228"/>
      <c r="D131" s="229" t="s">
        <v>99</v>
      </c>
      <c r="E131" s="230"/>
      <c r="F131" s="239"/>
      <c r="G131" s="230"/>
      <c r="H131" s="240"/>
      <c r="I131" s="236"/>
      <c r="J131" s="232"/>
      <c r="K131" s="2"/>
    </row>
    <row r="132" spans="1:11" x14ac:dyDescent="0.25">
      <c r="A132" s="218"/>
      <c r="B132" s="219"/>
      <c r="C132" s="228"/>
      <c r="D132" s="233" t="s">
        <v>261</v>
      </c>
      <c r="E132" s="230"/>
      <c r="F132" s="239"/>
      <c r="G132" s="230"/>
      <c r="H132" s="240"/>
      <c r="I132" s="236"/>
      <c r="J132" s="232"/>
      <c r="K132" s="2"/>
    </row>
    <row r="133" spans="1:11" x14ac:dyDescent="0.25">
      <c r="A133" s="218"/>
      <c r="B133" s="219"/>
      <c r="C133" s="228"/>
      <c r="D133" s="234" t="s">
        <v>101</v>
      </c>
      <c r="E133" s="230">
        <v>3593637888</v>
      </c>
      <c r="F133" s="235">
        <f t="shared" ref="F133" si="29">G133/E133*100%</f>
        <v>0.99804632513936808</v>
      </c>
      <c r="G133" s="230">
        <f>3586617088</f>
        <v>3586617088</v>
      </c>
      <c r="H133" s="235">
        <f t="shared" ref="H133" si="30">G133/E133*100%</f>
        <v>0.99804632513936808</v>
      </c>
      <c r="I133" s="236"/>
      <c r="J133" s="232"/>
      <c r="K133" s="2"/>
    </row>
    <row r="134" spans="1:11" x14ac:dyDescent="0.25">
      <c r="A134" s="195"/>
      <c r="B134" s="195"/>
      <c r="C134" s="195"/>
      <c r="D134" s="195"/>
      <c r="E134" s="195"/>
      <c r="F134" s="195"/>
      <c r="G134" s="195"/>
      <c r="H134" s="195"/>
      <c r="I134" s="195"/>
      <c r="J134" s="196"/>
      <c r="K134" s="2"/>
    </row>
    <row r="135" spans="1:11" x14ac:dyDescent="0.25">
      <c r="A135" s="195"/>
      <c r="B135" s="195"/>
      <c r="C135" s="195"/>
      <c r="D135" s="195"/>
      <c r="E135" s="195"/>
      <c r="F135" s="195"/>
      <c r="G135" s="195"/>
      <c r="H135" s="195"/>
      <c r="I135" s="195"/>
      <c r="J135" s="196"/>
      <c r="K135" s="2"/>
    </row>
    <row r="136" spans="1:11" x14ac:dyDescent="0.25">
      <c r="A136" s="195"/>
      <c r="B136" s="195"/>
      <c r="C136" s="195"/>
      <c r="D136" s="195"/>
      <c r="E136" s="195"/>
      <c r="F136" s="195"/>
      <c r="G136" s="195"/>
      <c r="H136" s="195"/>
      <c r="I136" s="195"/>
      <c r="J136" s="196"/>
      <c r="K136" s="2"/>
    </row>
    <row r="137" spans="1:11" x14ac:dyDescent="0.25">
      <c r="A137" s="195"/>
      <c r="B137" s="195"/>
      <c r="C137" s="195"/>
      <c r="D137" s="195"/>
      <c r="E137" s="195"/>
      <c r="F137" s="195"/>
      <c r="G137" s="195"/>
      <c r="H137" s="195"/>
      <c r="I137" s="195"/>
      <c r="J137" s="196"/>
      <c r="K137" s="2"/>
    </row>
    <row r="138" spans="1:11" x14ac:dyDescent="0.25">
      <c r="A138" s="195"/>
      <c r="B138" s="195"/>
      <c r="C138" s="195"/>
      <c r="D138" s="195"/>
      <c r="E138" s="195"/>
      <c r="F138" s="195"/>
      <c r="G138" s="195"/>
      <c r="H138" s="195"/>
      <c r="I138" s="195"/>
      <c r="J138" s="196"/>
      <c r="K138" s="2"/>
    </row>
  </sheetData>
  <mergeCells count="38">
    <mergeCell ref="A2:J2"/>
    <mergeCell ref="A3:J3"/>
    <mergeCell ref="A5:A7"/>
    <mergeCell ref="B5:B7"/>
    <mergeCell ref="C5:C7"/>
    <mergeCell ref="D5:D7"/>
    <mergeCell ref="E5:E7"/>
    <mergeCell ref="F5:H5"/>
    <mergeCell ref="I5:I7"/>
    <mergeCell ref="J5:J7"/>
    <mergeCell ref="A95:J95"/>
    <mergeCell ref="G6:H6"/>
    <mergeCell ref="A9:D9"/>
    <mergeCell ref="A51:J51"/>
    <mergeCell ref="A52:J52"/>
    <mergeCell ref="A53:J53"/>
    <mergeCell ref="A57:A59"/>
    <mergeCell ref="B57:B59"/>
    <mergeCell ref="C57:C59"/>
    <mergeCell ref="D57:D59"/>
    <mergeCell ref="E57:E59"/>
    <mergeCell ref="F57:H57"/>
    <mergeCell ref="I57:I59"/>
    <mergeCell ref="J57:J59"/>
    <mergeCell ref="G58:H58"/>
    <mergeCell ref="A61:D61"/>
    <mergeCell ref="G100:H100"/>
    <mergeCell ref="A103:D103"/>
    <mergeCell ref="A96:J96"/>
    <mergeCell ref="A97:J97"/>
    <mergeCell ref="A99:A101"/>
    <mergeCell ref="B99:B101"/>
    <mergeCell ref="C99:C101"/>
    <mergeCell ref="D99:D101"/>
    <mergeCell ref="E99:E101"/>
    <mergeCell ref="F99:H99"/>
    <mergeCell ref="I99:I101"/>
    <mergeCell ref="J99:J10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47"/>
  <sheetViews>
    <sheetView topLeftCell="A28" workbookViewId="0">
      <selection activeCell="A28" sqref="A1:XFD1048576"/>
    </sheetView>
  </sheetViews>
  <sheetFormatPr defaultColWidth="8.7109375" defaultRowHeight="15" x14ac:dyDescent="0.25"/>
  <cols>
    <col min="1" max="1" width="4.7109375" style="2" customWidth="1"/>
    <col min="2" max="2" width="26" style="2" customWidth="1"/>
    <col min="3" max="3" width="32.5703125" style="2" bestFit="1" customWidth="1"/>
    <col min="4" max="4" width="39.140625" style="2" bestFit="1" customWidth="1"/>
    <col min="5" max="5" width="21.42578125" style="2" bestFit="1" customWidth="1"/>
    <col min="6" max="6" width="7.140625" style="2" bestFit="1" customWidth="1"/>
    <col min="7" max="7" width="15.140625" style="2" customWidth="1"/>
    <col min="8" max="8" width="7.140625" style="2" bestFit="1" customWidth="1"/>
    <col min="9" max="9" width="8.5703125" style="2" bestFit="1" customWidth="1"/>
    <col min="10" max="10" width="27.5703125" style="51" bestFit="1" customWidth="1"/>
    <col min="11" max="11" width="15.7109375" style="1" customWidth="1"/>
    <col min="12" max="16" width="8.7109375" style="2"/>
    <col min="17" max="17" width="18" style="2" bestFit="1" customWidth="1"/>
    <col min="18" max="16384" width="8.7109375" style="2"/>
  </cols>
  <sheetData>
    <row r="1" spans="1:17" x14ac:dyDescent="0.25">
      <c r="A1" s="150"/>
    </row>
    <row r="2" spans="1:17" ht="26.25" x14ac:dyDescent="0.25">
      <c r="A2" s="259" t="s">
        <v>362</v>
      </c>
      <c r="B2" s="260"/>
      <c r="C2" s="260"/>
      <c r="D2" s="260"/>
      <c r="E2" s="260"/>
      <c r="F2" s="260"/>
      <c r="G2" s="260"/>
      <c r="H2" s="260"/>
      <c r="I2" s="260"/>
      <c r="J2" s="260"/>
    </row>
    <row r="3" spans="1:17" ht="26.25" x14ac:dyDescent="0.25">
      <c r="A3" s="259" t="s">
        <v>117</v>
      </c>
      <c r="B3" s="260"/>
      <c r="C3" s="260"/>
      <c r="D3" s="260"/>
      <c r="E3" s="260"/>
      <c r="F3" s="260"/>
      <c r="G3" s="260"/>
      <c r="H3" s="260"/>
      <c r="I3" s="260"/>
      <c r="J3" s="260"/>
    </row>
    <row r="4" spans="1:17" x14ac:dyDescent="0.25">
      <c r="B4" s="3"/>
      <c r="C4" s="3"/>
      <c r="D4" s="4"/>
      <c r="E4" s="5"/>
      <c r="F4" s="6"/>
      <c r="G4" s="7"/>
      <c r="H4" s="8"/>
      <c r="I4" s="8"/>
      <c r="J4" s="47"/>
    </row>
    <row r="5" spans="1:17" x14ac:dyDescent="0.25">
      <c r="A5" s="45" t="s">
        <v>368</v>
      </c>
      <c r="D5" s="9"/>
      <c r="E5" s="5"/>
      <c r="F5" s="3"/>
      <c r="G5" s="7"/>
      <c r="H5" s="8"/>
      <c r="I5" s="8"/>
      <c r="J5" s="47"/>
    </row>
    <row r="6" spans="1:17" ht="22.5" customHeight="1" x14ac:dyDescent="0.25">
      <c r="A6" s="261" t="s">
        <v>109</v>
      </c>
      <c r="B6" s="261" t="s">
        <v>118</v>
      </c>
      <c r="C6" s="264" t="s">
        <v>119</v>
      </c>
      <c r="D6" s="265" t="s">
        <v>107</v>
      </c>
      <c r="E6" s="268" t="s">
        <v>108</v>
      </c>
      <c r="F6" s="254" t="s">
        <v>102</v>
      </c>
      <c r="G6" s="269"/>
      <c r="H6" s="255"/>
      <c r="I6" s="270" t="s">
        <v>358</v>
      </c>
      <c r="J6" s="271" t="s">
        <v>1</v>
      </c>
    </row>
    <row r="7" spans="1:17" ht="23.25" customHeight="1" x14ac:dyDescent="0.25">
      <c r="A7" s="262"/>
      <c r="B7" s="262"/>
      <c r="C7" s="262"/>
      <c r="D7" s="266"/>
      <c r="E7" s="262"/>
      <c r="F7" s="192" t="s">
        <v>103</v>
      </c>
      <c r="G7" s="254" t="s">
        <v>104</v>
      </c>
      <c r="H7" s="255"/>
      <c r="I7" s="270"/>
      <c r="J7" s="271"/>
    </row>
    <row r="8" spans="1:17" ht="15.75" x14ac:dyDescent="0.25">
      <c r="A8" s="263"/>
      <c r="B8" s="263"/>
      <c r="C8" s="263"/>
      <c r="D8" s="267"/>
      <c r="E8" s="263"/>
      <c r="F8" s="192" t="s">
        <v>105</v>
      </c>
      <c r="G8" s="192" t="s">
        <v>106</v>
      </c>
      <c r="H8" s="10" t="s">
        <v>105</v>
      </c>
      <c r="I8" s="270"/>
      <c r="J8" s="271"/>
    </row>
    <row r="9" spans="1:17" ht="19.5" customHeight="1" x14ac:dyDescent="0.25">
      <c r="A9" s="11">
        <v>1</v>
      </c>
      <c r="B9" s="11">
        <v>2</v>
      </c>
      <c r="C9" s="11">
        <v>3</v>
      </c>
      <c r="D9" s="11">
        <v>4</v>
      </c>
      <c r="E9" s="11">
        <v>5</v>
      </c>
      <c r="F9" s="11">
        <v>7</v>
      </c>
      <c r="G9" s="11">
        <v>8</v>
      </c>
      <c r="H9" s="11">
        <v>9</v>
      </c>
      <c r="I9" s="11">
        <v>10</v>
      </c>
      <c r="J9" s="11">
        <v>11</v>
      </c>
      <c r="Q9" s="190"/>
    </row>
    <row r="10" spans="1:17" ht="30.75" customHeight="1" x14ac:dyDescent="0.25">
      <c r="A10" s="256" t="s">
        <v>120</v>
      </c>
      <c r="B10" s="257"/>
      <c r="C10" s="257"/>
      <c r="D10" s="258"/>
      <c r="E10" s="12" t="e">
        <f>E11+#REF!+#REF!+#REF!+#REF!+#REF!+#REF!+#REF!+#REF!+#REF!</f>
        <v>#REF!</v>
      </c>
      <c r="F10" s="13" t="e">
        <f>K10/E10*100%</f>
        <v>#REF!</v>
      </c>
      <c r="G10" s="12" t="e">
        <f>G11+#REF!+#REF!+#REF!+#REF!+#REF!+#REF!+#REF!+#REF!+#REF!</f>
        <v>#REF!</v>
      </c>
      <c r="H10" s="13" t="e">
        <f>G10/E10*100%</f>
        <v>#REF!</v>
      </c>
      <c r="I10" s="13"/>
      <c r="J10" s="48"/>
      <c r="K10" s="14" t="e">
        <f>K11+#REF!+#REF!+#REF!+#REF!+#REF!+#REF!+#REF!+#REF!+#REF!</f>
        <v>#REF!</v>
      </c>
      <c r="Q10" s="190">
        <v>1213208971484</v>
      </c>
    </row>
    <row r="11" spans="1:17" ht="56.25" customHeight="1" x14ac:dyDescent="0.25">
      <c r="A11" s="24">
        <v>1</v>
      </c>
      <c r="B11" s="154" t="s">
        <v>121</v>
      </c>
      <c r="C11" s="25"/>
      <c r="D11" s="25"/>
      <c r="E11" s="26">
        <f>SUM(E12:E47)</f>
        <v>34911330952</v>
      </c>
      <c r="F11" s="27">
        <f>K11/E11*100%</f>
        <v>3.0217924646025681E-2</v>
      </c>
      <c r="G11" s="26">
        <f>SUM(G12:G47)</f>
        <v>1054947968</v>
      </c>
      <c r="H11" s="27">
        <f>G11/E11*100%</f>
        <v>3.0217924646025681E-2</v>
      </c>
      <c r="I11" s="27"/>
      <c r="J11" s="28"/>
      <c r="K11" s="1">
        <f>SUM(K12:K47)</f>
        <v>1054947968</v>
      </c>
      <c r="Q11" s="191" t="e">
        <f>E10-Q10</f>
        <v>#REF!</v>
      </c>
    </row>
    <row r="12" spans="1:17" x14ac:dyDescent="0.25">
      <c r="A12" s="29"/>
      <c r="B12" s="30"/>
      <c r="C12" s="31" t="s">
        <v>35</v>
      </c>
      <c r="D12" s="16"/>
      <c r="E12" s="17"/>
      <c r="F12" s="17"/>
      <c r="G12" s="17"/>
      <c r="H12" s="17"/>
      <c r="I12" s="17"/>
      <c r="J12" s="49"/>
    </row>
    <row r="13" spans="1:17" x14ac:dyDescent="0.25">
      <c r="A13" s="29"/>
      <c r="B13" s="30"/>
      <c r="C13" s="32" t="s">
        <v>129</v>
      </c>
      <c r="D13" s="18"/>
      <c r="E13" s="19"/>
      <c r="F13" s="19"/>
      <c r="G13" s="19"/>
      <c r="H13" s="19"/>
      <c r="I13" s="19"/>
      <c r="J13" s="50"/>
    </row>
    <row r="14" spans="1:17" ht="30" x14ac:dyDescent="0.25">
      <c r="A14" s="29"/>
      <c r="B14" s="30"/>
      <c r="C14" s="15"/>
      <c r="D14" s="64" t="s">
        <v>99</v>
      </c>
      <c r="E14" s="21"/>
      <c r="F14" s="22"/>
      <c r="G14" s="21"/>
      <c r="H14" s="22"/>
      <c r="I14" s="22"/>
      <c r="J14" s="20"/>
    </row>
    <row r="15" spans="1:17" x14ac:dyDescent="0.25">
      <c r="A15" s="29"/>
      <c r="B15" s="30"/>
      <c r="C15" s="15"/>
      <c r="D15" s="65" t="s">
        <v>261</v>
      </c>
      <c r="E15" s="21"/>
      <c r="F15" s="22"/>
      <c r="G15" s="21"/>
      <c r="H15" s="22"/>
      <c r="I15" s="22"/>
      <c r="J15" s="20"/>
    </row>
    <row r="16" spans="1:17" ht="30" x14ac:dyDescent="0.25">
      <c r="A16" s="29"/>
      <c r="B16" s="30"/>
      <c r="C16" s="15"/>
      <c r="D16" s="66" t="s">
        <v>100</v>
      </c>
      <c r="E16" s="21">
        <v>2975640000</v>
      </c>
      <c r="F16" s="43">
        <f>G16/E16*100%</f>
        <v>0</v>
      </c>
      <c r="G16" s="21">
        <v>0</v>
      </c>
      <c r="H16" s="43">
        <f>G16/E16*100%</f>
        <v>0</v>
      </c>
      <c r="I16" s="36"/>
      <c r="J16" s="20"/>
      <c r="K16" s="1">
        <f>E16*F16</f>
        <v>0</v>
      </c>
    </row>
    <row r="17" spans="1:11" x14ac:dyDescent="0.25">
      <c r="A17" s="29"/>
      <c r="B17" s="30"/>
      <c r="C17" s="15"/>
      <c r="D17" s="66" t="s">
        <v>101</v>
      </c>
      <c r="E17" s="21">
        <v>1803960912</v>
      </c>
      <c r="F17" s="43">
        <f>G17/E17*100%</f>
        <v>6.9846302745167246E-2</v>
      </c>
      <c r="G17" s="21">
        <f>126000000</f>
        <v>126000000</v>
      </c>
      <c r="H17" s="43">
        <f t="shared" ref="H17" si="0">G17/E17*100%</f>
        <v>6.9846302745167246E-2</v>
      </c>
      <c r="I17" s="36"/>
      <c r="J17" s="20"/>
      <c r="K17" s="1">
        <f>E17*F17</f>
        <v>126000000.00000001</v>
      </c>
    </row>
    <row r="18" spans="1:11" x14ac:dyDescent="0.25">
      <c r="A18" s="29"/>
      <c r="B18" s="30"/>
      <c r="C18" s="32" t="s">
        <v>36</v>
      </c>
      <c r="D18" s="18"/>
      <c r="E18" s="40"/>
      <c r="F18" s="76"/>
      <c r="G18" s="40"/>
      <c r="H18" s="76"/>
      <c r="I18" s="19"/>
      <c r="J18" s="50"/>
    </row>
    <row r="19" spans="1:11" ht="30" x14ac:dyDescent="0.25">
      <c r="A19" s="29"/>
      <c r="B19" s="30"/>
      <c r="C19" s="15"/>
      <c r="D19" s="64" t="s">
        <v>99</v>
      </c>
      <c r="E19" s="21"/>
      <c r="F19" s="44"/>
      <c r="G19" s="21"/>
      <c r="H19" s="77"/>
      <c r="I19" s="36"/>
      <c r="J19" s="20"/>
    </row>
    <row r="20" spans="1:11" x14ac:dyDescent="0.25">
      <c r="A20" s="29"/>
      <c r="B20" s="30"/>
      <c r="C20" s="15"/>
      <c r="D20" s="65" t="s">
        <v>261</v>
      </c>
      <c r="E20" s="21"/>
      <c r="F20" s="44"/>
      <c r="G20" s="21"/>
      <c r="H20" s="77"/>
      <c r="I20" s="36"/>
      <c r="J20" s="20"/>
    </row>
    <row r="21" spans="1:11" ht="30" x14ac:dyDescent="0.25">
      <c r="A21" s="29"/>
      <c r="B21" s="30"/>
      <c r="C21" s="15"/>
      <c r="D21" s="66" t="s">
        <v>100</v>
      </c>
      <c r="E21" s="21">
        <v>2695640000</v>
      </c>
      <c r="F21" s="43">
        <f>G21/E21*100%</f>
        <v>0</v>
      </c>
      <c r="G21" s="21">
        <v>0</v>
      </c>
      <c r="H21" s="43">
        <f t="shared" ref="H21:H22" si="1">G21/E21*100%</f>
        <v>0</v>
      </c>
      <c r="I21" s="36"/>
      <c r="J21" s="20"/>
      <c r="K21" s="1">
        <f>E21*F21</f>
        <v>0</v>
      </c>
    </row>
    <row r="22" spans="1:11" x14ac:dyDescent="0.25">
      <c r="A22" s="29"/>
      <c r="B22" s="30"/>
      <c r="C22" s="15"/>
      <c r="D22" s="66" t="s">
        <v>101</v>
      </c>
      <c r="E22" s="21">
        <v>1635097968</v>
      </c>
      <c r="F22" s="43">
        <f>G22/E22*100%</f>
        <v>0.15164104711308649</v>
      </c>
      <c r="G22" s="21">
        <f>247947968</f>
        <v>247947968</v>
      </c>
      <c r="H22" s="43">
        <f t="shared" si="1"/>
        <v>0.15164104711308649</v>
      </c>
      <c r="I22" s="36"/>
      <c r="J22" s="20"/>
      <c r="K22" s="1">
        <v>247947968</v>
      </c>
    </row>
    <row r="23" spans="1:11" x14ac:dyDescent="0.25">
      <c r="A23" s="29"/>
      <c r="B23" s="30"/>
      <c r="C23" s="32" t="s">
        <v>37</v>
      </c>
      <c r="D23" s="18"/>
      <c r="E23" s="40"/>
      <c r="F23" s="76"/>
      <c r="G23" s="40"/>
      <c r="H23" s="76"/>
      <c r="I23" s="19"/>
      <c r="J23" s="50"/>
    </row>
    <row r="24" spans="1:11" ht="30" x14ac:dyDescent="0.25">
      <c r="A24" s="29"/>
      <c r="B24" s="30"/>
      <c r="C24" s="15"/>
      <c r="D24" s="64" t="s">
        <v>99</v>
      </c>
      <c r="E24" s="21"/>
      <c r="F24" s="44"/>
      <c r="G24" s="21"/>
      <c r="H24" s="44"/>
      <c r="I24" s="22"/>
      <c r="J24" s="20"/>
    </row>
    <row r="25" spans="1:11" x14ac:dyDescent="0.25">
      <c r="A25" s="29"/>
      <c r="B25" s="30"/>
      <c r="C25" s="15"/>
      <c r="D25" s="65" t="s">
        <v>261</v>
      </c>
      <c r="E25" s="21"/>
      <c r="F25" s="44"/>
      <c r="G25" s="21"/>
      <c r="H25" s="44"/>
      <c r="I25" s="22"/>
      <c r="J25" s="20"/>
    </row>
    <row r="26" spans="1:11" ht="30" x14ac:dyDescent="0.25">
      <c r="A26" s="29"/>
      <c r="B26" s="30"/>
      <c r="C26" s="15"/>
      <c r="D26" s="66" t="s">
        <v>100</v>
      </c>
      <c r="E26" s="21">
        <v>2905640000</v>
      </c>
      <c r="F26" s="43">
        <f>G26/E26*100%</f>
        <v>0</v>
      </c>
      <c r="G26" s="21">
        <v>0</v>
      </c>
      <c r="H26" s="43">
        <f t="shared" ref="H26:H27" si="2">G26/E26*100%</f>
        <v>0</v>
      </c>
      <c r="I26" s="159"/>
      <c r="J26" s="20"/>
      <c r="K26" s="1">
        <f>E26*F26</f>
        <v>0</v>
      </c>
    </row>
    <row r="27" spans="1:11" x14ac:dyDescent="0.25">
      <c r="A27" s="29"/>
      <c r="B27" s="30"/>
      <c r="C27" s="15"/>
      <c r="D27" s="66" t="s">
        <v>101</v>
      </c>
      <c r="E27" s="21">
        <v>1761745176</v>
      </c>
      <c r="F27" s="43">
        <f>G27/E27*100%</f>
        <v>6.9817134552494442E-2</v>
      </c>
      <c r="G27" s="21">
        <f>123000000</f>
        <v>123000000</v>
      </c>
      <c r="H27" s="43">
        <f t="shared" si="2"/>
        <v>6.9817134552494442E-2</v>
      </c>
      <c r="I27" s="36"/>
      <c r="J27" s="20"/>
      <c r="K27" s="1">
        <f>E27*F27</f>
        <v>123000000</v>
      </c>
    </row>
    <row r="28" spans="1:11" x14ac:dyDescent="0.25">
      <c r="A28" s="29"/>
      <c r="B28" s="30"/>
      <c r="C28" s="32" t="s">
        <v>38</v>
      </c>
      <c r="D28" s="18"/>
      <c r="E28" s="40"/>
      <c r="F28" s="76"/>
      <c r="G28" s="40"/>
      <c r="H28" s="76"/>
      <c r="I28" s="19"/>
      <c r="J28" s="50"/>
    </row>
    <row r="29" spans="1:11" ht="30" x14ac:dyDescent="0.25">
      <c r="A29" s="29"/>
      <c r="B29" s="30"/>
      <c r="C29" s="15"/>
      <c r="D29" s="64" t="s">
        <v>99</v>
      </c>
      <c r="E29" s="21"/>
      <c r="F29" s="44"/>
      <c r="G29" s="21"/>
      <c r="H29" s="77"/>
      <c r="I29" s="36"/>
      <c r="J29" s="20"/>
    </row>
    <row r="30" spans="1:11" x14ac:dyDescent="0.25">
      <c r="A30" s="29"/>
      <c r="B30" s="30"/>
      <c r="C30" s="15"/>
      <c r="D30" s="65" t="s">
        <v>261</v>
      </c>
      <c r="E30" s="21"/>
      <c r="F30" s="44"/>
      <c r="G30" s="21"/>
      <c r="H30" s="77"/>
      <c r="I30" s="36"/>
      <c r="J30" s="20"/>
    </row>
    <row r="31" spans="1:11" ht="30" x14ac:dyDescent="0.25">
      <c r="A31" s="29"/>
      <c r="B31" s="30"/>
      <c r="C31" s="15"/>
      <c r="D31" s="66" t="s">
        <v>100</v>
      </c>
      <c r="E31" s="21">
        <v>2480900000</v>
      </c>
      <c r="F31" s="43">
        <f t="shared" ref="F31:F32" si="3">G31/E31*100%</f>
        <v>0</v>
      </c>
      <c r="G31" s="21">
        <v>0</v>
      </c>
      <c r="H31" s="43">
        <f t="shared" ref="H31:H32" si="4">G31/E31*100%</f>
        <v>0</v>
      </c>
      <c r="I31" s="159"/>
      <c r="J31" s="20"/>
      <c r="K31" s="1">
        <f>E31*F31</f>
        <v>0</v>
      </c>
    </row>
    <row r="32" spans="1:11" x14ac:dyDescent="0.25">
      <c r="A32" s="29"/>
      <c r="B32" s="30"/>
      <c r="C32" s="15"/>
      <c r="D32" s="66" t="s">
        <v>101</v>
      </c>
      <c r="E32" s="21">
        <v>1508450760</v>
      </c>
      <c r="F32" s="43">
        <f t="shared" si="3"/>
        <v>6.9607840563519624E-2</v>
      </c>
      <c r="G32" s="21">
        <f>105000000</f>
        <v>105000000</v>
      </c>
      <c r="H32" s="43">
        <f t="shared" si="4"/>
        <v>6.9607840563519624E-2</v>
      </c>
      <c r="I32" s="158"/>
      <c r="J32" s="20"/>
      <c r="K32" s="1">
        <f>E32*F32</f>
        <v>105000000</v>
      </c>
    </row>
    <row r="33" spans="1:11" x14ac:dyDescent="0.25">
      <c r="A33" s="29"/>
      <c r="B33" s="30"/>
      <c r="C33" s="32" t="s">
        <v>39</v>
      </c>
      <c r="D33" s="18"/>
      <c r="E33" s="40"/>
      <c r="F33" s="76"/>
      <c r="G33" s="40"/>
      <c r="H33" s="76"/>
      <c r="I33" s="19"/>
      <c r="J33" s="50"/>
    </row>
    <row r="34" spans="1:11" ht="30" x14ac:dyDescent="0.25">
      <c r="A34" s="29"/>
      <c r="B34" s="30"/>
      <c r="C34" s="15"/>
      <c r="D34" s="64" t="s">
        <v>99</v>
      </c>
      <c r="E34" s="21"/>
      <c r="F34" s="44"/>
      <c r="G34" s="21"/>
      <c r="H34" s="77"/>
      <c r="I34" s="36"/>
      <c r="J34" s="20"/>
    </row>
    <row r="35" spans="1:11" x14ac:dyDescent="0.25">
      <c r="A35" s="29"/>
      <c r="B35" s="30"/>
      <c r="C35" s="15"/>
      <c r="D35" s="65" t="s">
        <v>261</v>
      </c>
      <c r="E35" s="21"/>
      <c r="F35" s="44"/>
      <c r="G35" s="21"/>
      <c r="H35" s="77"/>
      <c r="I35" s="36"/>
      <c r="J35" s="20"/>
    </row>
    <row r="36" spans="1:11" ht="30" x14ac:dyDescent="0.25">
      <c r="A36" s="29"/>
      <c r="B36" s="30"/>
      <c r="C36" s="15"/>
      <c r="D36" s="66" t="s">
        <v>100</v>
      </c>
      <c r="E36" s="21">
        <v>3395640000</v>
      </c>
      <c r="F36" s="43">
        <f t="shared" ref="F36:F37" si="5">G36/E36*100%</f>
        <v>0</v>
      </c>
      <c r="G36" s="21">
        <v>0</v>
      </c>
      <c r="H36" s="43">
        <f t="shared" ref="H36:H37" si="6">G36/E36*100%</f>
        <v>0</v>
      </c>
      <c r="I36" s="36"/>
      <c r="J36" s="20"/>
      <c r="K36" s="1">
        <f>E36*F36</f>
        <v>0</v>
      </c>
    </row>
    <row r="37" spans="1:11" x14ac:dyDescent="0.25">
      <c r="A37" s="29"/>
      <c r="B37" s="30"/>
      <c r="C37" s="15"/>
      <c r="D37" s="66" t="s">
        <v>101</v>
      </c>
      <c r="E37" s="21">
        <v>2057255328</v>
      </c>
      <c r="F37" s="43">
        <f t="shared" si="5"/>
        <v>6.9996173075897367E-2</v>
      </c>
      <c r="G37" s="21">
        <v>144000000</v>
      </c>
      <c r="H37" s="43">
        <f t="shared" si="6"/>
        <v>6.9996173075897367E-2</v>
      </c>
      <c r="I37" s="36"/>
      <c r="J37" s="20"/>
      <c r="K37" s="1">
        <f>E37*F37</f>
        <v>144000000</v>
      </c>
    </row>
    <row r="38" spans="1:11" x14ac:dyDescent="0.25">
      <c r="A38" s="29"/>
      <c r="B38" s="30"/>
      <c r="C38" s="32" t="s">
        <v>40</v>
      </c>
      <c r="D38" s="18"/>
      <c r="E38" s="40"/>
      <c r="F38" s="76"/>
      <c r="G38" s="40"/>
      <c r="H38" s="76"/>
      <c r="I38" s="41"/>
      <c r="J38" s="50"/>
    </row>
    <row r="39" spans="1:11" ht="30" x14ac:dyDescent="0.25">
      <c r="A39" s="29"/>
      <c r="B39" s="30"/>
      <c r="C39" s="15"/>
      <c r="D39" s="64" t="s">
        <v>99</v>
      </c>
      <c r="E39" s="21"/>
      <c r="F39" s="44"/>
      <c r="G39" s="21"/>
      <c r="H39" s="44"/>
      <c r="I39" s="22"/>
      <c r="J39" s="20"/>
    </row>
    <row r="40" spans="1:11" x14ac:dyDescent="0.25">
      <c r="A40" s="29"/>
      <c r="B40" s="30"/>
      <c r="C40" s="15"/>
      <c r="D40" s="65" t="s">
        <v>261</v>
      </c>
      <c r="E40" s="21"/>
      <c r="F40" s="44"/>
      <c r="G40" s="21"/>
      <c r="H40" s="44"/>
      <c r="I40" s="22"/>
      <c r="J40" s="20"/>
    </row>
    <row r="41" spans="1:11" ht="30" x14ac:dyDescent="0.25">
      <c r="A41" s="29"/>
      <c r="B41" s="30"/>
      <c r="C41" s="15"/>
      <c r="D41" s="66" t="s">
        <v>100</v>
      </c>
      <c r="E41" s="21">
        <v>1430900000</v>
      </c>
      <c r="F41" s="43">
        <f t="shared" ref="F41:F42" si="7">G41/E41*100%</f>
        <v>0</v>
      </c>
      <c r="G41" s="21">
        <v>0</v>
      </c>
      <c r="H41" s="43">
        <f t="shared" ref="H41:H42" si="8">G41/E41*100%</f>
        <v>0</v>
      </c>
      <c r="I41" s="36"/>
      <c r="J41" s="20"/>
      <c r="K41" s="1">
        <f>E41*F41</f>
        <v>0</v>
      </c>
    </row>
    <row r="42" spans="1:11" x14ac:dyDescent="0.25">
      <c r="A42" s="29"/>
      <c r="B42" s="30"/>
      <c r="C42" s="15"/>
      <c r="D42" s="66" t="s">
        <v>101</v>
      </c>
      <c r="E42" s="21">
        <v>870474720</v>
      </c>
      <c r="F42" s="43">
        <f t="shared" si="7"/>
        <v>6.8927906372743375E-2</v>
      </c>
      <c r="G42" s="21">
        <v>60000000</v>
      </c>
      <c r="H42" s="43">
        <f t="shared" si="8"/>
        <v>6.8927906372743375E-2</v>
      </c>
      <c r="I42" s="36"/>
      <c r="J42" s="20"/>
      <c r="K42" s="1">
        <f>E42*F42</f>
        <v>60000000.000000007</v>
      </c>
    </row>
    <row r="43" spans="1:11" x14ac:dyDescent="0.25">
      <c r="A43" s="29"/>
      <c r="B43" s="30"/>
      <c r="C43" s="32" t="s">
        <v>41</v>
      </c>
      <c r="D43" s="18"/>
      <c r="E43" s="40"/>
      <c r="F43" s="76"/>
      <c r="G43" s="40"/>
      <c r="H43" s="76"/>
      <c r="I43" s="19"/>
      <c r="J43" s="50"/>
    </row>
    <row r="44" spans="1:11" ht="30" x14ac:dyDescent="0.25">
      <c r="A44" s="29"/>
      <c r="B44" s="30"/>
      <c r="C44" s="15"/>
      <c r="D44" s="64" t="s">
        <v>99</v>
      </c>
      <c r="E44" s="21"/>
      <c r="F44" s="44"/>
      <c r="G44" s="21"/>
      <c r="H44" s="77"/>
      <c r="I44" s="36"/>
      <c r="J44" s="20"/>
    </row>
    <row r="45" spans="1:11" x14ac:dyDescent="0.25">
      <c r="A45" s="29"/>
      <c r="B45" s="30"/>
      <c r="C45" s="15"/>
      <c r="D45" s="65" t="s">
        <v>261</v>
      </c>
      <c r="E45" s="21"/>
      <c r="F45" s="44"/>
      <c r="G45" s="21"/>
      <c r="H45" s="77"/>
      <c r="I45" s="36"/>
      <c r="J45" s="20"/>
    </row>
    <row r="46" spans="1:11" ht="30" x14ac:dyDescent="0.25">
      <c r="A46" s="29"/>
      <c r="B46" s="30"/>
      <c r="C46" s="15"/>
      <c r="D46" s="66" t="s">
        <v>100</v>
      </c>
      <c r="E46" s="21">
        <v>5850440000</v>
      </c>
      <c r="F46" s="43">
        <f t="shared" ref="F46:F47" si="9">G46/E46*100%</f>
        <v>0</v>
      </c>
      <c r="G46" s="21">
        <v>0</v>
      </c>
      <c r="H46" s="43">
        <f t="shared" ref="H46:H47" si="10">G46/E46*100%</f>
        <v>0</v>
      </c>
      <c r="I46" s="36"/>
      <c r="J46" s="20"/>
      <c r="K46" s="1">
        <f>E46*F46</f>
        <v>0</v>
      </c>
    </row>
    <row r="47" spans="1:11" x14ac:dyDescent="0.25">
      <c r="A47" s="29"/>
      <c r="B47" s="30"/>
      <c r="C47" s="15"/>
      <c r="D47" s="66" t="s">
        <v>101</v>
      </c>
      <c r="E47" s="21">
        <v>3539546088</v>
      </c>
      <c r="F47" s="43">
        <f t="shared" si="9"/>
        <v>7.0348003334149548E-2</v>
      </c>
      <c r="G47" s="21">
        <f>249000000</f>
        <v>249000000</v>
      </c>
      <c r="H47" s="43">
        <f t="shared" si="10"/>
        <v>7.0348003334149548E-2</v>
      </c>
      <c r="I47" s="36"/>
      <c r="J47" s="20"/>
      <c r="K47" s="1">
        <f>E47*F47</f>
        <v>249000000</v>
      </c>
    </row>
  </sheetData>
  <mergeCells count="12">
    <mergeCell ref="G7:H7"/>
    <mergeCell ref="A10:D10"/>
    <mergeCell ref="A2:J2"/>
    <mergeCell ref="A3:J3"/>
    <mergeCell ref="A6:A8"/>
    <mergeCell ref="B6:B8"/>
    <mergeCell ref="C6:C8"/>
    <mergeCell ref="D6:D8"/>
    <mergeCell ref="E6:E8"/>
    <mergeCell ref="F6:H6"/>
    <mergeCell ref="I6:I8"/>
    <mergeCell ref="J6:J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132"/>
  <sheetViews>
    <sheetView topLeftCell="A109" workbookViewId="0">
      <selection activeCell="C132" sqref="C132"/>
    </sheetView>
  </sheetViews>
  <sheetFormatPr defaultColWidth="8.7109375" defaultRowHeight="15" x14ac:dyDescent="0.25"/>
  <cols>
    <col min="1" max="1" width="4.7109375" style="2" customWidth="1"/>
    <col min="2" max="2" width="26" style="2" customWidth="1"/>
    <col min="3" max="3" width="32.5703125" style="2" bestFit="1" customWidth="1"/>
    <col min="4" max="4" width="39.140625" style="2" bestFit="1" customWidth="1"/>
    <col min="5" max="5" width="21.42578125" style="2" bestFit="1" customWidth="1"/>
    <col min="6" max="6" width="7.7109375" style="2" bestFit="1" customWidth="1"/>
    <col min="7" max="7" width="15.140625" style="2" customWidth="1"/>
    <col min="8" max="8" width="7.140625" style="2" bestFit="1" customWidth="1"/>
    <col min="9" max="9" width="8.5703125" style="2" bestFit="1" customWidth="1"/>
    <col min="10" max="10" width="27.5703125" style="51" bestFit="1" customWidth="1"/>
    <col min="11" max="11" width="15.7109375" style="1" customWidth="1"/>
    <col min="12" max="16" width="8.7109375" style="2"/>
    <col min="17" max="17" width="18" style="2" bestFit="1" customWidth="1"/>
    <col min="18" max="16384" width="8.7109375" style="2"/>
  </cols>
  <sheetData>
    <row r="1" spans="1:17" x14ac:dyDescent="0.25">
      <c r="A1" s="150"/>
    </row>
    <row r="2" spans="1:17" ht="26.25" x14ac:dyDescent="0.25">
      <c r="A2" s="259" t="s">
        <v>362</v>
      </c>
      <c r="B2" s="260"/>
      <c r="C2" s="260"/>
      <c r="D2" s="260"/>
      <c r="E2" s="260"/>
      <c r="F2" s="260"/>
      <c r="G2" s="260"/>
      <c r="H2" s="260"/>
      <c r="I2" s="260"/>
      <c r="J2" s="260"/>
    </row>
    <row r="3" spans="1:17" ht="26.25" x14ac:dyDescent="0.25">
      <c r="A3" s="259" t="s">
        <v>117</v>
      </c>
      <c r="B3" s="260"/>
      <c r="C3" s="260"/>
      <c r="D3" s="260"/>
      <c r="E3" s="260"/>
      <c r="F3" s="260"/>
      <c r="G3" s="260"/>
      <c r="H3" s="260"/>
      <c r="I3" s="260"/>
      <c r="J3" s="260"/>
    </row>
    <row r="4" spans="1:17" x14ac:dyDescent="0.25">
      <c r="B4" s="3"/>
      <c r="C4" s="3"/>
      <c r="D4" s="4"/>
      <c r="E4" s="5"/>
      <c r="F4" s="6"/>
      <c r="G4" s="7"/>
      <c r="H4" s="8"/>
      <c r="I4" s="8"/>
      <c r="J4" s="47"/>
    </row>
    <row r="5" spans="1:17" x14ac:dyDescent="0.25">
      <c r="A5" s="45" t="s">
        <v>369</v>
      </c>
      <c r="D5" s="9"/>
      <c r="E5" s="5"/>
      <c r="F5" s="3"/>
      <c r="G5" s="7"/>
      <c r="H5" s="8"/>
      <c r="I5" s="8"/>
      <c r="J5" s="47"/>
    </row>
    <row r="6" spans="1:17" ht="22.5" customHeight="1" x14ac:dyDescent="0.25">
      <c r="A6" s="261" t="s">
        <v>109</v>
      </c>
      <c r="B6" s="261" t="s">
        <v>118</v>
      </c>
      <c r="C6" s="264" t="s">
        <v>119</v>
      </c>
      <c r="D6" s="265" t="s">
        <v>107</v>
      </c>
      <c r="E6" s="268" t="s">
        <v>108</v>
      </c>
      <c r="F6" s="254" t="s">
        <v>102</v>
      </c>
      <c r="G6" s="269"/>
      <c r="H6" s="255"/>
      <c r="I6" s="270" t="s">
        <v>358</v>
      </c>
      <c r="J6" s="271" t="s">
        <v>1</v>
      </c>
    </row>
    <row r="7" spans="1:17" ht="23.25" customHeight="1" x14ac:dyDescent="0.25">
      <c r="A7" s="262"/>
      <c r="B7" s="262"/>
      <c r="C7" s="262"/>
      <c r="D7" s="266"/>
      <c r="E7" s="262"/>
      <c r="F7" s="193" t="s">
        <v>103</v>
      </c>
      <c r="G7" s="254" t="s">
        <v>104</v>
      </c>
      <c r="H7" s="255"/>
      <c r="I7" s="270"/>
      <c r="J7" s="271"/>
    </row>
    <row r="8" spans="1:17" ht="15.75" x14ac:dyDescent="0.25">
      <c r="A8" s="263"/>
      <c r="B8" s="263"/>
      <c r="C8" s="263"/>
      <c r="D8" s="267"/>
      <c r="E8" s="263"/>
      <c r="F8" s="193" t="s">
        <v>105</v>
      </c>
      <c r="G8" s="193" t="s">
        <v>106</v>
      </c>
      <c r="H8" s="10" t="s">
        <v>105</v>
      </c>
      <c r="I8" s="270"/>
      <c r="J8" s="271"/>
    </row>
    <row r="9" spans="1:17" ht="19.5" customHeight="1" x14ac:dyDescent="0.25">
      <c r="A9" s="11">
        <v>1</v>
      </c>
      <c r="B9" s="11">
        <v>2</v>
      </c>
      <c r="C9" s="11">
        <v>3</v>
      </c>
      <c r="D9" s="11">
        <v>4</v>
      </c>
      <c r="E9" s="11">
        <v>5</v>
      </c>
      <c r="F9" s="11">
        <v>7</v>
      </c>
      <c r="G9" s="11">
        <v>8</v>
      </c>
      <c r="H9" s="11">
        <v>9</v>
      </c>
      <c r="I9" s="11">
        <v>10</v>
      </c>
      <c r="J9" s="11">
        <v>11</v>
      </c>
      <c r="Q9" s="190"/>
    </row>
    <row r="10" spans="1:17" ht="30.75" customHeight="1" x14ac:dyDescent="0.25">
      <c r="A10" s="256" t="s">
        <v>120</v>
      </c>
      <c r="B10" s="257"/>
      <c r="C10" s="257"/>
      <c r="D10" s="258"/>
      <c r="E10" s="12" t="e">
        <f>E11+#REF!+#REF!+#REF!+#REF!+#REF!+#REF!+#REF!+#REF!+#REF!</f>
        <v>#REF!</v>
      </c>
      <c r="F10" s="13" t="e">
        <f>K10/E10*100%</f>
        <v>#REF!</v>
      </c>
      <c r="G10" s="12" t="e">
        <f>G11+#REF!+#REF!+#REF!+#REF!+#REF!+#REF!+#REF!+#REF!+#REF!</f>
        <v>#REF!</v>
      </c>
      <c r="H10" s="13" t="e">
        <f>G10/E10*100%</f>
        <v>#REF!</v>
      </c>
      <c r="I10" s="13"/>
      <c r="J10" s="48"/>
      <c r="K10" s="14" t="e">
        <f>K11+#REF!+#REF!+#REF!+#REF!+#REF!+#REF!+#REF!+#REF!+#REF!</f>
        <v>#REF!</v>
      </c>
      <c r="Q10" s="190">
        <v>1213208971484</v>
      </c>
    </row>
    <row r="11" spans="1:17" ht="56.25" customHeight="1" x14ac:dyDescent="0.25">
      <c r="A11" s="24">
        <v>1</v>
      </c>
      <c r="B11" s="154" t="s">
        <v>121</v>
      </c>
      <c r="C11" s="25"/>
      <c r="D11" s="25"/>
      <c r="E11" s="26">
        <f>SUM(E12:E47)</f>
        <v>34911330952</v>
      </c>
      <c r="F11" s="85">
        <f>G11/E11*100%</f>
        <v>6.7965399178345251E-2</v>
      </c>
      <c r="G11" s="26">
        <f>SUM(G12:G47)</f>
        <v>2372762544</v>
      </c>
      <c r="H11" s="27">
        <f>G11/E11*100%</f>
        <v>6.7965399178345251E-2</v>
      </c>
      <c r="I11" s="27"/>
      <c r="J11" s="28"/>
      <c r="K11" s="1">
        <v>1594392656</v>
      </c>
      <c r="Q11" s="191" t="e">
        <f>E10-Q10</f>
        <v>#REF!</v>
      </c>
    </row>
    <row r="12" spans="1:17" x14ac:dyDescent="0.25">
      <c r="A12" s="29"/>
      <c r="B12" s="30"/>
      <c r="C12" s="31" t="s">
        <v>35</v>
      </c>
      <c r="D12" s="16"/>
      <c r="E12" s="17"/>
      <c r="F12" s="17"/>
      <c r="G12" s="17"/>
      <c r="H12" s="17"/>
      <c r="I12" s="17"/>
      <c r="J12" s="49"/>
    </row>
    <row r="13" spans="1:17" x14ac:dyDescent="0.25">
      <c r="A13" s="29"/>
      <c r="B13" s="30"/>
      <c r="C13" s="32" t="s">
        <v>129</v>
      </c>
      <c r="D13" s="18"/>
      <c r="E13" s="19"/>
      <c r="F13" s="19"/>
      <c r="G13" s="19"/>
      <c r="H13" s="19"/>
      <c r="I13" s="19"/>
      <c r="J13" s="50"/>
    </row>
    <row r="14" spans="1:17" ht="30" x14ac:dyDescent="0.25">
      <c r="A14" s="29"/>
      <c r="B14" s="30"/>
      <c r="C14" s="15"/>
      <c r="D14" s="64" t="s">
        <v>99</v>
      </c>
      <c r="E14" s="21"/>
      <c r="F14" s="22"/>
      <c r="G14" s="21"/>
      <c r="H14" s="22"/>
      <c r="I14" s="22"/>
      <c r="J14" s="20"/>
    </row>
    <row r="15" spans="1:17" x14ac:dyDescent="0.25">
      <c r="A15" s="29"/>
      <c r="B15" s="30"/>
      <c r="C15" s="15"/>
      <c r="D15" s="65" t="s">
        <v>261</v>
      </c>
      <c r="E15" s="21"/>
      <c r="F15" s="22"/>
      <c r="G15" s="21"/>
      <c r="H15" s="22"/>
      <c r="I15" s="22"/>
      <c r="J15" s="20"/>
    </row>
    <row r="16" spans="1:17" ht="30" x14ac:dyDescent="0.25">
      <c r="A16" s="29"/>
      <c r="B16" s="30"/>
      <c r="C16" s="15"/>
      <c r="D16" s="66" t="s">
        <v>100</v>
      </c>
      <c r="E16" s="21">
        <v>2975640000</v>
      </c>
      <c r="F16" s="43">
        <f>G16/E16*100%</f>
        <v>9.166767485314084E-2</v>
      </c>
      <c r="G16" s="21">
        <f>272770000</f>
        <v>272770000</v>
      </c>
      <c r="H16" s="43">
        <f>G16/E16*100%</f>
        <v>9.166767485314084E-2</v>
      </c>
      <c r="I16" s="36"/>
      <c r="J16" s="20"/>
      <c r="K16" s="1">
        <f>E16*F16</f>
        <v>272770000</v>
      </c>
    </row>
    <row r="17" spans="1:11" x14ac:dyDescent="0.25">
      <c r="A17" s="29"/>
      <c r="B17" s="30"/>
      <c r="C17" s="15"/>
      <c r="D17" s="66" t="s">
        <v>101</v>
      </c>
      <c r="E17" s="21">
        <v>1803960912</v>
      </c>
      <c r="F17" s="43">
        <f>G17/E17*100%</f>
        <v>0.12950945801867797</v>
      </c>
      <c r="G17" s="21">
        <f>233630000</f>
        <v>233630000</v>
      </c>
      <c r="H17" s="43">
        <f t="shared" ref="H17" si="0">G17/E17*100%</f>
        <v>0.12950945801867797</v>
      </c>
      <c r="I17" s="36"/>
      <c r="J17" s="20"/>
      <c r="K17" s="1">
        <f>E17*F17</f>
        <v>233630000.00000003</v>
      </c>
    </row>
    <row r="18" spans="1:11" x14ac:dyDescent="0.25">
      <c r="A18" s="29"/>
      <c r="B18" s="30"/>
      <c r="C18" s="32" t="s">
        <v>36</v>
      </c>
      <c r="D18" s="18"/>
      <c r="E18" s="40"/>
      <c r="F18" s="76"/>
      <c r="G18" s="40"/>
      <c r="H18" s="76"/>
      <c r="I18" s="19"/>
      <c r="J18" s="50"/>
    </row>
    <row r="19" spans="1:11" ht="30" x14ac:dyDescent="0.25">
      <c r="A19" s="29"/>
      <c r="B19" s="30"/>
      <c r="C19" s="15"/>
      <c r="D19" s="64" t="s">
        <v>99</v>
      </c>
      <c r="E19" s="21"/>
      <c r="F19" s="44"/>
      <c r="G19" s="21"/>
      <c r="H19" s="77"/>
      <c r="I19" s="36"/>
      <c r="J19" s="20"/>
    </row>
    <row r="20" spans="1:11" x14ac:dyDescent="0.25">
      <c r="A20" s="29"/>
      <c r="B20" s="30"/>
      <c r="C20" s="15"/>
      <c r="D20" s="65" t="s">
        <v>261</v>
      </c>
      <c r="E20" s="21"/>
      <c r="F20" s="44"/>
      <c r="G20" s="21"/>
      <c r="H20" s="77"/>
      <c r="I20" s="36"/>
      <c r="J20" s="20"/>
    </row>
    <row r="21" spans="1:11" ht="30" x14ac:dyDescent="0.25">
      <c r="A21" s="29"/>
      <c r="B21" s="30"/>
      <c r="C21" s="15"/>
      <c r="D21" s="66" t="s">
        <v>100</v>
      </c>
      <c r="E21" s="21">
        <v>2695640000</v>
      </c>
      <c r="F21" s="43">
        <f>G21/E21*100%</f>
        <v>0</v>
      </c>
      <c r="G21" s="21">
        <v>0</v>
      </c>
      <c r="H21" s="43">
        <f t="shared" ref="H21:H22" si="1">G21/E21*100%</f>
        <v>0</v>
      </c>
      <c r="I21" s="36"/>
      <c r="J21" s="20"/>
      <c r="K21" s="1">
        <f>E21*F21</f>
        <v>0</v>
      </c>
    </row>
    <row r="22" spans="1:11" x14ac:dyDescent="0.25">
      <c r="A22" s="29"/>
      <c r="B22" s="30"/>
      <c r="C22" s="15"/>
      <c r="D22" s="66" t="s">
        <v>101</v>
      </c>
      <c r="E22" s="21">
        <v>1635097968</v>
      </c>
      <c r="F22" s="43">
        <f>G22/E22*100%</f>
        <v>0.35444235106529104</v>
      </c>
      <c r="G22" s="21">
        <f>579547968</f>
        <v>579547968</v>
      </c>
      <c r="H22" s="43">
        <f t="shared" si="1"/>
        <v>0.35444235106529104</v>
      </c>
      <c r="I22" s="36"/>
      <c r="J22" s="20"/>
      <c r="K22" s="1">
        <v>579547968</v>
      </c>
    </row>
    <row r="23" spans="1:11" x14ac:dyDescent="0.25">
      <c r="A23" s="29"/>
      <c r="B23" s="30"/>
      <c r="C23" s="32" t="s">
        <v>37</v>
      </c>
      <c r="D23" s="18"/>
      <c r="E23" s="40"/>
      <c r="F23" s="76"/>
      <c r="G23" s="40"/>
      <c r="H23" s="76"/>
      <c r="I23" s="19"/>
      <c r="J23" s="50"/>
    </row>
    <row r="24" spans="1:11" ht="30" x14ac:dyDescent="0.25">
      <c r="A24" s="29"/>
      <c r="B24" s="30"/>
      <c r="C24" s="15"/>
      <c r="D24" s="64" t="s">
        <v>99</v>
      </c>
      <c r="E24" s="21"/>
      <c r="F24" s="44"/>
      <c r="G24" s="21"/>
      <c r="H24" s="44"/>
      <c r="I24" s="22"/>
      <c r="J24" s="20"/>
    </row>
    <row r="25" spans="1:11" x14ac:dyDescent="0.25">
      <c r="A25" s="29"/>
      <c r="B25" s="30"/>
      <c r="C25" s="15"/>
      <c r="D25" s="65" t="s">
        <v>261</v>
      </c>
      <c r="E25" s="21"/>
      <c r="F25" s="44"/>
      <c r="G25" s="21"/>
      <c r="H25" s="44"/>
      <c r="I25" s="22"/>
      <c r="J25" s="20"/>
    </row>
    <row r="26" spans="1:11" ht="30" x14ac:dyDescent="0.25">
      <c r="A26" s="29"/>
      <c r="B26" s="30"/>
      <c r="C26" s="15"/>
      <c r="D26" s="66" t="s">
        <v>100</v>
      </c>
      <c r="E26" s="21">
        <v>2905640000</v>
      </c>
      <c r="F26" s="43">
        <f>G26/E26*100%</f>
        <v>0</v>
      </c>
      <c r="G26" s="21">
        <v>0</v>
      </c>
      <c r="H26" s="43">
        <f t="shared" ref="H26:H27" si="2">G26/E26*100%</f>
        <v>0</v>
      </c>
      <c r="I26" s="159"/>
      <c r="J26" s="20"/>
      <c r="K26" s="1">
        <f>E26*F26</f>
        <v>0</v>
      </c>
    </row>
    <row r="27" spans="1:11" x14ac:dyDescent="0.25">
      <c r="A27" s="29"/>
      <c r="B27" s="30"/>
      <c r="C27" s="15"/>
      <c r="D27" s="66" t="s">
        <v>101</v>
      </c>
      <c r="E27" s="21">
        <v>1761745176</v>
      </c>
      <c r="F27" s="43">
        <f>G27/E27*100%</f>
        <v>0.10960607165584769</v>
      </c>
      <c r="G27" s="21">
        <f>193097968</f>
        <v>193097968</v>
      </c>
      <c r="H27" s="43">
        <f t="shared" si="2"/>
        <v>0.10960607165584769</v>
      </c>
      <c r="I27" s="36"/>
      <c r="J27" s="20"/>
      <c r="K27" s="1">
        <f>E27*F27</f>
        <v>193097968</v>
      </c>
    </row>
    <row r="28" spans="1:11" x14ac:dyDescent="0.25">
      <c r="A28" s="29"/>
      <c r="B28" s="30"/>
      <c r="C28" s="32" t="s">
        <v>38</v>
      </c>
      <c r="D28" s="18"/>
      <c r="E28" s="40"/>
      <c r="F28" s="76"/>
      <c r="G28" s="40"/>
      <c r="H28" s="76"/>
      <c r="I28" s="19"/>
      <c r="J28" s="50"/>
    </row>
    <row r="29" spans="1:11" ht="30" x14ac:dyDescent="0.25">
      <c r="A29" s="29"/>
      <c r="B29" s="30"/>
      <c r="C29" s="15"/>
      <c r="D29" s="64" t="s">
        <v>99</v>
      </c>
      <c r="E29" s="21"/>
      <c r="F29" s="44"/>
      <c r="G29" s="21"/>
      <c r="H29" s="77"/>
      <c r="I29" s="36"/>
      <c r="J29" s="20"/>
    </row>
    <row r="30" spans="1:11" x14ac:dyDescent="0.25">
      <c r="A30" s="29"/>
      <c r="B30" s="30"/>
      <c r="C30" s="15"/>
      <c r="D30" s="65" t="s">
        <v>261</v>
      </c>
      <c r="E30" s="21"/>
      <c r="F30" s="44"/>
      <c r="G30" s="21"/>
      <c r="H30" s="77"/>
      <c r="I30" s="36"/>
      <c r="J30" s="20"/>
    </row>
    <row r="31" spans="1:11" ht="30" x14ac:dyDescent="0.25">
      <c r="A31" s="29"/>
      <c r="B31" s="30"/>
      <c r="C31" s="15"/>
      <c r="D31" s="66" t="s">
        <v>100</v>
      </c>
      <c r="E31" s="21">
        <v>2480900000</v>
      </c>
      <c r="F31" s="43">
        <f t="shared" ref="F31:F32" si="3">G31/E31*100%</f>
        <v>0</v>
      </c>
      <c r="G31" s="21">
        <v>0</v>
      </c>
      <c r="H31" s="43">
        <f t="shared" ref="H31:H32" si="4">G31/E31*100%</f>
        <v>0</v>
      </c>
      <c r="I31" s="159"/>
      <c r="J31" s="20"/>
      <c r="K31" s="1">
        <f>E31*F31</f>
        <v>0</v>
      </c>
    </row>
    <row r="32" spans="1:11" x14ac:dyDescent="0.25">
      <c r="A32" s="29"/>
      <c r="B32" s="30"/>
      <c r="C32" s="15"/>
      <c r="D32" s="66" t="s">
        <v>101</v>
      </c>
      <c r="E32" s="21">
        <v>1508450760</v>
      </c>
      <c r="F32" s="43">
        <f t="shared" si="3"/>
        <v>0.3479701253224865</v>
      </c>
      <c r="G32" s="21">
        <f>524895800</f>
        <v>524895800</v>
      </c>
      <c r="H32" s="43">
        <f t="shared" si="4"/>
        <v>0.3479701253224865</v>
      </c>
      <c r="I32" s="158"/>
      <c r="J32" s="20"/>
      <c r="K32" s="1">
        <f>E32*F32</f>
        <v>524895800</v>
      </c>
    </row>
    <row r="33" spans="1:11" x14ac:dyDescent="0.25">
      <c r="A33" s="29"/>
      <c r="B33" s="30"/>
      <c r="C33" s="32" t="s">
        <v>39</v>
      </c>
      <c r="D33" s="18"/>
      <c r="E33" s="40"/>
      <c r="F33" s="76"/>
      <c r="G33" s="40"/>
      <c r="H33" s="76"/>
      <c r="I33" s="19"/>
      <c r="J33" s="50"/>
    </row>
    <row r="34" spans="1:11" ht="30" x14ac:dyDescent="0.25">
      <c r="A34" s="29"/>
      <c r="B34" s="30"/>
      <c r="C34" s="15"/>
      <c r="D34" s="64" t="s">
        <v>99</v>
      </c>
      <c r="E34" s="21"/>
      <c r="F34" s="44"/>
      <c r="G34" s="21"/>
      <c r="H34" s="77"/>
      <c r="I34" s="36"/>
      <c r="J34" s="20"/>
    </row>
    <row r="35" spans="1:11" x14ac:dyDescent="0.25">
      <c r="A35" s="29"/>
      <c r="B35" s="30"/>
      <c r="C35" s="15"/>
      <c r="D35" s="65" t="s">
        <v>261</v>
      </c>
      <c r="E35" s="21"/>
      <c r="F35" s="44"/>
      <c r="G35" s="21"/>
      <c r="H35" s="77"/>
      <c r="I35" s="36"/>
      <c r="J35" s="20"/>
    </row>
    <row r="36" spans="1:11" ht="30" x14ac:dyDescent="0.25">
      <c r="A36" s="29"/>
      <c r="B36" s="30"/>
      <c r="C36" s="15"/>
      <c r="D36" s="66" t="s">
        <v>100</v>
      </c>
      <c r="E36" s="21">
        <v>3395640000</v>
      </c>
      <c r="F36" s="43">
        <f t="shared" ref="F36:F37" si="5">G36/E36*100%</f>
        <v>0</v>
      </c>
      <c r="G36" s="21">
        <v>0</v>
      </c>
      <c r="H36" s="43">
        <f t="shared" ref="H36:H37" si="6">G36/E36*100%</f>
        <v>0</v>
      </c>
      <c r="I36" s="36"/>
      <c r="J36" s="20"/>
      <c r="K36" s="1">
        <f>E36*F36</f>
        <v>0</v>
      </c>
    </row>
    <row r="37" spans="1:11" x14ac:dyDescent="0.25">
      <c r="A37" s="29"/>
      <c r="B37" s="30"/>
      <c r="C37" s="15"/>
      <c r="D37" s="66" t="s">
        <v>101</v>
      </c>
      <c r="E37" s="21">
        <v>2057255328</v>
      </c>
      <c r="F37" s="43">
        <f t="shared" si="5"/>
        <v>0.11549368557523065</v>
      </c>
      <c r="G37" s="21">
        <f>237600000</f>
        <v>237600000</v>
      </c>
      <c r="H37" s="43">
        <f t="shared" si="6"/>
        <v>0.11549368557523065</v>
      </c>
      <c r="I37" s="36"/>
      <c r="J37" s="20"/>
      <c r="K37" s="1">
        <v>237600000</v>
      </c>
    </row>
    <row r="38" spans="1:11" x14ac:dyDescent="0.25">
      <c r="A38" s="29"/>
      <c r="B38" s="30"/>
      <c r="C38" s="32" t="s">
        <v>40</v>
      </c>
      <c r="D38" s="18"/>
      <c r="E38" s="40"/>
      <c r="F38" s="76"/>
      <c r="G38" s="40"/>
      <c r="H38" s="76"/>
      <c r="I38" s="41"/>
      <c r="J38" s="50"/>
    </row>
    <row r="39" spans="1:11" ht="30" x14ac:dyDescent="0.25">
      <c r="A39" s="29"/>
      <c r="B39" s="30"/>
      <c r="C39" s="15"/>
      <c r="D39" s="64" t="s">
        <v>99</v>
      </c>
      <c r="E39" s="21"/>
      <c r="F39" s="44"/>
      <c r="G39" s="21"/>
      <c r="H39" s="44"/>
      <c r="I39" s="22"/>
      <c r="J39" s="20"/>
    </row>
    <row r="40" spans="1:11" x14ac:dyDescent="0.25">
      <c r="A40" s="29"/>
      <c r="B40" s="30"/>
      <c r="C40" s="15"/>
      <c r="D40" s="65" t="s">
        <v>261</v>
      </c>
      <c r="E40" s="21"/>
      <c r="F40" s="44"/>
      <c r="G40" s="21"/>
      <c r="H40" s="44"/>
      <c r="I40" s="22"/>
      <c r="J40" s="20"/>
    </row>
    <row r="41" spans="1:11" ht="30" x14ac:dyDescent="0.25">
      <c r="A41" s="29"/>
      <c r="B41" s="30"/>
      <c r="C41" s="15"/>
      <c r="D41" s="66" t="s">
        <v>100</v>
      </c>
      <c r="E41" s="21">
        <v>1430900000</v>
      </c>
      <c r="F41" s="43">
        <f t="shared" ref="F41:F42" si="7">G41/E41*100%</f>
        <v>0</v>
      </c>
      <c r="G41" s="21">
        <v>0</v>
      </c>
      <c r="H41" s="43">
        <f t="shared" ref="H41:H42" si="8">G41/E41*100%</f>
        <v>0</v>
      </c>
      <c r="I41" s="36"/>
      <c r="J41" s="20"/>
      <c r="K41" s="1">
        <f>E41*F41</f>
        <v>0</v>
      </c>
    </row>
    <row r="42" spans="1:11" x14ac:dyDescent="0.25">
      <c r="A42" s="29"/>
      <c r="B42" s="30"/>
      <c r="C42" s="15"/>
      <c r="D42" s="66" t="s">
        <v>101</v>
      </c>
      <c r="E42" s="21">
        <v>870474720</v>
      </c>
      <c r="F42" s="43">
        <f t="shared" si="7"/>
        <v>7.3884649975820088E-2</v>
      </c>
      <c r="G42" s="21">
        <f>64314720</f>
        <v>64314720</v>
      </c>
      <c r="H42" s="43">
        <f t="shared" si="8"/>
        <v>7.3884649975820088E-2</v>
      </c>
      <c r="I42" s="36"/>
      <c r="J42" s="20"/>
      <c r="K42" s="1">
        <f>E42*F42</f>
        <v>64314720</v>
      </c>
    </row>
    <row r="43" spans="1:11" x14ac:dyDescent="0.25">
      <c r="A43" s="29"/>
      <c r="B43" s="30"/>
      <c r="C43" s="32" t="s">
        <v>41</v>
      </c>
      <c r="D43" s="18"/>
      <c r="E43" s="40"/>
      <c r="F43" s="76"/>
      <c r="G43" s="40"/>
      <c r="H43" s="76"/>
      <c r="I43" s="19"/>
      <c r="J43" s="50"/>
    </row>
    <row r="44" spans="1:11" ht="30" x14ac:dyDescent="0.25">
      <c r="A44" s="29"/>
      <c r="B44" s="30"/>
      <c r="C44" s="15"/>
      <c r="D44" s="64" t="s">
        <v>99</v>
      </c>
      <c r="E44" s="21"/>
      <c r="F44" s="44"/>
      <c r="G44" s="21"/>
      <c r="H44" s="77"/>
      <c r="I44" s="36"/>
      <c r="J44" s="20"/>
    </row>
    <row r="45" spans="1:11" x14ac:dyDescent="0.25">
      <c r="A45" s="29"/>
      <c r="B45" s="30"/>
      <c r="C45" s="15"/>
      <c r="D45" s="65" t="s">
        <v>261</v>
      </c>
      <c r="E45" s="21"/>
      <c r="F45" s="44"/>
      <c r="G45" s="21"/>
      <c r="H45" s="77"/>
      <c r="I45" s="36"/>
      <c r="J45" s="20"/>
    </row>
    <row r="46" spans="1:11" ht="30" x14ac:dyDescent="0.25">
      <c r="A46" s="29"/>
      <c r="B46" s="30"/>
      <c r="C46" s="15"/>
      <c r="D46" s="66" t="s">
        <v>100</v>
      </c>
      <c r="E46" s="21">
        <v>5850440000</v>
      </c>
      <c r="F46" s="43">
        <f t="shared" ref="F46:F47" si="9">G46/E46*100%</f>
        <v>0</v>
      </c>
      <c r="G46" s="21">
        <v>0</v>
      </c>
      <c r="H46" s="43">
        <f t="shared" ref="H46:H47" si="10">G46/E46*100%</f>
        <v>0</v>
      </c>
      <c r="I46" s="36"/>
      <c r="J46" s="20"/>
      <c r="K46" s="1">
        <f>E46*F46</f>
        <v>0</v>
      </c>
    </row>
    <row r="47" spans="1:11" x14ac:dyDescent="0.25">
      <c r="A47" s="29"/>
      <c r="B47" s="30"/>
      <c r="C47" s="15"/>
      <c r="D47" s="66" t="s">
        <v>101</v>
      </c>
      <c r="E47" s="21">
        <v>3539546088</v>
      </c>
      <c r="F47" s="43">
        <f t="shared" si="9"/>
        <v>7.5406868949914913E-2</v>
      </c>
      <c r="G47" s="21">
        <f>266906088</f>
        <v>266906088</v>
      </c>
      <c r="H47" s="43">
        <f t="shared" si="10"/>
        <v>7.5406868949914913E-2</v>
      </c>
      <c r="I47" s="36"/>
      <c r="J47" s="20"/>
      <c r="K47" s="1">
        <f>E47*F47</f>
        <v>266906088</v>
      </c>
    </row>
    <row r="51" spans="1:10" s="2" customFormat="1" x14ac:dyDescent="0.25">
      <c r="A51" s="150"/>
      <c r="J51" s="51"/>
    </row>
    <row r="52" spans="1:10" s="2" customFormat="1" ht="26.25" x14ac:dyDescent="0.25">
      <c r="A52" s="259" t="s">
        <v>362</v>
      </c>
      <c r="B52" s="260"/>
      <c r="C52" s="260"/>
      <c r="D52" s="260"/>
      <c r="E52" s="260"/>
      <c r="F52" s="260"/>
      <c r="G52" s="260"/>
      <c r="H52" s="260"/>
      <c r="I52" s="260"/>
      <c r="J52" s="260"/>
    </row>
    <row r="53" spans="1:10" s="2" customFormat="1" ht="26.25" x14ac:dyDescent="0.25">
      <c r="A53" s="259" t="s">
        <v>117</v>
      </c>
      <c r="B53" s="260"/>
      <c r="C53" s="260"/>
      <c r="D53" s="260"/>
      <c r="E53" s="260"/>
      <c r="F53" s="260"/>
      <c r="G53" s="260"/>
      <c r="H53" s="260"/>
      <c r="I53" s="260"/>
      <c r="J53" s="260"/>
    </row>
    <row r="54" spans="1:10" s="2" customFormat="1" ht="26.25" x14ac:dyDescent="0.4">
      <c r="A54" s="272" t="s">
        <v>370</v>
      </c>
      <c r="B54" s="272"/>
      <c r="C54" s="272"/>
      <c r="D54" s="272"/>
      <c r="E54" s="272"/>
      <c r="F54" s="272"/>
      <c r="G54" s="272"/>
      <c r="H54" s="272"/>
      <c r="I54" s="272"/>
      <c r="J54" s="272"/>
    </row>
    <row r="55" spans="1:10" s="2" customFormat="1" x14ac:dyDescent="0.25">
      <c r="A55" s="45" t="s">
        <v>369</v>
      </c>
      <c r="D55" s="9"/>
      <c r="E55" s="5"/>
      <c r="F55" s="3"/>
      <c r="G55" s="7"/>
      <c r="H55" s="8"/>
      <c r="I55" s="8"/>
      <c r="J55" s="47"/>
    </row>
    <row r="56" spans="1:10" s="2" customFormat="1" ht="15.75" x14ac:dyDescent="0.25">
      <c r="A56" s="261" t="s">
        <v>109</v>
      </c>
      <c r="B56" s="261" t="s">
        <v>118</v>
      </c>
      <c r="C56" s="264" t="s">
        <v>119</v>
      </c>
      <c r="D56" s="265" t="s">
        <v>107</v>
      </c>
      <c r="E56" s="268" t="s">
        <v>108</v>
      </c>
      <c r="F56" s="254" t="s">
        <v>102</v>
      </c>
      <c r="G56" s="269"/>
      <c r="H56" s="255"/>
      <c r="I56" s="270" t="s">
        <v>358</v>
      </c>
      <c r="J56" s="271" t="s">
        <v>1</v>
      </c>
    </row>
    <row r="57" spans="1:10" s="2" customFormat="1" ht="15.75" x14ac:dyDescent="0.25">
      <c r="A57" s="262"/>
      <c r="B57" s="262"/>
      <c r="C57" s="262"/>
      <c r="D57" s="266"/>
      <c r="E57" s="262"/>
      <c r="F57" s="194" t="s">
        <v>103</v>
      </c>
      <c r="G57" s="254" t="s">
        <v>104</v>
      </c>
      <c r="H57" s="255"/>
      <c r="I57" s="270"/>
      <c r="J57" s="271"/>
    </row>
    <row r="58" spans="1:10" s="2" customFormat="1" ht="15.75" x14ac:dyDescent="0.25">
      <c r="A58" s="263"/>
      <c r="B58" s="263"/>
      <c r="C58" s="263"/>
      <c r="D58" s="267"/>
      <c r="E58" s="263"/>
      <c r="F58" s="194" t="s">
        <v>105</v>
      </c>
      <c r="G58" s="194" t="s">
        <v>106</v>
      </c>
      <c r="H58" s="10" t="s">
        <v>105</v>
      </c>
      <c r="I58" s="270"/>
      <c r="J58" s="271"/>
    </row>
    <row r="59" spans="1:10" s="2" customFormat="1" ht="15.75" x14ac:dyDescent="0.25">
      <c r="A59" s="11">
        <v>1</v>
      </c>
      <c r="B59" s="11">
        <v>2</v>
      </c>
      <c r="C59" s="11">
        <v>3</v>
      </c>
      <c r="D59" s="11">
        <v>4</v>
      </c>
      <c r="E59" s="11">
        <v>5</v>
      </c>
      <c r="F59" s="11">
        <v>7</v>
      </c>
      <c r="G59" s="11">
        <v>8</v>
      </c>
      <c r="H59" s="11">
        <v>9</v>
      </c>
      <c r="I59" s="11">
        <v>10</v>
      </c>
      <c r="J59" s="11">
        <v>11</v>
      </c>
    </row>
    <row r="60" spans="1:10" s="2" customFormat="1" ht="15.75" x14ac:dyDescent="0.25">
      <c r="A60" s="256" t="s">
        <v>120</v>
      </c>
      <c r="B60" s="257"/>
      <c r="C60" s="257"/>
      <c r="D60" s="258"/>
      <c r="E60" s="12" t="e">
        <f>E61+#REF!+#REF!+#REF!+#REF!+#REF!+#REF!+#REF!+#REF!+#REF!</f>
        <v>#REF!</v>
      </c>
      <c r="F60" s="13" t="e">
        <f>K60/E60*100%</f>
        <v>#REF!</v>
      </c>
      <c r="G60" s="12" t="e">
        <f>G61+#REF!+#REF!+#REF!+#REF!+#REF!+#REF!+#REF!+#REF!+#REF!</f>
        <v>#REF!</v>
      </c>
      <c r="H60" s="13" t="e">
        <f>G60/E60*100%</f>
        <v>#REF!</v>
      </c>
      <c r="I60" s="13"/>
      <c r="J60" s="48"/>
    </row>
    <row r="61" spans="1:10" s="2" customFormat="1" ht="45" x14ac:dyDescent="0.25">
      <c r="A61" s="24">
        <v>1</v>
      </c>
      <c r="B61" s="154" t="s">
        <v>121</v>
      </c>
      <c r="C61" s="25"/>
      <c r="D61" s="25"/>
      <c r="E61" s="26">
        <f>SUM(E62:E90)</f>
        <v>21734800000</v>
      </c>
      <c r="F61" s="85">
        <f>G61/E61*100%</f>
        <v>1.2549919944052855E-2</v>
      </c>
      <c r="G61" s="26">
        <f>SUM(G62:G90)</f>
        <v>272770000</v>
      </c>
      <c r="H61" s="27">
        <f>G61/E61*100%</f>
        <v>1.2549919944052855E-2</v>
      </c>
      <c r="I61" s="27"/>
      <c r="J61" s="28"/>
    </row>
    <row r="62" spans="1:10" s="2" customFormat="1" x14ac:dyDescent="0.25">
      <c r="A62" s="29"/>
      <c r="B62" s="30"/>
      <c r="C62" s="31" t="s">
        <v>35</v>
      </c>
      <c r="D62" s="16"/>
      <c r="E62" s="17"/>
      <c r="F62" s="17"/>
      <c r="G62" s="17"/>
      <c r="H62" s="17"/>
      <c r="I62" s="17"/>
      <c r="J62" s="49"/>
    </row>
    <row r="63" spans="1:10" s="2" customFormat="1" x14ac:dyDescent="0.25">
      <c r="A63" s="29"/>
      <c r="B63" s="30"/>
      <c r="C63" s="32" t="s">
        <v>129</v>
      </c>
      <c r="D63" s="18"/>
      <c r="E63" s="19"/>
      <c r="F63" s="19"/>
      <c r="G63" s="19"/>
      <c r="H63" s="19"/>
      <c r="I63" s="19"/>
      <c r="J63" s="50"/>
    </row>
    <row r="64" spans="1:10" s="2" customFormat="1" ht="30" x14ac:dyDescent="0.25">
      <c r="A64" s="29"/>
      <c r="B64" s="30"/>
      <c r="C64" s="15"/>
      <c r="D64" s="64" t="s">
        <v>99</v>
      </c>
      <c r="E64" s="21"/>
      <c r="F64" s="22"/>
      <c r="G64" s="21"/>
      <c r="H64" s="22"/>
      <c r="I64" s="22"/>
      <c r="J64" s="20"/>
    </row>
    <row r="65" spans="1:10" s="2" customFormat="1" x14ac:dyDescent="0.25">
      <c r="A65" s="29"/>
      <c r="B65" s="30"/>
      <c r="C65" s="15"/>
      <c r="D65" s="65" t="s">
        <v>261</v>
      </c>
      <c r="E65" s="21"/>
      <c r="F65" s="22"/>
      <c r="G65" s="21"/>
      <c r="H65" s="22"/>
      <c r="I65" s="22"/>
      <c r="J65" s="20"/>
    </row>
    <row r="66" spans="1:10" s="2" customFormat="1" ht="30" x14ac:dyDescent="0.25">
      <c r="A66" s="29"/>
      <c r="B66" s="30"/>
      <c r="C66" s="15"/>
      <c r="D66" s="66" t="s">
        <v>100</v>
      </c>
      <c r="E66" s="21">
        <v>2975640000</v>
      </c>
      <c r="F66" s="43">
        <f>G66/E66*100%</f>
        <v>9.166767485314084E-2</v>
      </c>
      <c r="G66" s="21">
        <f>272770000</f>
        <v>272770000</v>
      </c>
      <c r="H66" s="43">
        <f>G66/E66*100%</f>
        <v>9.166767485314084E-2</v>
      </c>
      <c r="I66" s="36"/>
      <c r="J66" s="20"/>
    </row>
    <row r="67" spans="1:10" s="2" customFormat="1" x14ac:dyDescent="0.25">
      <c r="A67" s="29"/>
      <c r="B67" s="30"/>
      <c r="C67" s="32" t="s">
        <v>36</v>
      </c>
      <c r="D67" s="18"/>
      <c r="E67" s="40"/>
      <c r="F67" s="76"/>
      <c r="G67" s="40"/>
      <c r="H67" s="76"/>
      <c r="I67" s="19"/>
      <c r="J67" s="50"/>
    </row>
    <row r="68" spans="1:10" s="2" customFormat="1" ht="30" x14ac:dyDescent="0.25">
      <c r="A68" s="29"/>
      <c r="B68" s="30"/>
      <c r="C68" s="15"/>
      <c r="D68" s="64" t="s">
        <v>99</v>
      </c>
      <c r="E68" s="21"/>
      <c r="F68" s="44"/>
      <c r="G68" s="21"/>
      <c r="H68" s="77"/>
      <c r="I68" s="36"/>
      <c r="J68" s="20"/>
    </row>
    <row r="69" spans="1:10" s="2" customFormat="1" x14ac:dyDescent="0.25">
      <c r="A69" s="29"/>
      <c r="B69" s="30"/>
      <c r="C69" s="15"/>
      <c r="D69" s="65" t="s">
        <v>261</v>
      </c>
      <c r="E69" s="21"/>
      <c r="F69" s="44"/>
      <c r="G69" s="21"/>
      <c r="H69" s="77"/>
      <c r="I69" s="36"/>
      <c r="J69" s="20"/>
    </row>
    <row r="70" spans="1:10" s="2" customFormat="1" ht="30" x14ac:dyDescent="0.25">
      <c r="A70" s="29"/>
      <c r="B70" s="30"/>
      <c r="C70" s="15"/>
      <c r="D70" s="66" t="s">
        <v>100</v>
      </c>
      <c r="E70" s="21">
        <v>2695640000</v>
      </c>
      <c r="F70" s="43">
        <f>G70/E70*100%</f>
        <v>0</v>
      </c>
      <c r="G70" s="21">
        <v>0</v>
      </c>
      <c r="H70" s="43">
        <f t="shared" ref="H70" si="11">G70/E70*100%</f>
        <v>0</v>
      </c>
      <c r="I70" s="36"/>
      <c r="J70" s="20"/>
    </row>
    <row r="71" spans="1:10" s="2" customFormat="1" x14ac:dyDescent="0.25">
      <c r="A71" s="29"/>
      <c r="B71" s="30"/>
      <c r="C71" s="32" t="s">
        <v>37</v>
      </c>
      <c r="D71" s="18"/>
      <c r="E71" s="40"/>
      <c r="F71" s="76"/>
      <c r="G71" s="40"/>
      <c r="H71" s="76"/>
      <c r="I71" s="19"/>
      <c r="J71" s="50"/>
    </row>
    <row r="72" spans="1:10" s="2" customFormat="1" ht="30" x14ac:dyDescent="0.25">
      <c r="A72" s="29"/>
      <c r="B72" s="30"/>
      <c r="C72" s="15"/>
      <c r="D72" s="64" t="s">
        <v>99</v>
      </c>
      <c r="E72" s="21"/>
      <c r="F72" s="44"/>
      <c r="G72" s="21"/>
      <c r="H72" s="44"/>
      <c r="I72" s="22"/>
      <c r="J72" s="20"/>
    </row>
    <row r="73" spans="1:10" s="2" customFormat="1" x14ac:dyDescent="0.25">
      <c r="A73" s="29"/>
      <c r="B73" s="30"/>
      <c r="C73" s="15"/>
      <c r="D73" s="65" t="s">
        <v>261</v>
      </c>
      <c r="E73" s="21"/>
      <c r="F73" s="44"/>
      <c r="G73" s="21"/>
      <c r="H73" s="44"/>
      <c r="I73" s="22"/>
      <c r="J73" s="20"/>
    </row>
    <row r="74" spans="1:10" s="2" customFormat="1" ht="30" x14ac:dyDescent="0.25">
      <c r="A74" s="29"/>
      <c r="B74" s="30"/>
      <c r="C74" s="15"/>
      <c r="D74" s="66" t="s">
        <v>100</v>
      </c>
      <c r="E74" s="21">
        <v>2905640000</v>
      </c>
      <c r="F74" s="43">
        <f>G74/E74*100%</f>
        <v>0</v>
      </c>
      <c r="G74" s="21">
        <v>0</v>
      </c>
      <c r="H74" s="43">
        <f t="shared" ref="H74" si="12">G74/E74*100%</f>
        <v>0</v>
      </c>
      <c r="I74" s="159"/>
      <c r="J74" s="20"/>
    </row>
    <row r="75" spans="1:10" s="2" customFormat="1" x14ac:dyDescent="0.25">
      <c r="A75" s="29"/>
      <c r="B75" s="30"/>
      <c r="C75" s="32" t="s">
        <v>38</v>
      </c>
      <c r="D75" s="18"/>
      <c r="E75" s="40"/>
      <c r="F75" s="76"/>
      <c r="G75" s="40"/>
      <c r="H75" s="76"/>
      <c r="I75" s="19"/>
      <c r="J75" s="50"/>
    </row>
    <row r="76" spans="1:10" s="2" customFormat="1" ht="30" x14ac:dyDescent="0.25">
      <c r="A76" s="29"/>
      <c r="B76" s="30"/>
      <c r="C76" s="15"/>
      <c r="D76" s="64" t="s">
        <v>99</v>
      </c>
      <c r="E76" s="21"/>
      <c r="F76" s="44"/>
      <c r="G76" s="21"/>
      <c r="H76" s="77"/>
      <c r="I76" s="36"/>
      <c r="J76" s="20"/>
    </row>
    <row r="77" spans="1:10" s="2" customFormat="1" x14ac:dyDescent="0.25">
      <c r="A77" s="29"/>
      <c r="B77" s="30"/>
      <c r="C77" s="15"/>
      <c r="D77" s="65" t="s">
        <v>261</v>
      </c>
      <c r="E77" s="21"/>
      <c r="F77" s="44"/>
      <c r="G77" s="21"/>
      <c r="H77" s="77"/>
      <c r="I77" s="36"/>
      <c r="J77" s="20"/>
    </row>
    <row r="78" spans="1:10" s="2" customFormat="1" ht="30" x14ac:dyDescent="0.25">
      <c r="A78" s="29"/>
      <c r="B78" s="30"/>
      <c r="C78" s="15"/>
      <c r="D78" s="66" t="s">
        <v>100</v>
      </c>
      <c r="E78" s="21">
        <v>2480900000</v>
      </c>
      <c r="F78" s="43">
        <f t="shared" ref="F78" si="13">G78/E78*100%</f>
        <v>0</v>
      </c>
      <c r="G78" s="21">
        <v>0</v>
      </c>
      <c r="H78" s="43">
        <f t="shared" ref="H78" si="14">G78/E78*100%</f>
        <v>0</v>
      </c>
      <c r="I78" s="159"/>
      <c r="J78" s="20"/>
    </row>
    <row r="79" spans="1:10" s="2" customFormat="1" x14ac:dyDescent="0.25">
      <c r="A79" s="29"/>
      <c r="B79" s="30"/>
      <c r="C79" s="32" t="s">
        <v>39</v>
      </c>
      <c r="D79" s="18"/>
      <c r="E79" s="40"/>
      <c r="F79" s="76"/>
      <c r="G79" s="40"/>
      <c r="H79" s="76"/>
      <c r="I79" s="19"/>
      <c r="J79" s="50"/>
    </row>
    <row r="80" spans="1:10" s="2" customFormat="1" ht="30" x14ac:dyDescent="0.25">
      <c r="A80" s="29"/>
      <c r="B80" s="30"/>
      <c r="C80" s="15"/>
      <c r="D80" s="64" t="s">
        <v>99</v>
      </c>
      <c r="E80" s="21"/>
      <c r="F80" s="44"/>
      <c r="G80" s="21"/>
      <c r="H80" s="77"/>
      <c r="I80" s="36"/>
      <c r="J80" s="20"/>
    </row>
    <row r="81" spans="1:10" s="2" customFormat="1" x14ac:dyDescent="0.25">
      <c r="A81" s="29"/>
      <c r="B81" s="30"/>
      <c r="C81" s="15"/>
      <c r="D81" s="65" t="s">
        <v>261</v>
      </c>
      <c r="E81" s="21"/>
      <c r="F81" s="44"/>
      <c r="G81" s="21"/>
      <c r="H81" s="77"/>
      <c r="I81" s="36"/>
      <c r="J81" s="20"/>
    </row>
    <row r="82" spans="1:10" s="2" customFormat="1" ht="30" x14ac:dyDescent="0.25">
      <c r="A82" s="29"/>
      <c r="B82" s="30"/>
      <c r="C82" s="15"/>
      <c r="D82" s="66" t="s">
        <v>100</v>
      </c>
      <c r="E82" s="21">
        <v>3395640000</v>
      </c>
      <c r="F82" s="43">
        <f t="shared" ref="F82" si="15">G82/E82*100%</f>
        <v>0</v>
      </c>
      <c r="G82" s="21">
        <v>0</v>
      </c>
      <c r="H82" s="43">
        <f t="shared" ref="H82" si="16">G82/E82*100%</f>
        <v>0</v>
      </c>
      <c r="I82" s="36"/>
      <c r="J82" s="20"/>
    </row>
    <row r="83" spans="1:10" s="2" customFormat="1" x14ac:dyDescent="0.25">
      <c r="A83" s="29"/>
      <c r="B83" s="30"/>
      <c r="C83" s="32" t="s">
        <v>40</v>
      </c>
      <c r="D83" s="18"/>
      <c r="E83" s="40"/>
      <c r="F83" s="76"/>
      <c r="G83" s="40"/>
      <c r="H83" s="76"/>
      <c r="I83" s="41"/>
      <c r="J83" s="50"/>
    </row>
    <row r="84" spans="1:10" s="2" customFormat="1" ht="30" x14ac:dyDescent="0.25">
      <c r="A84" s="29"/>
      <c r="B84" s="30"/>
      <c r="C84" s="15"/>
      <c r="D84" s="64" t="s">
        <v>99</v>
      </c>
      <c r="E84" s="21"/>
      <c r="F84" s="44"/>
      <c r="G84" s="21"/>
      <c r="H84" s="44"/>
      <c r="I84" s="22"/>
      <c r="J84" s="20"/>
    </row>
    <row r="85" spans="1:10" s="2" customFormat="1" x14ac:dyDescent="0.25">
      <c r="A85" s="29"/>
      <c r="B85" s="30"/>
      <c r="C85" s="15"/>
      <c r="D85" s="65" t="s">
        <v>261</v>
      </c>
      <c r="E85" s="21"/>
      <c r="F85" s="44"/>
      <c r="G85" s="21"/>
      <c r="H85" s="44"/>
      <c r="I85" s="22"/>
      <c r="J85" s="20"/>
    </row>
    <row r="86" spans="1:10" s="2" customFormat="1" ht="30" x14ac:dyDescent="0.25">
      <c r="A86" s="29"/>
      <c r="B86" s="30"/>
      <c r="C86" s="15"/>
      <c r="D86" s="66" t="s">
        <v>100</v>
      </c>
      <c r="E86" s="21">
        <v>1430900000</v>
      </c>
      <c r="F86" s="43">
        <f t="shared" ref="F86" si="17">G86/E86*100%</f>
        <v>0</v>
      </c>
      <c r="G86" s="21">
        <v>0</v>
      </c>
      <c r="H86" s="43">
        <f t="shared" ref="H86" si="18">G86/E86*100%</f>
        <v>0</v>
      </c>
      <c r="I86" s="36"/>
      <c r="J86" s="20"/>
    </row>
    <row r="87" spans="1:10" s="2" customFormat="1" x14ac:dyDescent="0.25">
      <c r="A87" s="29"/>
      <c r="B87" s="30"/>
      <c r="C87" s="32" t="s">
        <v>41</v>
      </c>
      <c r="D87" s="18"/>
      <c r="E87" s="40"/>
      <c r="F87" s="76"/>
      <c r="G87" s="40"/>
      <c r="H87" s="76"/>
      <c r="I87" s="19"/>
      <c r="J87" s="50"/>
    </row>
    <row r="88" spans="1:10" s="2" customFormat="1" ht="30" x14ac:dyDescent="0.25">
      <c r="A88" s="29"/>
      <c r="B88" s="30"/>
      <c r="C88" s="15"/>
      <c r="D88" s="64" t="s">
        <v>99</v>
      </c>
      <c r="E88" s="21"/>
      <c r="F88" s="44"/>
      <c r="G88" s="21"/>
      <c r="H88" s="77"/>
      <c r="I88" s="36"/>
      <c r="J88" s="20"/>
    </row>
    <row r="89" spans="1:10" s="2" customFormat="1" x14ac:dyDescent="0.25">
      <c r="A89" s="29"/>
      <c r="B89" s="30"/>
      <c r="C89" s="15"/>
      <c r="D89" s="65" t="s">
        <v>261</v>
      </c>
      <c r="E89" s="21"/>
      <c r="F89" s="44"/>
      <c r="G89" s="21"/>
      <c r="H89" s="77"/>
      <c r="I89" s="36"/>
      <c r="J89" s="20"/>
    </row>
    <row r="90" spans="1:10" s="2" customFormat="1" ht="30" x14ac:dyDescent="0.25">
      <c r="A90" s="29"/>
      <c r="B90" s="30"/>
      <c r="C90" s="15"/>
      <c r="D90" s="66" t="s">
        <v>100</v>
      </c>
      <c r="E90" s="21">
        <v>5850440000</v>
      </c>
      <c r="F90" s="43">
        <f t="shared" ref="F90" si="19">G90/E90*100%</f>
        <v>0</v>
      </c>
      <c r="G90" s="21">
        <v>0</v>
      </c>
      <c r="H90" s="43">
        <f t="shared" ref="H90" si="20">G90/E90*100%</f>
        <v>0</v>
      </c>
      <c r="I90" s="36"/>
      <c r="J90" s="20"/>
    </row>
    <row r="93" spans="1:10" s="2" customFormat="1" x14ac:dyDescent="0.25">
      <c r="A93" s="150"/>
      <c r="J93" s="51"/>
    </row>
    <row r="94" spans="1:10" s="2" customFormat="1" ht="26.25" x14ac:dyDescent="0.25">
      <c r="A94" s="259" t="s">
        <v>362</v>
      </c>
      <c r="B94" s="260"/>
      <c r="C94" s="260"/>
      <c r="D94" s="260"/>
      <c r="E94" s="260"/>
      <c r="F94" s="260"/>
      <c r="G94" s="260"/>
      <c r="H94" s="260"/>
      <c r="I94" s="260"/>
      <c r="J94" s="260"/>
    </row>
    <row r="95" spans="1:10" s="2" customFormat="1" ht="26.25" x14ac:dyDescent="0.25">
      <c r="A95" s="259" t="s">
        <v>117</v>
      </c>
      <c r="B95" s="260"/>
      <c r="C95" s="260"/>
      <c r="D95" s="260"/>
      <c r="E95" s="260"/>
      <c r="F95" s="260"/>
      <c r="G95" s="260"/>
      <c r="H95" s="260"/>
      <c r="I95" s="260"/>
      <c r="J95" s="260"/>
    </row>
    <row r="96" spans="1:10" s="2" customFormat="1" ht="26.25" x14ac:dyDescent="0.4">
      <c r="A96" s="272" t="s">
        <v>371</v>
      </c>
      <c r="B96" s="272"/>
      <c r="C96" s="272"/>
      <c r="D96" s="272"/>
      <c r="E96" s="272"/>
      <c r="F96" s="272"/>
      <c r="G96" s="272"/>
      <c r="H96" s="272"/>
      <c r="I96" s="272"/>
      <c r="J96" s="272"/>
    </row>
    <row r="97" spans="1:10" s="2" customFormat="1" x14ac:dyDescent="0.25">
      <c r="A97" s="45" t="s">
        <v>369</v>
      </c>
      <c r="D97" s="9"/>
      <c r="E97" s="5"/>
      <c r="F97" s="3"/>
      <c r="G97" s="7"/>
      <c r="H97" s="8"/>
      <c r="I97" s="8"/>
      <c r="J97" s="47"/>
    </row>
    <row r="98" spans="1:10" s="2" customFormat="1" ht="15.75" x14ac:dyDescent="0.25">
      <c r="A98" s="261" t="s">
        <v>109</v>
      </c>
      <c r="B98" s="261" t="s">
        <v>118</v>
      </c>
      <c r="C98" s="264" t="s">
        <v>119</v>
      </c>
      <c r="D98" s="265" t="s">
        <v>107</v>
      </c>
      <c r="E98" s="268" t="s">
        <v>108</v>
      </c>
      <c r="F98" s="254" t="s">
        <v>102</v>
      </c>
      <c r="G98" s="269"/>
      <c r="H98" s="255"/>
      <c r="I98" s="270" t="s">
        <v>358</v>
      </c>
      <c r="J98" s="271" t="s">
        <v>1</v>
      </c>
    </row>
    <row r="99" spans="1:10" s="2" customFormat="1" ht="15.75" x14ac:dyDescent="0.25">
      <c r="A99" s="262"/>
      <c r="B99" s="262"/>
      <c r="C99" s="262"/>
      <c r="D99" s="266"/>
      <c r="E99" s="262"/>
      <c r="F99" s="194" t="s">
        <v>103</v>
      </c>
      <c r="G99" s="254" t="s">
        <v>104</v>
      </c>
      <c r="H99" s="255"/>
      <c r="I99" s="270"/>
      <c r="J99" s="271"/>
    </row>
    <row r="100" spans="1:10" s="2" customFormat="1" ht="15.75" x14ac:dyDescent="0.25">
      <c r="A100" s="263"/>
      <c r="B100" s="263"/>
      <c r="C100" s="263"/>
      <c r="D100" s="267"/>
      <c r="E100" s="263"/>
      <c r="F100" s="194" t="s">
        <v>105</v>
      </c>
      <c r="G100" s="194" t="s">
        <v>106</v>
      </c>
      <c r="H100" s="10" t="s">
        <v>105</v>
      </c>
      <c r="I100" s="270"/>
      <c r="J100" s="271"/>
    </row>
    <row r="101" spans="1:10" s="2" customFormat="1" ht="15.75" x14ac:dyDescent="0.25">
      <c r="A101" s="11">
        <v>1</v>
      </c>
      <c r="B101" s="11">
        <v>2</v>
      </c>
      <c r="C101" s="11">
        <v>3</v>
      </c>
      <c r="D101" s="11">
        <v>4</v>
      </c>
      <c r="E101" s="11">
        <v>5</v>
      </c>
      <c r="F101" s="11">
        <v>7</v>
      </c>
      <c r="G101" s="11">
        <v>8</v>
      </c>
      <c r="H101" s="11">
        <v>9</v>
      </c>
      <c r="I101" s="11">
        <v>10</v>
      </c>
      <c r="J101" s="11">
        <v>11</v>
      </c>
    </row>
    <row r="102" spans="1:10" s="2" customFormat="1" ht="15.75" x14ac:dyDescent="0.25">
      <c r="A102" s="256" t="s">
        <v>120</v>
      </c>
      <c r="B102" s="257"/>
      <c r="C102" s="257"/>
      <c r="D102" s="258"/>
      <c r="E102" s="12" t="e">
        <f>E103+#REF!+#REF!+#REF!+#REF!+#REF!+#REF!+#REF!+#REF!+#REF!</f>
        <v>#REF!</v>
      </c>
      <c r="F102" s="13" t="e">
        <f>K102/E102*100%</f>
        <v>#REF!</v>
      </c>
      <c r="G102" s="12" t="e">
        <f>G103+#REF!+#REF!+#REF!+#REF!+#REF!+#REF!+#REF!+#REF!+#REF!</f>
        <v>#REF!</v>
      </c>
      <c r="H102" s="13" t="e">
        <f>G102/E102*100%</f>
        <v>#REF!</v>
      </c>
      <c r="I102" s="13"/>
      <c r="J102" s="48"/>
    </row>
    <row r="103" spans="1:10" s="2" customFormat="1" ht="45" x14ac:dyDescent="0.25">
      <c r="A103" s="24">
        <v>1</v>
      </c>
      <c r="B103" s="154" t="s">
        <v>121</v>
      </c>
      <c r="C103" s="25"/>
      <c r="D103" s="25"/>
      <c r="E103" s="26">
        <f>SUM(E104:E132)</f>
        <v>13176530952</v>
      </c>
      <c r="F103" s="27">
        <f>G103/E103*100%</f>
        <v>0.15937370402345943</v>
      </c>
      <c r="G103" s="26">
        <f>SUM(G104:G132)</f>
        <v>2099992544</v>
      </c>
      <c r="H103" s="27">
        <f>G103/E103*100%</f>
        <v>0.15937370402345943</v>
      </c>
      <c r="I103" s="27"/>
      <c r="J103" s="28"/>
    </row>
    <row r="104" spans="1:10" s="2" customFormat="1" x14ac:dyDescent="0.25">
      <c r="A104" s="29"/>
      <c r="B104" s="30"/>
      <c r="C104" s="31" t="s">
        <v>35</v>
      </c>
      <c r="D104" s="16"/>
      <c r="E104" s="17"/>
      <c r="F104" s="17"/>
      <c r="G104" s="17"/>
      <c r="H104" s="17"/>
      <c r="I104" s="17"/>
      <c r="J104" s="49"/>
    </row>
    <row r="105" spans="1:10" s="2" customFormat="1" x14ac:dyDescent="0.25">
      <c r="A105" s="29"/>
      <c r="B105" s="30"/>
      <c r="C105" s="32" t="s">
        <v>129</v>
      </c>
      <c r="D105" s="18"/>
      <c r="E105" s="19"/>
      <c r="F105" s="19"/>
      <c r="G105" s="19"/>
      <c r="H105" s="19"/>
      <c r="I105" s="19"/>
      <c r="J105" s="50"/>
    </row>
    <row r="106" spans="1:10" s="2" customFormat="1" ht="30" x14ac:dyDescent="0.25">
      <c r="A106" s="29"/>
      <c r="B106" s="30"/>
      <c r="C106" s="15"/>
      <c r="D106" s="64" t="s">
        <v>99</v>
      </c>
      <c r="E106" s="21"/>
      <c r="F106" s="22"/>
      <c r="G106" s="21"/>
      <c r="H106" s="22"/>
      <c r="I106" s="22"/>
      <c r="J106" s="20"/>
    </row>
    <row r="107" spans="1:10" s="2" customFormat="1" x14ac:dyDescent="0.25">
      <c r="A107" s="29"/>
      <c r="B107" s="30"/>
      <c r="C107" s="15"/>
      <c r="D107" s="65" t="s">
        <v>261</v>
      </c>
      <c r="E107" s="21"/>
      <c r="F107" s="22"/>
      <c r="G107" s="21"/>
      <c r="H107" s="22"/>
      <c r="I107" s="22"/>
      <c r="J107" s="20"/>
    </row>
    <row r="108" spans="1:10" s="2" customFormat="1" x14ac:dyDescent="0.25">
      <c r="A108" s="29"/>
      <c r="B108" s="30"/>
      <c r="C108" s="15"/>
      <c r="D108" s="66" t="s">
        <v>101</v>
      </c>
      <c r="E108" s="21">
        <v>1803960912</v>
      </c>
      <c r="F108" s="43">
        <f>G108/E108*100%</f>
        <v>0.12950945801867797</v>
      </c>
      <c r="G108" s="21">
        <f>233630000</f>
        <v>233630000</v>
      </c>
      <c r="H108" s="43">
        <f t="shared" ref="H108" si="21">G108/E108*100%</f>
        <v>0.12950945801867797</v>
      </c>
      <c r="I108" s="36"/>
      <c r="J108" s="20"/>
    </row>
    <row r="109" spans="1:10" s="2" customFormat="1" x14ac:dyDescent="0.25">
      <c r="A109" s="29"/>
      <c r="B109" s="30"/>
      <c r="C109" s="32" t="s">
        <v>36</v>
      </c>
      <c r="D109" s="18"/>
      <c r="E109" s="40"/>
      <c r="F109" s="76"/>
      <c r="G109" s="40"/>
      <c r="H109" s="76"/>
      <c r="I109" s="19"/>
      <c r="J109" s="50"/>
    </row>
    <row r="110" spans="1:10" s="2" customFormat="1" ht="30" x14ac:dyDescent="0.25">
      <c r="A110" s="29"/>
      <c r="B110" s="30"/>
      <c r="C110" s="15"/>
      <c r="D110" s="64" t="s">
        <v>99</v>
      </c>
      <c r="E110" s="21"/>
      <c r="F110" s="44"/>
      <c r="G110" s="21"/>
      <c r="H110" s="77"/>
      <c r="I110" s="36"/>
      <c r="J110" s="20"/>
    </row>
    <row r="111" spans="1:10" s="2" customFormat="1" x14ac:dyDescent="0.25">
      <c r="A111" s="29"/>
      <c r="B111" s="30"/>
      <c r="C111" s="15"/>
      <c r="D111" s="65" t="s">
        <v>261</v>
      </c>
      <c r="E111" s="21"/>
      <c r="F111" s="44"/>
      <c r="G111" s="21"/>
      <c r="H111" s="77"/>
      <c r="I111" s="36"/>
      <c r="J111" s="20"/>
    </row>
    <row r="112" spans="1:10" s="2" customFormat="1" x14ac:dyDescent="0.25">
      <c r="A112" s="29"/>
      <c r="B112" s="30"/>
      <c r="C112" s="15"/>
      <c r="D112" s="66" t="s">
        <v>101</v>
      </c>
      <c r="E112" s="21">
        <v>1635097968</v>
      </c>
      <c r="F112" s="43">
        <f>G112/E112*100%</f>
        <v>0.35444235106529104</v>
      </c>
      <c r="G112" s="21">
        <f>579547968</f>
        <v>579547968</v>
      </c>
      <c r="H112" s="43">
        <f t="shared" ref="H112" si="22">G112/E112*100%</f>
        <v>0.35444235106529104</v>
      </c>
      <c r="I112" s="36"/>
      <c r="J112" s="20"/>
    </row>
    <row r="113" spans="1:10" s="2" customFormat="1" x14ac:dyDescent="0.25">
      <c r="A113" s="29"/>
      <c r="B113" s="30"/>
      <c r="C113" s="32" t="s">
        <v>37</v>
      </c>
      <c r="D113" s="18"/>
      <c r="E113" s="40"/>
      <c r="F113" s="76"/>
      <c r="G113" s="40"/>
      <c r="H113" s="76"/>
      <c r="I113" s="19"/>
      <c r="J113" s="50"/>
    </row>
    <row r="114" spans="1:10" s="2" customFormat="1" ht="30" x14ac:dyDescent="0.25">
      <c r="A114" s="29"/>
      <c r="B114" s="30"/>
      <c r="C114" s="15"/>
      <c r="D114" s="64" t="s">
        <v>99</v>
      </c>
      <c r="E114" s="21"/>
      <c r="F114" s="44"/>
      <c r="G114" s="21"/>
      <c r="H114" s="44"/>
      <c r="I114" s="22"/>
      <c r="J114" s="20"/>
    </row>
    <row r="115" spans="1:10" s="2" customFormat="1" x14ac:dyDescent="0.25">
      <c r="A115" s="29"/>
      <c r="B115" s="30"/>
      <c r="C115" s="15"/>
      <c r="D115" s="65" t="s">
        <v>261</v>
      </c>
      <c r="E115" s="21"/>
      <c r="F115" s="44"/>
      <c r="G115" s="21"/>
      <c r="H115" s="44"/>
      <c r="I115" s="22"/>
      <c r="J115" s="20"/>
    </row>
    <row r="116" spans="1:10" s="2" customFormat="1" x14ac:dyDescent="0.25">
      <c r="A116" s="29"/>
      <c r="B116" s="30"/>
      <c r="C116" s="15"/>
      <c r="D116" s="66" t="s">
        <v>101</v>
      </c>
      <c r="E116" s="21">
        <v>1761745176</v>
      </c>
      <c r="F116" s="43">
        <f>G116/E116*100%</f>
        <v>0.10960607165584769</v>
      </c>
      <c r="G116" s="21">
        <f>193097968</f>
        <v>193097968</v>
      </c>
      <c r="H116" s="43">
        <f t="shared" ref="H116" si="23">G116/E116*100%</f>
        <v>0.10960607165584769</v>
      </c>
      <c r="I116" s="36"/>
      <c r="J116" s="20"/>
    </row>
    <row r="117" spans="1:10" s="2" customFormat="1" x14ac:dyDescent="0.25">
      <c r="A117" s="29"/>
      <c r="B117" s="30"/>
      <c r="C117" s="32" t="s">
        <v>38</v>
      </c>
      <c r="D117" s="18"/>
      <c r="E117" s="40"/>
      <c r="F117" s="76"/>
      <c r="G117" s="40"/>
      <c r="H117" s="76"/>
      <c r="I117" s="19"/>
      <c r="J117" s="50"/>
    </row>
    <row r="118" spans="1:10" s="2" customFormat="1" ht="30" x14ac:dyDescent="0.25">
      <c r="A118" s="29"/>
      <c r="B118" s="30"/>
      <c r="C118" s="15"/>
      <c r="D118" s="64" t="s">
        <v>99</v>
      </c>
      <c r="E118" s="21"/>
      <c r="F118" s="44"/>
      <c r="G118" s="21"/>
      <c r="H118" s="77"/>
      <c r="I118" s="36"/>
      <c r="J118" s="20"/>
    </row>
    <row r="119" spans="1:10" s="2" customFormat="1" x14ac:dyDescent="0.25">
      <c r="A119" s="29"/>
      <c r="B119" s="30"/>
      <c r="C119" s="15"/>
      <c r="D119" s="65" t="s">
        <v>261</v>
      </c>
      <c r="E119" s="21"/>
      <c r="F119" s="44"/>
      <c r="G119" s="21"/>
      <c r="H119" s="77"/>
      <c r="I119" s="36"/>
      <c r="J119" s="20"/>
    </row>
    <row r="120" spans="1:10" s="2" customFormat="1" x14ac:dyDescent="0.25">
      <c r="A120" s="29"/>
      <c r="B120" s="30"/>
      <c r="C120" s="15"/>
      <c r="D120" s="66" t="s">
        <v>101</v>
      </c>
      <c r="E120" s="21">
        <v>1508450760</v>
      </c>
      <c r="F120" s="43">
        <f t="shared" ref="F120" si="24">G120/E120*100%</f>
        <v>0.3479701253224865</v>
      </c>
      <c r="G120" s="21">
        <f>524895800</f>
        <v>524895800</v>
      </c>
      <c r="H120" s="43">
        <f t="shared" ref="H120" si="25">G120/E120*100%</f>
        <v>0.3479701253224865</v>
      </c>
      <c r="I120" s="158"/>
      <c r="J120" s="20"/>
    </row>
    <row r="121" spans="1:10" s="2" customFormat="1" x14ac:dyDescent="0.25">
      <c r="A121" s="29"/>
      <c r="B121" s="30"/>
      <c r="C121" s="32" t="s">
        <v>39</v>
      </c>
      <c r="D121" s="18"/>
      <c r="E121" s="40"/>
      <c r="F121" s="76"/>
      <c r="G121" s="40"/>
      <c r="H121" s="76"/>
      <c r="I121" s="19"/>
      <c r="J121" s="50"/>
    </row>
    <row r="122" spans="1:10" s="2" customFormat="1" ht="30" x14ac:dyDescent="0.25">
      <c r="A122" s="29"/>
      <c r="B122" s="30"/>
      <c r="C122" s="15"/>
      <c r="D122" s="64" t="s">
        <v>99</v>
      </c>
      <c r="E122" s="21"/>
      <c r="F122" s="44"/>
      <c r="G122" s="21"/>
      <c r="H122" s="77"/>
      <c r="I122" s="36"/>
      <c r="J122" s="20"/>
    </row>
    <row r="123" spans="1:10" s="2" customFormat="1" x14ac:dyDescent="0.25">
      <c r="A123" s="29"/>
      <c r="B123" s="30"/>
      <c r="C123" s="15"/>
      <c r="D123" s="65" t="s">
        <v>261</v>
      </c>
      <c r="E123" s="21"/>
      <c r="F123" s="44"/>
      <c r="G123" s="21"/>
      <c r="H123" s="77"/>
      <c r="I123" s="36"/>
      <c r="J123" s="20"/>
    </row>
    <row r="124" spans="1:10" s="2" customFormat="1" x14ac:dyDescent="0.25">
      <c r="A124" s="29"/>
      <c r="B124" s="30"/>
      <c r="C124" s="15"/>
      <c r="D124" s="66" t="s">
        <v>101</v>
      </c>
      <c r="E124" s="21">
        <v>2057255328</v>
      </c>
      <c r="F124" s="43">
        <f t="shared" ref="F124" si="26">G124/E124*100%</f>
        <v>0.11549368557523065</v>
      </c>
      <c r="G124" s="21">
        <f>237600000</f>
        <v>237600000</v>
      </c>
      <c r="H124" s="43">
        <f t="shared" ref="H124" si="27">G124/E124*100%</f>
        <v>0.11549368557523065</v>
      </c>
      <c r="I124" s="36"/>
      <c r="J124" s="20"/>
    </row>
    <row r="125" spans="1:10" s="2" customFormat="1" x14ac:dyDescent="0.25">
      <c r="A125" s="29"/>
      <c r="B125" s="30"/>
      <c r="C125" s="32" t="s">
        <v>40</v>
      </c>
      <c r="D125" s="18"/>
      <c r="E125" s="40"/>
      <c r="F125" s="76"/>
      <c r="G125" s="40"/>
      <c r="H125" s="76"/>
      <c r="I125" s="41"/>
      <c r="J125" s="50"/>
    </row>
    <row r="126" spans="1:10" s="2" customFormat="1" ht="30" x14ac:dyDescent="0.25">
      <c r="A126" s="29"/>
      <c r="B126" s="30"/>
      <c r="C126" s="15"/>
      <c r="D126" s="64" t="s">
        <v>99</v>
      </c>
      <c r="E126" s="21"/>
      <c r="F126" s="44"/>
      <c r="G126" s="21"/>
      <c r="H126" s="44"/>
      <c r="I126" s="22"/>
      <c r="J126" s="20"/>
    </row>
    <row r="127" spans="1:10" s="2" customFormat="1" x14ac:dyDescent="0.25">
      <c r="A127" s="29"/>
      <c r="B127" s="30"/>
      <c r="C127" s="15"/>
      <c r="D127" s="65" t="s">
        <v>261</v>
      </c>
      <c r="E127" s="21"/>
      <c r="F127" s="44"/>
      <c r="G127" s="21"/>
      <c r="H127" s="44"/>
      <c r="I127" s="22"/>
      <c r="J127" s="20"/>
    </row>
    <row r="128" spans="1:10" s="2" customFormat="1" x14ac:dyDescent="0.25">
      <c r="A128" s="29"/>
      <c r="B128" s="30"/>
      <c r="C128" s="15"/>
      <c r="D128" s="66" t="s">
        <v>101</v>
      </c>
      <c r="E128" s="21">
        <v>870474720</v>
      </c>
      <c r="F128" s="43">
        <f t="shared" ref="F128" si="28">G128/E128*100%</f>
        <v>7.3884649975820088E-2</v>
      </c>
      <c r="G128" s="21">
        <f>64314720</f>
        <v>64314720</v>
      </c>
      <c r="H128" s="43">
        <f t="shared" ref="H128" si="29">G128/E128*100%</f>
        <v>7.3884649975820088E-2</v>
      </c>
      <c r="I128" s="36"/>
      <c r="J128" s="20"/>
    </row>
    <row r="129" spans="1:10" s="2" customFormat="1" x14ac:dyDescent="0.25">
      <c r="A129" s="29"/>
      <c r="B129" s="30"/>
      <c r="C129" s="32" t="s">
        <v>41</v>
      </c>
      <c r="D129" s="18"/>
      <c r="E129" s="40"/>
      <c r="F129" s="76"/>
      <c r="G129" s="40"/>
      <c r="H129" s="76"/>
      <c r="I129" s="19"/>
      <c r="J129" s="50"/>
    </row>
    <row r="130" spans="1:10" s="2" customFormat="1" ht="30" x14ac:dyDescent="0.25">
      <c r="A130" s="29"/>
      <c r="B130" s="30"/>
      <c r="C130" s="15"/>
      <c r="D130" s="64" t="s">
        <v>99</v>
      </c>
      <c r="E130" s="21"/>
      <c r="F130" s="44"/>
      <c r="G130" s="21"/>
      <c r="H130" s="77"/>
      <c r="I130" s="36"/>
      <c r="J130" s="20"/>
    </row>
    <row r="131" spans="1:10" s="2" customFormat="1" x14ac:dyDescent="0.25">
      <c r="A131" s="29"/>
      <c r="B131" s="30"/>
      <c r="C131" s="15"/>
      <c r="D131" s="65" t="s">
        <v>261</v>
      </c>
      <c r="E131" s="21"/>
      <c r="F131" s="44"/>
      <c r="G131" s="21"/>
      <c r="H131" s="77"/>
      <c r="I131" s="36"/>
      <c r="J131" s="20"/>
    </row>
    <row r="132" spans="1:10" s="2" customFormat="1" x14ac:dyDescent="0.25">
      <c r="A132" s="29"/>
      <c r="B132" s="30"/>
      <c r="C132" s="15"/>
      <c r="D132" s="66" t="s">
        <v>101</v>
      </c>
      <c r="E132" s="21">
        <v>3539546088</v>
      </c>
      <c r="F132" s="43">
        <f t="shared" ref="F132" si="30">G132/E132*100%</f>
        <v>7.5406868949914913E-2</v>
      </c>
      <c r="G132" s="21">
        <f>266906088</f>
        <v>266906088</v>
      </c>
      <c r="H132" s="43">
        <f t="shared" ref="H132" si="31">G132/E132*100%</f>
        <v>7.5406868949914913E-2</v>
      </c>
      <c r="I132" s="36"/>
      <c r="J132" s="20"/>
    </row>
  </sheetData>
  <mergeCells count="38">
    <mergeCell ref="G7:H7"/>
    <mergeCell ref="A10:D10"/>
    <mergeCell ref="A2:J2"/>
    <mergeCell ref="A3:J3"/>
    <mergeCell ref="A6:A8"/>
    <mergeCell ref="B6:B8"/>
    <mergeCell ref="C6:C8"/>
    <mergeCell ref="D6:D8"/>
    <mergeCell ref="E6:E8"/>
    <mergeCell ref="F6:H6"/>
    <mergeCell ref="I6:I8"/>
    <mergeCell ref="J6:J8"/>
    <mergeCell ref="A52:J52"/>
    <mergeCell ref="A53:J53"/>
    <mergeCell ref="A56:A58"/>
    <mergeCell ref="B56:B58"/>
    <mergeCell ref="C56:C58"/>
    <mergeCell ref="D56:D58"/>
    <mergeCell ref="E56:E58"/>
    <mergeCell ref="F56:H56"/>
    <mergeCell ref="I56:I58"/>
    <mergeCell ref="J56:J58"/>
    <mergeCell ref="G57:H57"/>
    <mergeCell ref="A102:D102"/>
    <mergeCell ref="A54:J54"/>
    <mergeCell ref="A96:J96"/>
    <mergeCell ref="A60:D60"/>
    <mergeCell ref="A94:J94"/>
    <mergeCell ref="A95:J95"/>
    <mergeCell ref="A98:A100"/>
    <mergeCell ref="B98:B100"/>
    <mergeCell ref="C98:C100"/>
    <mergeCell ref="D98:D100"/>
    <mergeCell ref="E98:E100"/>
    <mergeCell ref="F98:H98"/>
    <mergeCell ref="I98:I100"/>
    <mergeCell ref="J98:J100"/>
    <mergeCell ref="G99:H99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137"/>
  <sheetViews>
    <sheetView topLeftCell="A3" workbookViewId="0">
      <selection activeCell="C23" sqref="C23"/>
    </sheetView>
  </sheetViews>
  <sheetFormatPr defaultColWidth="8.7109375" defaultRowHeight="15" x14ac:dyDescent="0.25"/>
  <cols>
    <col min="1" max="1" width="4" style="2" customWidth="1"/>
    <col min="2" max="2" width="22.85546875" style="2" customWidth="1"/>
    <col min="3" max="3" width="21.85546875" style="2" customWidth="1"/>
    <col min="4" max="4" width="39.140625" style="2" bestFit="1" customWidth="1"/>
    <col min="5" max="5" width="16" style="2" customWidth="1"/>
    <col min="6" max="6" width="7" style="2" customWidth="1"/>
    <col min="7" max="7" width="14.42578125" style="2" customWidth="1"/>
    <col min="8" max="8" width="6.5703125" style="2" customWidth="1"/>
    <col min="9" max="9" width="8.5703125" style="2" bestFit="1" customWidth="1"/>
    <col min="10" max="10" width="9.85546875" style="51" customWidth="1"/>
    <col min="11" max="11" width="15.7109375" style="1" customWidth="1"/>
    <col min="12" max="16" width="8.7109375" style="2"/>
    <col min="17" max="17" width="18" style="2" bestFit="1" customWidth="1"/>
    <col min="18" max="16384" width="8.7109375" style="2"/>
  </cols>
  <sheetData>
    <row r="1" spans="1:17" x14ac:dyDescent="0.25">
      <c r="A1" s="195"/>
      <c r="B1" s="195"/>
      <c r="C1" s="195"/>
      <c r="D1" s="195"/>
      <c r="E1" s="195"/>
      <c r="F1" s="195"/>
      <c r="G1" s="195"/>
      <c r="H1" s="195"/>
      <c r="I1" s="195"/>
      <c r="J1" s="196"/>
    </row>
    <row r="2" spans="1:17" x14ac:dyDescent="0.25">
      <c r="A2" s="273" t="s">
        <v>362</v>
      </c>
      <c r="B2" s="273"/>
      <c r="C2" s="273"/>
      <c r="D2" s="273"/>
      <c r="E2" s="273"/>
      <c r="F2" s="273"/>
      <c r="G2" s="273"/>
      <c r="H2" s="273"/>
      <c r="I2" s="273"/>
      <c r="J2" s="273"/>
    </row>
    <row r="3" spans="1:17" x14ac:dyDescent="0.25">
      <c r="A3" s="273" t="s">
        <v>117</v>
      </c>
      <c r="B3" s="273"/>
      <c r="C3" s="273"/>
      <c r="D3" s="273"/>
      <c r="E3" s="273"/>
      <c r="F3" s="273"/>
      <c r="G3" s="273"/>
      <c r="H3" s="273"/>
      <c r="I3" s="273"/>
      <c r="J3" s="273"/>
    </row>
    <row r="4" spans="1:17" x14ac:dyDescent="0.25">
      <c r="A4" s="195"/>
      <c r="B4" s="197"/>
      <c r="C4" s="197"/>
      <c r="D4" s="198"/>
      <c r="E4" s="199"/>
      <c r="F4" s="200"/>
      <c r="G4" s="201"/>
      <c r="H4" s="202"/>
      <c r="I4" s="202"/>
      <c r="J4" s="203"/>
    </row>
    <row r="5" spans="1:17" x14ac:dyDescent="0.25">
      <c r="A5" s="204" t="s">
        <v>372</v>
      </c>
      <c r="B5" s="195"/>
      <c r="C5" s="195"/>
      <c r="D5" s="205"/>
      <c r="E5" s="199"/>
      <c r="F5" s="197"/>
      <c r="G5" s="201"/>
      <c r="H5" s="202"/>
      <c r="I5" s="202"/>
      <c r="J5" s="203"/>
    </row>
    <row r="6" spans="1:17" ht="22.5" customHeight="1" x14ac:dyDescent="0.25">
      <c r="A6" s="274" t="s">
        <v>109</v>
      </c>
      <c r="B6" s="274" t="s">
        <v>118</v>
      </c>
      <c r="C6" s="274" t="s">
        <v>119</v>
      </c>
      <c r="D6" s="274" t="s">
        <v>107</v>
      </c>
      <c r="E6" s="277" t="s">
        <v>108</v>
      </c>
      <c r="F6" s="278" t="s">
        <v>102</v>
      </c>
      <c r="G6" s="279"/>
      <c r="H6" s="280"/>
      <c r="I6" s="281" t="s">
        <v>358</v>
      </c>
      <c r="J6" s="281" t="s">
        <v>1</v>
      </c>
    </row>
    <row r="7" spans="1:17" ht="23.25" customHeight="1" x14ac:dyDescent="0.25">
      <c r="A7" s="275"/>
      <c r="B7" s="275"/>
      <c r="C7" s="275"/>
      <c r="D7" s="275"/>
      <c r="E7" s="275"/>
      <c r="F7" s="206" t="s">
        <v>103</v>
      </c>
      <c r="G7" s="278" t="s">
        <v>104</v>
      </c>
      <c r="H7" s="280"/>
      <c r="I7" s="281"/>
      <c r="J7" s="281"/>
    </row>
    <row r="8" spans="1:17" x14ac:dyDescent="0.25">
      <c r="A8" s="276"/>
      <c r="B8" s="276"/>
      <c r="C8" s="276"/>
      <c r="D8" s="276"/>
      <c r="E8" s="276"/>
      <c r="F8" s="206" t="s">
        <v>105</v>
      </c>
      <c r="G8" s="206" t="s">
        <v>106</v>
      </c>
      <c r="H8" s="207" t="s">
        <v>105</v>
      </c>
      <c r="I8" s="281"/>
      <c r="J8" s="281"/>
    </row>
    <row r="9" spans="1:17" ht="19.5" customHeight="1" x14ac:dyDescent="0.25">
      <c r="A9" s="208">
        <v>1</v>
      </c>
      <c r="B9" s="208">
        <v>2</v>
      </c>
      <c r="C9" s="208">
        <v>3</v>
      </c>
      <c r="D9" s="208">
        <v>4</v>
      </c>
      <c r="E9" s="208">
        <v>5</v>
      </c>
      <c r="F9" s="208">
        <v>7</v>
      </c>
      <c r="G9" s="208">
        <v>8</v>
      </c>
      <c r="H9" s="208">
        <v>9</v>
      </c>
      <c r="I9" s="208">
        <v>10</v>
      </c>
      <c r="J9" s="208">
        <v>11</v>
      </c>
      <c r="Q9" s="190"/>
    </row>
    <row r="10" spans="1:17" ht="30.75" customHeight="1" x14ac:dyDescent="0.25">
      <c r="A10" s="282" t="s">
        <v>120</v>
      </c>
      <c r="B10" s="283"/>
      <c r="C10" s="283"/>
      <c r="D10" s="284"/>
      <c r="E10" s="209" t="e">
        <f>E11+#REF!+#REF!+#REF!+#REF!+#REF!+#REF!+#REF!+#REF!+#REF!</f>
        <v>#REF!</v>
      </c>
      <c r="F10" s="210" t="e">
        <f>K10/E10*100%</f>
        <v>#REF!</v>
      </c>
      <c r="G10" s="209" t="e">
        <f>G11+#REF!+#REF!+#REF!+#REF!+#REF!+#REF!+#REF!+#REF!+#REF!</f>
        <v>#REF!</v>
      </c>
      <c r="H10" s="210" t="e">
        <f>G10/E10*100%</f>
        <v>#REF!</v>
      </c>
      <c r="I10" s="210"/>
      <c r="J10" s="211"/>
      <c r="K10" s="14" t="e">
        <f>K11+#REF!+#REF!+#REF!+#REF!+#REF!+#REF!+#REF!+#REF!+#REF!</f>
        <v>#REF!</v>
      </c>
      <c r="Q10" s="190">
        <v>1213208971484</v>
      </c>
    </row>
    <row r="11" spans="1:17" ht="56.25" customHeight="1" x14ac:dyDescent="0.25">
      <c r="A11" s="212">
        <v>1</v>
      </c>
      <c r="B11" s="213" t="s">
        <v>121</v>
      </c>
      <c r="C11" s="214"/>
      <c r="D11" s="214"/>
      <c r="E11" s="215">
        <f>SUM(E12:E47)</f>
        <v>34911330952</v>
      </c>
      <c r="F11" s="216">
        <f>G11/E11*100%</f>
        <v>0.16554502381894753</v>
      </c>
      <c r="G11" s="215">
        <f>SUM(G12:G47)</f>
        <v>5779397114</v>
      </c>
      <c r="H11" s="216">
        <f>G11/E11*100%</f>
        <v>0.16554502381894753</v>
      </c>
      <c r="I11" s="216"/>
      <c r="J11" s="217"/>
      <c r="K11" s="1">
        <v>3080708114</v>
      </c>
      <c r="Q11" s="191" t="e">
        <f>E10-Q10</f>
        <v>#REF!</v>
      </c>
    </row>
    <row r="12" spans="1:17" x14ac:dyDescent="0.25">
      <c r="A12" s="218"/>
      <c r="B12" s="219"/>
      <c r="C12" s="220" t="s">
        <v>35</v>
      </c>
      <c r="D12" s="221"/>
      <c r="E12" s="222"/>
      <c r="F12" s="222"/>
      <c r="G12" s="222"/>
      <c r="H12" s="222"/>
      <c r="I12" s="222"/>
      <c r="J12" s="223"/>
    </row>
    <row r="13" spans="1:17" x14ac:dyDescent="0.25">
      <c r="A13" s="218"/>
      <c r="B13" s="219"/>
      <c r="C13" s="224" t="s">
        <v>129</v>
      </c>
      <c r="D13" s="225"/>
      <c r="E13" s="226"/>
      <c r="F13" s="226"/>
      <c r="G13" s="226"/>
      <c r="H13" s="226"/>
      <c r="I13" s="226"/>
      <c r="J13" s="227"/>
    </row>
    <row r="14" spans="1:17" ht="25.5" x14ac:dyDescent="0.25">
      <c r="A14" s="218"/>
      <c r="B14" s="219"/>
      <c r="C14" s="228"/>
      <c r="D14" s="229" t="s">
        <v>99</v>
      </c>
      <c r="E14" s="230"/>
      <c r="F14" s="231"/>
      <c r="G14" s="230"/>
      <c r="H14" s="231"/>
      <c r="I14" s="231"/>
      <c r="J14" s="232"/>
    </row>
    <row r="15" spans="1:17" x14ac:dyDescent="0.25">
      <c r="A15" s="218"/>
      <c r="B15" s="219"/>
      <c r="C15" s="228"/>
      <c r="D15" s="233" t="s">
        <v>261</v>
      </c>
      <c r="E15" s="230"/>
      <c r="F15" s="231"/>
      <c r="G15" s="230"/>
      <c r="H15" s="231"/>
      <c r="I15" s="231"/>
      <c r="J15" s="232"/>
    </row>
    <row r="16" spans="1:17" ht="25.5" x14ac:dyDescent="0.25">
      <c r="A16" s="218"/>
      <c r="B16" s="219"/>
      <c r="C16" s="228"/>
      <c r="D16" s="234" t="s">
        <v>100</v>
      </c>
      <c r="E16" s="230">
        <v>2975640000</v>
      </c>
      <c r="F16" s="235">
        <f>G16/E16*100%</f>
        <v>0.30344228468497536</v>
      </c>
      <c r="G16" s="230">
        <f>902935000</f>
        <v>902935000</v>
      </c>
      <c r="H16" s="235">
        <f>G16/E16*100%</f>
        <v>0.30344228468497536</v>
      </c>
      <c r="I16" s="236"/>
      <c r="J16" s="232"/>
      <c r="K16" s="1">
        <v>902935000</v>
      </c>
    </row>
    <row r="17" spans="1:11" x14ac:dyDescent="0.25">
      <c r="A17" s="218"/>
      <c r="B17" s="219"/>
      <c r="C17" s="228"/>
      <c r="D17" s="234" t="s">
        <v>101</v>
      </c>
      <c r="E17" s="230">
        <v>1803960912</v>
      </c>
      <c r="F17" s="235">
        <f>G17/E17*100%</f>
        <v>0.63159861415001661</v>
      </c>
      <c r="G17" s="230">
        <f>772853212+366526000</f>
        <v>1139379212</v>
      </c>
      <c r="H17" s="235">
        <f t="shared" ref="H17" si="0">G17/E17*100%</f>
        <v>0.63159861415001661</v>
      </c>
      <c r="I17" s="236"/>
      <c r="J17" s="232"/>
      <c r="K17" s="1">
        <v>1139379212</v>
      </c>
    </row>
    <row r="18" spans="1:11" x14ac:dyDescent="0.25">
      <c r="A18" s="218"/>
      <c r="B18" s="219"/>
      <c r="C18" s="224" t="s">
        <v>36</v>
      </c>
      <c r="D18" s="225"/>
      <c r="E18" s="237"/>
      <c r="F18" s="238"/>
      <c r="G18" s="237"/>
      <c r="H18" s="238"/>
      <c r="I18" s="226"/>
      <c r="J18" s="227"/>
    </row>
    <row r="19" spans="1:11" ht="25.5" x14ac:dyDescent="0.25">
      <c r="A19" s="218"/>
      <c r="B19" s="219"/>
      <c r="C19" s="228"/>
      <c r="D19" s="229" t="s">
        <v>99</v>
      </c>
      <c r="E19" s="230"/>
      <c r="F19" s="239"/>
      <c r="G19" s="230"/>
      <c r="H19" s="240"/>
      <c r="I19" s="236"/>
      <c r="J19" s="232"/>
    </row>
    <row r="20" spans="1:11" x14ac:dyDescent="0.25">
      <c r="A20" s="218"/>
      <c r="B20" s="219"/>
      <c r="C20" s="228"/>
      <c r="D20" s="233" t="s">
        <v>261</v>
      </c>
      <c r="E20" s="230"/>
      <c r="F20" s="239"/>
      <c r="G20" s="230"/>
      <c r="H20" s="240"/>
      <c r="I20" s="236"/>
      <c r="J20" s="232"/>
    </row>
    <row r="21" spans="1:11" ht="25.5" x14ac:dyDescent="0.25">
      <c r="A21" s="218"/>
      <c r="B21" s="219"/>
      <c r="C21" s="228"/>
      <c r="D21" s="234" t="s">
        <v>100</v>
      </c>
      <c r="E21" s="230">
        <v>2695640000</v>
      </c>
      <c r="F21" s="235">
        <f>G21/E21*100%</f>
        <v>0.28644032585953616</v>
      </c>
      <c r="G21" s="230">
        <f>35640000+736500000</f>
        <v>772140000</v>
      </c>
      <c r="H21" s="235">
        <f t="shared" ref="H21:H22" si="1">G21/E21*100%</f>
        <v>0.28644032585953616</v>
      </c>
      <c r="I21" s="236"/>
      <c r="J21" s="232"/>
      <c r="K21" s="1">
        <v>772140000</v>
      </c>
    </row>
    <row r="22" spans="1:11" x14ac:dyDescent="0.25">
      <c r="A22" s="218"/>
      <c r="B22" s="219"/>
      <c r="C22" s="228"/>
      <c r="D22" s="234" t="s">
        <v>101</v>
      </c>
      <c r="E22" s="230">
        <v>1635097968</v>
      </c>
      <c r="F22" s="235">
        <f>G22/E22*100%</f>
        <v>0.39334130467221035</v>
      </c>
      <c r="G22" s="230">
        <f>643151568</f>
        <v>643151568</v>
      </c>
      <c r="H22" s="235">
        <f t="shared" si="1"/>
        <v>0.39334130467221035</v>
      </c>
      <c r="I22" s="236"/>
      <c r="J22" s="232"/>
      <c r="K22" s="1">
        <v>643151568</v>
      </c>
    </row>
    <row r="23" spans="1:11" x14ac:dyDescent="0.25">
      <c r="A23" s="218"/>
      <c r="B23" s="219"/>
      <c r="C23" s="224" t="s">
        <v>37</v>
      </c>
      <c r="D23" s="225"/>
      <c r="E23" s="237"/>
      <c r="F23" s="238"/>
      <c r="G23" s="237"/>
      <c r="H23" s="238"/>
      <c r="I23" s="226"/>
      <c r="J23" s="227"/>
    </row>
    <row r="24" spans="1:11" ht="25.5" x14ac:dyDescent="0.25">
      <c r="A24" s="218"/>
      <c r="B24" s="219"/>
      <c r="C24" s="228"/>
      <c r="D24" s="229" t="s">
        <v>99</v>
      </c>
      <c r="E24" s="230"/>
      <c r="F24" s="239"/>
      <c r="G24" s="230"/>
      <c r="H24" s="239"/>
      <c r="I24" s="231"/>
      <c r="J24" s="232"/>
    </row>
    <row r="25" spans="1:11" x14ac:dyDescent="0.25">
      <c r="A25" s="218"/>
      <c r="B25" s="219"/>
      <c r="C25" s="228"/>
      <c r="D25" s="233" t="s">
        <v>261</v>
      </c>
      <c r="E25" s="230"/>
      <c r="F25" s="239"/>
      <c r="G25" s="230"/>
      <c r="H25" s="239"/>
      <c r="I25" s="231"/>
      <c r="J25" s="232"/>
    </row>
    <row r="26" spans="1:11" ht="25.5" x14ac:dyDescent="0.25">
      <c r="A26" s="218"/>
      <c r="B26" s="219"/>
      <c r="C26" s="228"/>
      <c r="D26" s="234" t="s">
        <v>100</v>
      </c>
      <c r="E26" s="230">
        <v>2905640000</v>
      </c>
      <c r="F26" s="235">
        <f>G26/E26*100%</f>
        <v>5.5554025963298961E-2</v>
      </c>
      <c r="G26" s="230">
        <f>161420000</f>
        <v>161420000</v>
      </c>
      <c r="H26" s="235">
        <f t="shared" ref="H26:H27" si="2">G26/E26*100%</f>
        <v>5.5554025963298961E-2</v>
      </c>
      <c r="I26" s="241"/>
      <c r="J26" s="232"/>
      <c r="K26" s="1">
        <v>161420000</v>
      </c>
    </row>
    <row r="27" spans="1:11" x14ac:dyDescent="0.25">
      <c r="A27" s="218"/>
      <c r="B27" s="219"/>
      <c r="C27" s="228"/>
      <c r="D27" s="234" t="s">
        <v>101</v>
      </c>
      <c r="E27" s="230">
        <v>1761745176</v>
      </c>
      <c r="F27" s="235">
        <f>G27/E27*100%</f>
        <v>0.1595565419047868</v>
      </c>
      <c r="G27" s="230">
        <f>281097968</f>
        <v>281097968</v>
      </c>
      <c r="H27" s="235">
        <f t="shared" si="2"/>
        <v>0.1595565419047868</v>
      </c>
      <c r="I27" s="236"/>
      <c r="J27" s="232"/>
      <c r="K27" s="1">
        <v>281097968</v>
      </c>
    </row>
    <row r="28" spans="1:11" x14ac:dyDescent="0.25">
      <c r="A28" s="218"/>
      <c r="B28" s="219"/>
      <c r="C28" s="224" t="s">
        <v>38</v>
      </c>
      <c r="D28" s="225"/>
      <c r="E28" s="237"/>
      <c r="F28" s="238"/>
      <c r="G28" s="237"/>
      <c r="H28" s="238"/>
      <c r="I28" s="226"/>
      <c r="J28" s="227"/>
    </row>
    <row r="29" spans="1:11" ht="25.5" x14ac:dyDescent="0.25">
      <c r="A29" s="218"/>
      <c r="B29" s="219"/>
      <c r="C29" s="228"/>
      <c r="D29" s="229" t="s">
        <v>99</v>
      </c>
      <c r="E29" s="230"/>
      <c r="F29" s="239"/>
      <c r="G29" s="230"/>
      <c r="H29" s="240"/>
      <c r="I29" s="236"/>
      <c r="J29" s="232"/>
    </row>
    <row r="30" spans="1:11" x14ac:dyDescent="0.25">
      <c r="A30" s="218"/>
      <c r="B30" s="219"/>
      <c r="C30" s="228"/>
      <c r="D30" s="233" t="s">
        <v>261</v>
      </c>
      <c r="E30" s="230"/>
      <c r="F30" s="239"/>
      <c r="G30" s="230"/>
      <c r="H30" s="240"/>
      <c r="I30" s="236"/>
      <c r="J30" s="232"/>
    </row>
    <row r="31" spans="1:11" ht="25.5" x14ac:dyDescent="0.25">
      <c r="A31" s="218"/>
      <c r="B31" s="219"/>
      <c r="C31" s="228"/>
      <c r="D31" s="234" t="s">
        <v>100</v>
      </c>
      <c r="E31" s="230">
        <v>2480900000</v>
      </c>
      <c r="F31" s="235">
        <f t="shared" ref="F31:F32" si="3">G31/E31*100%</f>
        <v>5.1896489177314688E-3</v>
      </c>
      <c r="G31" s="230">
        <f>12875000</f>
        <v>12875000</v>
      </c>
      <c r="H31" s="235">
        <f t="shared" ref="H31:H32" si="4">G31/E31*100%</f>
        <v>5.1896489177314688E-3</v>
      </c>
      <c r="I31" s="241"/>
      <c r="J31" s="232"/>
      <c r="K31" s="1">
        <v>12875000</v>
      </c>
    </row>
    <row r="32" spans="1:11" x14ac:dyDescent="0.25">
      <c r="A32" s="218"/>
      <c r="B32" s="219"/>
      <c r="C32" s="228"/>
      <c r="D32" s="234" t="s">
        <v>101</v>
      </c>
      <c r="E32" s="230">
        <v>1508450760</v>
      </c>
      <c r="F32" s="235">
        <f t="shared" si="3"/>
        <v>0.40483310174473314</v>
      </c>
      <c r="G32" s="230">
        <f>607770800+2900000</f>
        <v>610670800</v>
      </c>
      <c r="H32" s="235">
        <f t="shared" si="4"/>
        <v>0.40483310174473314</v>
      </c>
      <c r="I32" s="242"/>
      <c r="J32" s="232"/>
      <c r="K32" s="1">
        <v>610670800</v>
      </c>
    </row>
    <row r="33" spans="1:11" x14ac:dyDescent="0.25">
      <c r="A33" s="218"/>
      <c r="B33" s="219"/>
      <c r="C33" s="224" t="s">
        <v>39</v>
      </c>
      <c r="D33" s="225"/>
      <c r="E33" s="237"/>
      <c r="F33" s="238"/>
      <c r="G33" s="237"/>
      <c r="H33" s="238"/>
      <c r="I33" s="226"/>
      <c r="J33" s="227"/>
    </row>
    <row r="34" spans="1:11" ht="25.5" x14ac:dyDescent="0.25">
      <c r="A34" s="218"/>
      <c r="B34" s="219"/>
      <c r="C34" s="228"/>
      <c r="D34" s="229" t="s">
        <v>99</v>
      </c>
      <c r="E34" s="230"/>
      <c r="F34" s="239"/>
      <c r="G34" s="230"/>
      <c r="H34" s="240"/>
      <c r="I34" s="236"/>
      <c r="J34" s="232"/>
    </row>
    <row r="35" spans="1:11" x14ac:dyDescent="0.25">
      <c r="A35" s="218"/>
      <c r="B35" s="219"/>
      <c r="C35" s="228"/>
      <c r="D35" s="233" t="s">
        <v>261</v>
      </c>
      <c r="E35" s="230"/>
      <c r="F35" s="239"/>
      <c r="G35" s="230"/>
      <c r="H35" s="240"/>
      <c r="I35" s="236"/>
      <c r="J35" s="232"/>
    </row>
    <row r="36" spans="1:11" ht="25.5" x14ac:dyDescent="0.25">
      <c r="A36" s="218"/>
      <c r="B36" s="219"/>
      <c r="C36" s="228"/>
      <c r="D36" s="234" t="s">
        <v>100</v>
      </c>
      <c r="E36" s="230">
        <v>3395640000</v>
      </c>
      <c r="F36" s="235">
        <f t="shared" ref="F36:F37" si="5">G36/E36*100%</f>
        <v>0</v>
      </c>
      <c r="G36" s="230">
        <v>0</v>
      </c>
      <c r="H36" s="235">
        <f t="shared" ref="H36:H37" si="6">G36/E36*100%</f>
        <v>0</v>
      </c>
      <c r="I36" s="236"/>
      <c r="J36" s="232"/>
      <c r="K36" s="1">
        <f>E36*F36</f>
        <v>0</v>
      </c>
    </row>
    <row r="37" spans="1:11" x14ac:dyDescent="0.25">
      <c r="A37" s="218"/>
      <c r="B37" s="219"/>
      <c r="C37" s="228"/>
      <c r="D37" s="234" t="s">
        <v>101</v>
      </c>
      <c r="E37" s="230">
        <v>2057255328</v>
      </c>
      <c r="F37" s="235">
        <f t="shared" si="5"/>
        <v>0.12039616795684391</v>
      </c>
      <c r="G37" s="230">
        <f>247685658</f>
        <v>247685658</v>
      </c>
      <c r="H37" s="235">
        <f t="shared" si="6"/>
        <v>0.12039616795684391</v>
      </c>
      <c r="I37" s="236"/>
      <c r="J37" s="232"/>
      <c r="K37" s="1">
        <v>247685658</v>
      </c>
    </row>
    <row r="38" spans="1:11" x14ac:dyDescent="0.25">
      <c r="A38" s="218"/>
      <c r="B38" s="219"/>
      <c r="C38" s="224" t="s">
        <v>40</v>
      </c>
      <c r="D38" s="225"/>
      <c r="E38" s="237"/>
      <c r="F38" s="238"/>
      <c r="G38" s="237"/>
      <c r="H38" s="238"/>
      <c r="I38" s="243"/>
      <c r="J38" s="227"/>
    </row>
    <row r="39" spans="1:11" ht="25.5" x14ac:dyDescent="0.25">
      <c r="A39" s="218"/>
      <c r="B39" s="219"/>
      <c r="C39" s="228"/>
      <c r="D39" s="229" t="s">
        <v>99</v>
      </c>
      <c r="E39" s="230"/>
      <c r="F39" s="239"/>
      <c r="G39" s="230"/>
      <c r="H39" s="239"/>
      <c r="I39" s="231"/>
      <c r="J39" s="232"/>
    </row>
    <row r="40" spans="1:11" x14ac:dyDescent="0.25">
      <c r="A40" s="218"/>
      <c r="B40" s="219"/>
      <c r="C40" s="228"/>
      <c r="D40" s="233" t="s">
        <v>261</v>
      </c>
      <c r="E40" s="230"/>
      <c r="F40" s="239"/>
      <c r="G40" s="230"/>
      <c r="H40" s="239"/>
      <c r="I40" s="231"/>
      <c r="J40" s="232"/>
    </row>
    <row r="41" spans="1:11" ht="25.5" x14ac:dyDescent="0.25">
      <c r="A41" s="218"/>
      <c r="B41" s="219"/>
      <c r="C41" s="228"/>
      <c r="D41" s="234" t="s">
        <v>100</v>
      </c>
      <c r="E41" s="230">
        <v>1430900000</v>
      </c>
      <c r="F41" s="235">
        <f t="shared" ref="F41:F42" si="7">G41/E41*100%</f>
        <v>9.8865119854636946E-2</v>
      </c>
      <c r="G41" s="230">
        <f>141466100</f>
        <v>141466100</v>
      </c>
      <c r="H41" s="235">
        <f t="shared" ref="H41:H42" si="8">G41/E41*100%</f>
        <v>9.8865119854636946E-2</v>
      </c>
      <c r="I41" s="236"/>
      <c r="J41" s="232"/>
      <c r="K41" s="1">
        <v>141466100</v>
      </c>
    </row>
    <row r="42" spans="1:11" x14ac:dyDescent="0.25">
      <c r="A42" s="218"/>
      <c r="B42" s="219"/>
      <c r="C42" s="228"/>
      <c r="D42" s="234" t="s">
        <v>101</v>
      </c>
      <c r="E42" s="230">
        <v>870474720</v>
      </c>
      <c r="F42" s="235">
        <f t="shared" si="7"/>
        <v>0.49819909761423053</v>
      </c>
      <c r="G42" s="230">
        <f>433669720</f>
        <v>433669720</v>
      </c>
      <c r="H42" s="235">
        <f t="shared" si="8"/>
        <v>0.49819909761423053</v>
      </c>
      <c r="I42" s="236"/>
      <c r="J42" s="232"/>
      <c r="K42" s="1">
        <v>433669720</v>
      </c>
    </row>
    <row r="43" spans="1:11" x14ac:dyDescent="0.25">
      <c r="A43" s="218"/>
      <c r="B43" s="219"/>
      <c r="C43" s="224" t="s">
        <v>41</v>
      </c>
      <c r="D43" s="225"/>
      <c r="E43" s="237"/>
      <c r="F43" s="238"/>
      <c r="G43" s="237"/>
      <c r="H43" s="238"/>
      <c r="I43" s="226"/>
      <c r="J43" s="227"/>
    </row>
    <row r="44" spans="1:11" ht="25.5" x14ac:dyDescent="0.25">
      <c r="A44" s="218"/>
      <c r="B44" s="219"/>
      <c r="C44" s="228"/>
      <c r="D44" s="229" t="s">
        <v>99</v>
      </c>
      <c r="E44" s="230"/>
      <c r="F44" s="239"/>
      <c r="G44" s="230"/>
      <c r="H44" s="240"/>
      <c r="I44" s="236"/>
      <c r="J44" s="232"/>
    </row>
    <row r="45" spans="1:11" x14ac:dyDescent="0.25">
      <c r="A45" s="218"/>
      <c r="B45" s="219"/>
      <c r="C45" s="228"/>
      <c r="D45" s="233" t="s">
        <v>261</v>
      </c>
      <c r="E45" s="230"/>
      <c r="F45" s="239"/>
      <c r="G45" s="230"/>
      <c r="H45" s="240"/>
      <c r="I45" s="236"/>
      <c r="J45" s="232"/>
    </row>
    <row r="46" spans="1:11" ht="25.5" x14ac:dyDescent="0.25">
      <c r="A46" s="218"/>
      <c r="B46" s="219"/>
      <c r="C46" s="228"/>
      <c r="D46" s="234" t="s">
        <v>100</v>
      </c>
      <c r="E46" s="230">
        <v>5850440000</v>
      </c>
      <c r="F46" s="235">
        <f t="shared" ref="F46:F47" si="9">G46/E46*100%</f>
        <v>0</v>
      </c>
      <c r="G46" s="230">
        <v>0</v>
      </c>
      <c r="H46" s="235">
        <f t="shared" ref="H46:H47" si="10">G46/E46*100%</f>
        <v>0</v>
      </c>
      <c r="I46" s="236"/>
      <c r="J46" s="232"/>
      <c r="K46" s="1">
        <f>E46*F46</f>
        <v>0</v>
      </c>
    </row>
    <row r="47" spans="1:11" x14ac:dyDescent="0.25">
      <c r="A47" s="218"/>
      <c r="B47" s="219"/>
      <c r="C47" s="228"/>
      <c r="D47" s="234" t="s">
        <v>101</v>
      </c>
      <c r="E47" s="230">
        <v>3539546088</v>
      </c>
      <c r="F47" s="235">
        <f t="shared" si="9"/>
        <v>0.12230553783934794</v>
      </c>
      <c r="G47" s="230">
        <f>432906088</f>
        <v>432906088</v>
      </c>
      <c r="H47" s="235">
        <f t="shared" si="10"/>
        <v>0.12230553783934794</v>
      </c>
      <c r="I47" s="236"/>
      <c r="J47" s="232"/>
      <c r="K47" s="1">
        <f>E47*F47</f>
        <v>432906088</v>
      </c>
    </row>
    <row r="48" spans="1:11" x14ac:dyDescent="0.25">
      <c r="A48" s="195"/>
      <c r="B48" s="195"/>
      <c r="C48" s="195"/>
      <c r="D48" s="195"/>
      <c r="E48" s="195"/>
      <c r="F48" s="195"/>
      <c r="G48" s="195"/>
      <c r="H48" s="195"/>
      <c r="I48" s="195"/>
      <c r="J48" s="196"/>
    </row>
    <row r="49" spans="1:10" s="2" customFormat="1" x14ac:dyDescent="0.25">
      <c r="A49" s="195"/>
      <c r="B49" s="195"/>
      <c r="C49" s="195"/>
      <c r="D49" s="195"/>
      <c r="E49" s="195"/>
      <c r="F49" s="195"/>
      <c r="G49" s="195"/>
      <c r="H49" s="195"/>
      <c r="I49" s="195"/>
      <c r="J49" s="196"/>
    </row>
    <row r="50" spans="1:10" s="2" customFormat="1" x14ac:dyDescent="0.25">
      <c r="A50" s="195"/>
      <c r="B50" s="195"/>
      <c r="C50" s="195"/>
      <c r="D50" s="195"/>
      <c r="E50" s="195"/>
      <c r="F50" s="195"/>
      <c r="G50" s="195"/>
      <c r="H50" s="195"/>
      <c r="I50" s="195"/>
      <c r="J50" s="196"/>
    </row>
    <row r="51" spans="1:10" s="2" customFormat="1" x14ac:dyDescent="0.25">
      <c r="A51" s="195"/>
      <c r="B51" s="195"/>
      <c r="C51" s="195"/>
      <c r="D51" s="195"/>
      <c r="E51" s="195"/>
      <c r="F51" s="195"/>
      <c r="G51" s="195"/>
      <c r="H51" s="195"/>
      <c r="I51" s="195"/>
      <c r="J51" s="196"/>
    </row>
    <row r="52" spans="1:10" s="2" customFormat="1" x14ac:dyDescent="0.25">
      <c r="A52" s="273" t="s">
        <v>362</v>
      </c>
      <c r="B52" s="273"/>
      <c r="C52" s="273"/>
      <c r="D52" s="273"/>
      <c r="E52" s="273"/>
      <c r="F52" s="273"/>
      <c r="G52" s="273"/>
      <c r="H52" s="273"/>
      <c r="I52" s="273"/>
      <c r="J52" s="273"/>
    </row>
    <row r="53" spans="1:10" s="2" customFormat="1" x14ac:dyDescent="0.25">
      <c r="A53" s="273" t="s">
        <v>117</v>
      </c>
      <c r="B53" s="273"/>
      <c r="C53" s="273"/>
      <c r="D53" s="273"/>
      <c r="E53" s="273"/>
      <c r="F53" s="273"/>
      <c r="G53" s="273"/>
      <c r="H53" s="273"/>
      <c r="I53" s="273"/>
      <c r="J53" s="273"/>
    </row>
    <row r="54" spans="1:10" s="2" customFormat="1" x14ac:dyDescent="0.25">
      <c r="A54" s="285" t="s">
        <v>370</v>
      </c>
      <c r="B54" s="285"/>
      <c r="C54" s="285"/>
      <c r="D54" s="285"/>
      <c r="E54" s="285"/>
      <c r="F54" s="285"/>
      <c r="G54" s="285"/>
      <c r="H54" s="285"/>
      <c r="I54" s="285"/>
      <c r="J54" s="285"/>
    </row>
    <row r="55" spans="1:10" s="2" customFormat="1" x14ac:dyDescent="0.25">
      <c r="A55" s="204" t="s">
        <v>372</v>
      </c>
      <c r="B55" s="195"/>
      <c r="C55" s="195"/>
      <c r="D55" s="205"/>
      <c r="E55" s="199"/>
      <c r="F55" s="197"/>
      <c r="G55" s="201"/>
      <c r="H55" s="202"/>
      <c r="I55" s="202"/>
      <c r="J55" s="203"/>
    </row>
    <row r="56" spans="1:10" s="2" customFormat="1" x14ac:dyDescent="0.25">
      <c r="A56" s="274" t="s">
        <v>109</v>
      </c>
      <c r="B56" s="274" t="s">
        <v>118</v>
      </c>
      <c r="C56" s="274" t="s">
        <v>119</v>
      </c>
      <c r="D56" s="274" t="s">
        <v>107</v>
      </c>
      <c r="E56" s="277" t="s">
        <v>108</v>
      </c>
      <c r="F56" s="278" t="s">
        <v>102</v>
      </c>
      <c r="G56" s="279"/>
      <c r="H56" s="280"/>
      <c r="I56" s="281" t="s">
        <v>358</v>
      </c>
      <c r="J56" s="281" t="s">
        <v>1</v>
      </c>
    </row>
    <row r="57" spans="1:10" s="2" customFormat="1" x14ac:dyDescent="0.25">
      <c r="A57" s="275"/>
      <c r="B57" s="275"/>
      <c r="C57" s="275"/>
      <c r="D57" s="275"/>
      <c r="E57" s="275"/>
      <c r="F57" s="206" t="s">
        <v>103</v>
      </c>
      <c r="G57" s="278" t="s">
        <v>104</v>
      </c>
      <c r="H57" s="280"/>
      <c r="I57" s="281"/>
      <c r="J57" s="281"/>
    </row>
    <row r="58" spans="1:10" s="2" customFormat="1" x14ac:dyDescent="0.25">
      <c r="A58" s="276"/>
      <c r="B58" s="276"/>
      <c r="C58" s="276"/>
      <c r="D58" s="276"/>
      <c r="E58" s="276"/>
      <c r="F58" s="206" t="s">
        <v>105</v>
      </c>
      <c r="G58" s="206" t="s">
        <v>106</v>
      </c>
      <c r="H58" s="207" t="s">
        <v>105</v>
      </c>
      <c r="I58" s="281"/>
      <c r="J58" s="281"/>
    </row>
    <row r="59" spans="1:10" s="2" customFormat="1" x14ac:dyDescent="0.25">
      <c r="A59" s="208">
        <v>1</v>
      </c>
      <c r="B59" s="208">
        <v>2</v>
      </c>
      <c r="C59" s="208">
        <v>3</v>
      </c>
      <c r="D59" s="208">
        <v>4</v>
      </c>
      <c r="E59" s="208">
        <v>5</v>
      </c>
      <c r="F59" s="208">
        <v>7</v>
      </c>
      <c r="G59" s="208">
        <v>8</v>
      </c>
      <c r="H59" s="208">
        <v>9</v>
      </c>
      <c r="I59" s="208">
        <v>10</v>
      </c>
      <c r="J59" s="208">
        <v>11</v>
      </c>
    </row>
    <row r="60" spans="1:10" s="2" customFormat="1" x14ac:dyDescent="0.25">
      <c r="A60" s="282" t="s">
        <v>120</v>
      </c>
      <c r="B60" s="283"/>
      <c r="C60" s="283"/>
      <c r="D60" s="284"/>
      <c r="E60" s="209" t="e">
        <f>E61+#REF!+#REF!+#REF!+#REF!+#REF!+#REF!+#REF!+#REF!+#REF!</f>
        <v>#REF!</v>
      </c>
      <c r="F60" s="210" t="e">
        <f>K60/E60*100%</f>
        <v>#REF!</v>
      </c>
      <c r="G60" s="209" t="e">
        <f>G61+#REF!+#REF!+#REF!+#REF!+#REF!+#REF!+#REF!+#REF!+#REF!</f>
        <v>#REF!</v>
      </c>
      <c r="H60" s="210" t="e">
        <f>G60/E60*100%</f>
        <v>#REF!</v>
      </c>
      <c r="I60" s="210"/>
      <c r="J60" s="211"/>
    </row>
    <row r="61" spans="1:10" s="2" customFormat="1" ht="38.25" x14ac:dyDescent="0.25">
      <c r="A61" s="212">
        <v>1</v>
      </c>
      <c r="B61" s="213" t="s">
        <v>121</v>
      </c>
      <c r="C61" s="214"/>
      <c r="D61" s="214"/>
      <c r="E61" s="215">
        <f>SUM(E62:E90)</f>
        <v>21734800000</v>
      </c>
      <c r="F61" s="216">
        <f>G61/E61*100%</f>
        <v>9.1596706663967464E-2</v>
      </c>
      <c r="G61" s="215">
        <f>SUM(G62:G90)</f>
        <v>1990836100</v>
      </c>
      <c r="H61" s="216">
        <f>G61/E61*100%</f>
        <v>9.1596706663967464E-2</v>
      </c>
      <c r="I61" s="216"/>
      <c r="J61" s="217"/>
    </row>
    <row r="62" spans="1:10" s="2" customFormat="1" x14ac:dyDescent="0.25">
      <c r="A62" s="218"/>
      <c r="B62" s="219"/>
      <c r="C62" s="220" t="s">
        <v>35</v>
      </c>
      <c r="D62" s="221"/>
      <c r="E62" s="222"/>
      <c r="F62" s="222"/>
      <c r="G62" s="222"/>
      <c r="H62" s="222"/>
      <c r="I62" s="222"/>
      <c r="J62" s="223"/>
    </row>
    <row r="63" spans="1:10" s="2" customFormat="1" x14ac:dyDescent="0.25">
      <c r="A63" s="218"/>
      <c r="B63" s="219"/>
      <c r="C63" s="224" t="s">
        <v>129</v>
      </c>
      <c r="D63" s="225"/>
      <c r="E63" s="226"/>
      <c r="F63" s="226"/>
      <c r="G63" s="226"/>
      <c r="H63" s="226"/>
      <c r="I63" s="226"/>
      <c r="J63" s="227"/>
    </row>
    <row r="64" spans="1:10" s="2" customFormat="1" ht="25.5" x14ac:dyDescent="0.25">
      <c r="A64" s="218"/>
      <c r="B64" s="219"/>
      <c r="C64" s="228"/>
      <c r="D64" s="229" t="s">
        <v>99</v>
      </c>
      <c r="E64" s="230"/>
      <c r="F64" s="231"/>
      <c r="G64" s="230"/>
      <c r="H64" s="231"/>
      <c r="I64" s="231"/>
      <c r="J64" s="232"/>
    </row>
    <row r="65" spans="1:10" s="2" customFormat="1" x14ac:dyDescent="0.25">
      <c r="A65" s="218"/>
      <c r="B65" s="219"/>
      <c r="C65" s="228"/>
      <c r="D65" s="233" t="s">
        <v>261</v>
      </c>
      <c r="E65" s="230"/>
      <c r="F65" s="231"/>
      <c r="G65" s="230"/>
      <c r="H65" s="231"/>
      <c r="I65" s="231"/>
      <c r="J65" s="232"/>
    </row>
    <row r="66" spans="1:10" s="2" customFormat="1" ht="25.5" x14ac:dyDescent="0.25">
      <c r="A66" s="218"/>
      <c r="B66" s="219"/>
      <c r="C66" s="228"/>
      <c r="D66" s="234" t="s">
        <v>100</v>
      </c>
      <c r="E66" s="230">
        <v>2975640000</v>
      </c>
      <c r="F66" s="235">
        <f>G66/E66*100%</f>
        <v>0.30344228468497536</v>
      </c>
      <c r="G66" s="230">
        <f>902935000</f>
        <v>902935000</v>
      </c>
      <c r="H66" s="235">
        <f>G66/E66*100%</f>
        <v>0.30344228468497536</v>
      </c>
      <c r="I66" s="236"/>
      <c r="J66" s="232"/>
    </row>
    <row r="67" spans="1:10" s="2" customFormat="1" x14ac:dyDescent="0.25">
      <c r="A67" s="218"/>
      <c r="B67" s="219"/>
      <c r="C67" s="224" t="s">
        <v>36</v>
      </c>
      <c r="D67" s="225"/>
      <c r="E67" s="237"/>
      <c r="F67" s="238"/>
      <c r="G67" s="237"/>
      <c r="H67" s="238"/>
      <c r="I67" s="226"/>
      <c r="J67" s="227"/>
    </row>
    <row r="68" spans="1:10" s="2" customFormat="1" ht="25.5" x14ac:dyDescent="0.25">
      <c r="A68" s="218"/>
      <c r="B68" s="219"/>
      <c r="C68" s="228"/>
      <c r="D68" s="229" t="s">
        <v>99</v>
      </c>
      <c r="E68" s="230"/>
      <c r="F68" s="239"/>
      <c r="G68" s="230"/>
      <c r="H68" s="240"/>
      <c r="I68" s="236"/>
      <c r="J68" s="232"/>
    </row>
    <row r="69" spans="1:10" s="2" customFormat="1" x14ac:dyDescent="0.25">
      <c r="A69" s="218"/>
      <c r="B69" s="219"/>
      <c r="C69" s="228"/>
      <c r="D69" s="233" t="s">
        <v>261</v>
      </c>
      <c r="E69" s="230"/>
      <c r="F69" s="239"/>
      <c r="G69" s="230"/>
      <c r="H69" s="240"/>
      <c r="I69" s="236"/>
      <c r="J69" s="232"/>
    </row>
    <row r="70" spans="1:10" s="2" customFormat="1" ht="25.5" x14ac:dyDescent="0.25">
      <c r="A70" s="218"/>
      <c r="B70" s="219"/>
      <c r="C70" s="228"/>
      <c r="D70" s="234" t="s">
        <v>100</v>
      </c>
      <c r="E70" s="230">
        <v>2695640000</v>
      </c>
      <c r="F70" s="235">
        <f>G70/E70*100%</f>
        <v>0.28644032585953616</v>
      </c>
      <c r="G70" s="230">
        <f>35640000+736500000</f>
        <v>772140000</v>
      </c>
      <c r="H70" s="235">
        <f t="shared" ref="H70" si="11">G70/E70*100%</f>
        <v>0.28644032585953616</v>
      </c>
      <c r="I70" s="236"/>
      <c r="J70" s="232"/>
    </row>
    <row r="71" spans="1:10" s="2" customFormat="1" x14ac:dyDescent="0.25">
      <c r="A71" s="218"/>
      <c r="B71" s="219"/>
      <c r="C71" s="224" t="s">
        <v>37</v>
      </c>
      <c r="D71" s="225"/>
      <c r="E71" s="237"/>
      <c r="F71" s="238"/>
      <c r="G71" s="237"/>
      <c r="H71" s="238"/>
      <c r="I71" s="226"/>
      <c r="J71" s="227"/>
    </row>
    <row r="72" spans="1:10" s="2" customFormat="1" ht="25.5" x14ac:dyDescent="0.25">
      <c r="A72" s="218"/>
      <c r="B72" s="219"/>
      <c r="C72" s="228"/>
      <c r="D72" s="229" t="s">
        <v>99</v>
      </c>
      <c r="E72" s="230"/>
      <c r="F72" s="239"/>
      <c r="G72" s="230"/>
      <c r="H72" s="239"/>
      <c r="I72" s="231"/>
      <c r="J72" s="232"/>
    </row>
    <row r="73" spans="1:10" s="2" customFormat="1" x14ac:dyDescent="0.25">
      <c r="A73" s="218"/>
      <c r="B73" s="219"/>
      <c r="C73" s="228"/>
      <c r="D73" s="233" t="s">
        <v>261</v>
      </c>
      <c r="E73" s="230"/>
      <c r="F73" s="239"/>
      <c r="G73" s="230"/>
      <c r="H73" s="239"/>
      <c r="I73" s="231"/>
      <c r="J73" s="232"/>
    </row>
    <row r="74" spans="1:10" s="2" customFormat="1" ht="25.5" x14ac:dyDescent="0.25">
      <c r="A74" s="218"/>
      <c r="B74" s="219"/>
      <c r="C74" s="228"/>
      <c r="D74" s="234" t="s">
        <v>100</v>
      </c>
      <c r="E74" s="230">
        <v>2905640000</v>
      </c>
      <c r="F74" s="235">
        <f>G74/E74*100%</f>
        <v>5.5554025963298961E-2</v>
      </c>
      <c r="G74" s="230">
        <f>161420000</f>
        <v>161420000</v>
      </c>
      <c r="H74" s="235">
        <f t="shared" ref="H74" si="12">G74/E74*100%</f>
        <v>5.5554025963298961E-2</v>
      </c>
      <c r="I74" s="241"/>
      <c r="J74" s="232"/>
    </row>
    <row r="75" spans="1:10" s="2" customFormat="1" x14ac:dyDescent="0.25">
      <c r="A75" s="218"/>
      <c r="B75" s="219"/>
      <c r="C75" s="224" t="s">
        <v>38</v>
      </c>
      <c r="D75" s="225"/>
      <c r="E75" s="237"/>
      <c r="F75" s="238"/>
      <c r="G75" s="237"/>
      <c r="H75" s="238"/>
      <c r="I75" s="226"/>
      <c r="J75" s="227"/>
    </row>
    <row r="76" spans="1:10" s="2" customFormat="1" ht="25.5" x14ac:dyDescent="0.25">
      <c r="A76" s="218"/>
      <c r="B76" s="219"/>
      <c r="C76" s="228"/>
      <c r="D76" s="229" t="s">
        <v>99</v>
      </c>
      <c r="E76" s="230"/>
      <c r="F76" s="239"/>
      <c r="G76" s="230"/>
      <c r="H76" s="240"/>
      <c r="I76" s="236"/>
      <c r="J76" s="232"/>
    </row>
    <row r="77" spans="1:10" s="2" customFormat="1" x14ac:dyDescent="0.25">
      <c r="A77" s="218"/>
      <c r="B77" s="219"/>
      <c r="C77" s="228"/>
      <c r="D77" s="233" t="s">
        <v>261</v>
      </c>
      <c r="E77" s="230"/>
      <c r="F77" s="239"/>
      <c r="G77" s="230"/>
      <c r="H77" s="240"/>
      <c r="I77" s="236"/>
      <c r="J77" s="232"/>
    </row>
    <row r="78" spans="1:10" s="2" customFormat="1" ht="25.5" x14ac:dyDescent="0.25">
      <c r="A78" s="218"/>
      <c r="B78" s="219"/>
      <c r="C78" s="228"/>
      <c r="D78" s="234" t="s">
        <v>100</v>
      </c>
      <c r="E78" s="230">
        <v>2480900000</v>
      </c>
      <c r="F78" s="235">
        <f t="shared" ref="F78" si="13">G78/E78*100%</f>
        <v>5.1896489177314688E-3</v>
      </c>
      <c r="G78" s="230">
        <f>12875000</f>
        <v>12875000</v>
      </c>
      <c r="H78" s="235">
        <f t="shared" ref="H78" si="14">G78/E78*100%</f>
        <v>5.1896489177314688E-3</v>
      </c>
      <c r="I78" s="241"/>
      <c r="J78" s="232"/>
    </row>
    <row r="79" spans="1:10" s="2" customFormat="1" x14ac:dyDescent="0.25">
      <c r="A79" s="218"/>
      <c r="B79" s="219"/>
      <c r="C79" s="224" t="s">
        <v>39</v>
      </c>
      <c r="D79" s="225"/>
      <c r="E79" s="237"/>
      <c r="F79" s="238"/>
      <c r="G79" s="237"/>
      <c r="H79" s="238"/>
      <c r="I79" s="226"/>
      <c r="J79" s="227"/>
    </row>
    <row r="80" spans="1:10" s="2" customFormat="1" ht="25.5" x14ac:dyDescent="0.25">
      <c r="A80" s="218"/>
      <c r="B80" s="219"/>
      <c r="C80" s="228"/>
      <c r="D80" s="229" t="s">
        <v>99</v>
      </c>
      <c r="E80" s="230"/>
      <c r="F80" s="239"/>
      <c r="G80" s="230"/>
      <c r="H80" s="240"/>
      <c r="I80" s="236"/>
      <c r="J80" s="232"/>
    </row>
    <row r="81" spans="1:10" s="2" customFormat="1" x14ac:dyDescent="0.25">
      <c r="A81" s="218"/>
      <c r="B81" s="219"/>
      <c r="C81" s="228"/>
      <c r="D81" s="233" t="s">
        <v>261</v>
      </c>
      <c r="E81" s="230"/>
      <c r="F81" s="239"/>
      <c r="G81" s="230"/>
      <c r="H81" s="240"/>
      <c r="I81" s="236"/>
      <c r="J81" s="232"/>
    </row>
    <row r="82" spans="1:10" s="2" customFormat="1" ht="25.5" x14ac:dyDescent="0.25">
      <c r="A82" s="218"/>
      <c r="B82" s="219"/>
      <c r="C82" s="228"/>
      <c r="D82" s="234" t="s">
        <v>100</v>
      </c>
      <c r="E82" s="230">
        <v>3395640000</v>
      </c>
      <c r="F82" s="235">
        <f t="shared" ref="F82" si="15">G82/E82*100%</f>
        <v>0</v>
      </c>
      <c r="G82" s="230">
        <v>0</v>
      </c>
      <c r="H82" s="235">
        <f t="shared" ref="H82" si="16">G82/E82*100%</f>
        <v>0</v>
      </c>
      <c r="I82" s="236"/>
      <c r="J82" s="232"/>
    </row>
    <row r="83" spans="1:10" s="2" customFormat="1" x14ac:dyDescent="0.25">
      <c r="A83" s="218"/>
      <c r="B83" s="219"/>
      <c r="C83" s="224" t="s">
        <v>40</v>
      </c>
      <c r="D83" s="225"/>
      <c r="E83" s="237"/>
      <c r="F83" s="238"/>
      <c r="G83" s="237"/>
      <c r="H83" s="238"/>
      <c r="I83" s="243"/>
      <c r="J83" s="227"/>
    </row>
    <row r="84" spans="1:10" s="2" customFormat="1" ht="25.5" x14ac:dyDescent="0.25">
      <c r="A84" s="218"/>
      <c r="B84" s="219"/>
      <c r="C84" s="228"/>
      <c r="D84" s="229" t="s">
        <v>99</v>
      </c>
      <c r="E84" s="230"/>
      <c r="F84" s="239"/>
      <c r="G84" s="230"/>
      <c r="H84" s="239"/>
      <c r="I84" s="231"/>
      <c r="J84" s="232"/>
    </row>
    <row r="85" spans="1:10" s="2" customFormat="1" x14ac:dyDescent="0.25">
      <c r="A85" s="218"/>
      <c r="B85" s="219"/>
      <c r="C85" s="228"/>
      <c r="D85" s="233" t="s">
        <v>261</v>
      </c>
      <c r="E85" s="230"/>
      <c r="F85" s="239"/>
      <c r="G85" s="230"/>
      <c r="H85" s="239"/>
      <c r="I85" s="231"/>
      <c r="J85" s="232"/>
    </row>
    <row r="86" spans="1:10" s="2" customFormat="1" ht="25.5" x14ac:dyDescent="0.25">
      <c r="A86" s="218"/>
      <c r="B86" s="219"/>
      <c r="C86" s="228"/>
      <c r="D86" s="234" t="s">
        <v>100</v>
      </c>
      <c r="E86" s="230">
        <v>1430900000</v>
      </c>
      <c r="F86" s="235">
        <f t="shared" ref="F86" si="17">G86/E86*100%</f>
        <v>9.8865119854636946E-2</v>
      </c>
      <c r="G86" s="230">
        <f>141466100</f>
        <v>141466100</v>
      </c>
      <c r="H86" s="235">
        <f t="shared" ref="H86" si="18">G86/E86*100%</f>
        <v>9.8865119854636946E-2</v>
      </c>
      <c r="I86" s="236"/>
      <c r="J86" s="232"/>
    </row>
    <row r="87" spans="1:10" s="2" customFormat="1" x14ac:dyDescent="0.25">
      <c r="A87" s="218"/>
      <c r="B87" s="219"/>
      <c r="C87" s="224" t="s">
        <v>41</v>
      </c>
      <c r="D87" s="225"/>
      <c r="E87" s="237"/>
      <c r="F87" s="238"/>
      <c r="G87" s="237"/>
      <c r="H87" s="238"/>
      <c r="I87" s="226"/>
      <c r="J87" s="227"/>
    </row>
    <row r="88" spans="1:10" s="2" customFormat="1" ht="25.5" x14ac:dyDescent="0.25">
      <c r="A88" s="218"/>
      <c r="B88" s="219"/>
      <c r="C88" s="228"/>
      <c r="D88" s="229" t="s">
        <v>99</v>
      </c>
      <c r="E88" s="230"/>
      <c r="F88" s="239"/>
      <c r="G88" s="230"/>
      <c r="H88" s="240"/>
      <c r="I88" s="236"/>
      <c r="J88" s="232"/>
    </row>
    <row r="89" spans="1:10" s="2" customFormat="1" x14ac:dyDescent="0.25">
      <c r="A89" s="218"/>
      <c r="B89" s="219"/>
      <c r="C89" s="228"/>
      <c r="D89" s="233" t="s">
        <v>261</v>
      </c>
      <c r="E89" s="230"/>
      <c r="F89" s="239"/>
      <c r="G89" s="230"/>
      <c r="H89" s="240"/>
      <c r="I89" s="236"/>
      <c r="J89" s="232"/>
    </row>
    <row r="90" spans="1:10" s="2" customFormat="1" ht="25.5" x14ac:dyDescent="0.25">
      <c r="A90" s="218"/>
      <c r="B90" s="219"/>
      <c r="C90" s="228"/>
      <c r="D90" s="234" t="s">
        <v>100</v>
      </c>
      <c r="E90" s="230">
        <v>5850440000</v>
      </c>
      <c r="F90" s="235">
        <f t="shared" ref="F90" si="19">G90/E90*100%</f>
        <v>0</v>
      </c>
      <c r="G90" s="230">
        <v>0</v>
      </c>
      <c r="H90" s="235">
        <f t="shared" ref="H90" si="20">G90/E90*100%</f>
        <v>0</v>
      </c>
      <c r="I90" s="236"/>
      <c r="J90" s="232"/>
    </row>
    <row r="91" spans="1:10" s="2" customFormat="1" x14ac:dyDescent="0.25">
      <c r="A91" s="195"/>
      <c r="B91" s="195"/>
      <c r="C91" s="195"/>
      <c r="D91" s="195"/>
      <c r="E91" s="195"/>
      <c r="F91" s="195"/>
      <c r="G91" s="195"/>
      <c r="H91" s="195"/>
      <c r="I91" s="195"/>
      <c r="J91" s="196"/>
    </row>
    <row r="92" spans="1:10" s="2" customFormat="1" x14ac:dyDescent="0.25">
      <c r="A92" s="195"/>
      <c r="B92" s="195"/>
      <c r="C92" s="195"/>
      <c r="D92" s="195"/>
      <c r="E92" s="195"/>
      <c r="F92" s="195"/>
      <c r="G92" s="195"/>
      <c r="H92" s="195"/>
      <c r="I92" s="195"/>
      <c r="J92" s="196"/>
    </row>
    <row r="93" spans="1:10" s="2" customFormat="1" x14ac:dyDescent="0.25">
      <c r="A93" s="195"/>
      <c r="B93" s="195"/>
      <c r="C93" s="195"/>
      <c r="D93" s="195"/>
      <c r="E93" s="195"/>
      <c r="F93" s="195"/>
      <c r="G93" s="195"/>
      <c r="H93" s="195"/>
      <c r="I93" s="195"/>
      <c r="J93" s="196"/>
    </row>
    <row r="94" spans="1:10" s="2" customFormat="1" x14ac:dyDescent="0.25">
      <c r="A94" s="273" t="s">
        <v>362</v>
      </c>
      <c r="B94" s="273"/>
      <c r="C94" s="273"/>
      <c r="D94" s="273"/>
      <c r="E94" s="273"/>
      <c r="F94" s="273"/>
      <c r="G94" s="273"/>
      <c r="H94" s="273"/>
      <c r="I94" s="273"/>
      <c r="J94" s="273"/>
    </row>
    <row r="95" spans="1:10" s="2" customFormat="1" x14ac:dyDescent="0.25">
      <c r="A95" s="273" t="s">
        <v>117</v>
      </c>
      <c r="B95" s="273"/>
      <c r="C95" s="273"/>
      <c r="D95" s="273"/>
      <c r="E95" s="273"/>
      <c r="F95" s="273"/>
      <c r="G95" s="273"/>
      <c r="H95" s="273"/>
      <c r="I95" s="273"/>
      <c r="J95" s="273"/>
    </row>
    <row r="96" spans="1:10" s="2" customFormat="1" x14ac:dyDescent="0.25">
      <c r="A96" s="285" t="s">
        <v>371</v>
      </c>
      <c r="B96" s="285"/>
      <c r="C96" s="285"/>
      <c r="D96" s="285"/>
      <c r="E96" s="285"/>
      <c r="F96" s="285"/>
      <c r="G96" s="285"/>
      <c r="H96" s="285"/>
      <c r="I96" s="285"/>
      <c r="J96" s="285"/>
    </row>
    <row r="97" spans="1:10" s="2" customFormat="1" x14ac:dyDescent="0.25">
      <c r="A97" s="204" t="s">
        <v>372</v>
      </c>
      <c r="B97" s="195"/>
      <c r="C97" s="195"/>
      <c r="D97" s="205"/>
      <c r="E97" s="199"/>
      <c r="F97" s="197"/>
      <c r="G97" s="201"/>
      <c r="H97" s="202"/>
      <c r="I97" s="202"/>
      <c r="J97" s="203"/>
    </row>
    <row r="98" spans="1:10" s="2" customFormat="1" x14ac:dyDescent="0.25">
      <c r="A98" s="274" t="s">
        <v>109</v>
      </c>
      <c r="B98" s="274" t="s">
        <v>118</v>
      </c>
      <c r="C98" s="274" t="s">
        <v>119</v>
      </c>
      <c r="D98" s="274" t="s">
        <v>107</v>
      </c>
      <c r="E98" s="277" t="s">
        <v>108</v>
      </c>
      <c r="F98" s="278" t="s">
        <v>102</v>
      </c>
      <c r="G98" s="279"/>
      <c r="H98" s="280"/>
      <c r="I98" s="281" t="s">
        <v>358</v>
      </c>
      <c r="J98" s="281" t="s">
        <v>1</v>
      </c>
    </row>
    <row r="99" spans="1:10" s="2" customFormat="1" x14ac:dyDescent="0.25">
      <c r="A99" s="275"/>
      <c r="B99" s="275"/>
      <c r="C99" s="275"/>
      <c r="D99" s="275"/>
      <c r="E99" s="275"/>
      <c r="F99" s="206" t="s">
        <v>103</v>
      </c>
      <c r="G99" s="278" t="s">
        <v>104</v>
      </c>
      <c r="H99" s="280"/>
      <c r="I99" s="281"/>
      <c r="J99" s="281"/>
    </row>
    <row r="100" spans="1:10" s="2" customFormat="1" x14ac:dyDescent="0.25">
      <c r="A100" s="276"/>
      <c r="B100" s="276"/>
      <c r="C100" s="276"/>
      <c r="D100" s="276"/>
      <c r="E100" s="276"/>
      <c r="F100" s="206" t="s">
        <v>105</v>
      </c>
      <c r="G100" s="206" t="s">
        <v>106</v>
      </c>
      <c r="H100" s="207" t="s">
        <v>105</v>
      </c>
      <c r="I100" s="281"/>
      <c r="J100" s="281"/>
    </row>
    <row r="101" spans="1:10" s="2" customFormat="1" x14ac:dyDescent="0.25">
      <c r="A101" s="208">
        <v>1</v>
      </c>
      <c r="B101" s="208">
        <v>2</v>
      </c>
      <c r="C101" s="208">
        <v>3</v>
      </c>
      <c r="D101" s="208">
        <v>4</v>
      </c>
      <c r="E101" s="208">
        <v>5</v>
      </c>
      <c r="F101" s="208">
        <v>7</v>
      </c>
      <c r="G101" s="208">
        <v>8</v>
      </c>
      <c r="H101" s="208">
        <v>9</v>
      </c>
      <c r="I101" s="208">
        <v>10</v>
      </c>
      <c r="J101" s="208">
        <v>11</v>
      </c>
    </row>
    <row r="102" spans="1:10" s="2" customFormat="1" x14ac:dyDescent="0.25">
      <c r="A102" s="282" t="s">
        <v>120</v>
      </c>
      <c r="B102" s="283"/>
      <c r="C102" s="283"/>
      <c r="D102" s="284"/>
      <c r="E102" s="209" t="e">
        <f>E103+#REF!+#REF!+#REF!+#REF!+#REF!+#REF!+#REF!+#REF!+#REF!</f>
        <v>#REF!</v>
      </c>
      <c r="F102" s="210" t="e">
        <f>K102/E102*100%</f>
        <v>#REF!</v>
      </c>
      <c r="G102" s="209" t="e">
        <f>G103+#REF!+#REF!+#REF!+#REF!+#REF!+#REF!+#REF!+#REF!+#REF!</f>
        <v>#REF!</v>
      </c>
      <c r="H102" s="210" t="e">
        <f>G102/E102*100%</f>
        <v>#REF!</v>
      </c>
      <c r="I102" s="210"/>
      <c r="J102" s="211"/>
    </row>
    <row r="103" spans="1:10" s="2" customFormat="1" ht="38.25" x14ac:dyDescent="0.25">
      <c r="A103" s="212">
        <v>1</v>
      </c>
      <c r="B103" s="213" t="s">
        <v>121</v>
      </c>
      <c r="C103" s="214"/>
      <c r="D103" s="214"/>
      <c r="E103" s="215">
        <f>SUM(E104:E132)</f>
        <v>13176530952</v>
      </c>
      <c r="F103" s="216">
        <f>G103/E103*100%</f>
        <v>0.28752340261644915</v>
      </c>
      <c r="G103" s="215">
        <f>SUM(G104:G132)</f>
        <v>3788561014</v>
      </c>
      <c r="H103" s="216">
        <f>G103/E103*100%</f>
        <v>0.28752340261644915</v>
      </c>
      <c r="I103" s="216"/>
      <c r="J103" s="217"/>
    </row>
    <row r="104" spans="1:10" s="2" customFormat="1" x14ac:dyDescent="0.25">
      <c r="A104" s="218"/>
      <c r="B104" s="219"/>
      <c r="C104" s="220" t="s">
        <v>35</v>
      </c>
      <c r="D104" s="221"/>
      <c r="E104" s="222"/>
      <c r="F104" s="222"/>
      <c r="G104" s="222"/>
      <c r="H104" s="222"/>
      <c r="I104" s="222"/>
      <c r="J104" s="223"/>
    </row>
    <row r="105" spans="1:10" s="2" customFormat="1" x14ac:dyDescent="0.25">
      <c r="A105" s="218"/>
      <c r="B105" s="219"/>
      <c r="C105" s="224" t="s">
        <v>129</v>
      </c>
      <c r="D105" s="225"/>
      <c r="E105" s="226"/>
      <c r="F105" s="226"/>
      <c r="G105" s="226"/>
      <c r="H105" s="226"/>
      <c r="I105" s="226"/>
      <c r="J105" s="227"/>
    </row>
    <row r="106" spans="1:10" s="2" customFormat="1" ht="25.5" x14ac:dyDescent="0.25">
      <c r="A106" s="218"/>
      <c r="B106" s="219"/>
      <c r="C106" s="228"/>
      <c r="D106" s="229" t="s">
        <v>99</v>
      </c>
      <c r="E106" s="230"/>
      <c r="F106" s="231"/>
      <c r="G106" s="230"/>
      <c r="H106" s="231"/>
      <c r="I106" s="231"/>
      <c r="J106" s="232"/>
    </row>
    <row r="107" spans="1:10" s="2" customFormat="1" x14ac:dyDescent="0.25">
      <c r="A107" s="218"/>
      <c r="B107" s="219"/>
      <c r="C107" s="228"/>
      <c r="D107" s="233" t="s">
        <v>261</v>
      </c>
      <c r="E107" s="230"/>
      <c r="F107" s="231"/>
      <c r="G107" s="230"/>
      <c r="H107" s="231"/>
      <c r="I107" s="231"/>
      <c r="J107" s="232"/>
    </row>
    <row r="108" spans="1:10" s="2" customFormat="1" x14ac:dyDescent="0.25">
      <c r="A108" s="218"/>
      <c r="B108" s="219"/>
      <c r="C108" s="228"/>
      <c r="D108" s="234" t="s">
        <v>101</v>
      </c>
      <c r="E108" s="230">
        <v>1803960912</v>
      </c>
      <c r="F108" s="235">
        <f>G108/E108*100%</f>
        <v>0.63159861415001661</v>
      </c>
      <c r="G108" s="230">
        <f>772853212+366526000</f>
        <v>1139379212</v>
      </c>
      <c r="H108" s="235">
        <f>G108/E108*100%</f>
        <v>0.63159861415001661</v>
      </c>
      <c r="I108" s="236"/>
      <c r="J108" s="232"/>
    </row>
    <row r="109" spans="1:10" s="2" customFormat="1" x14ac:dyDescent="0.25">
      <c r="A109" s="218"/>
      <c r="B109" s="219"/>
      <c r="C109" s="224" t="s">
        <v>36</v>
      </c>
      <c r="D109" s="225"/>
      <c r="E109" s="237"/>
      <c r="F109" s="238"/>
      <c r="G109" s="237"/>
      <c r="H109" s="238"/>
      <c r="I109" s="226"/>
      <c r="J109" s="227"/>
    </row>
    <row r="110" spans="1:10" s="2" customFormat="1" ht="25.5" x14ac:dyDescent="0.25">
      <c r="A110" s="218"/>
      <c r="B110" s="219"/>
      <c r="C110" s="228"/>
      <c r="D110" s="229" t="s">
        <v>99</v>
      </c>
      <c r="E110" s="230"/>
      <c r="F110" s="239"/>
      <c r="G110" s="230"/>
      <c r="H110" s="240"/>
      <c r="I110" s="236"/>
      <c r="J110" s="232"/>
    </row>
    <row r="111" spans="1:10" s="2" customFormat="1" x14ac:dyDescent="0.25">
      <c r="A111" s="218"/>
      <c r="B111" s="219"/>
      <c r="C111" s="228"/>
      <c r="D111" s="233" t="s">
        <v>261</v>
      </c>
      <c r="E111" s="230"/>
      <c r="F111" s="239"/>
      <c r="G111" s="230"/>
      <c r="H111" s="240"/>
      <c r="I111" s="236"/>
      <c r="J111" s="232"/>
    </row>
    <row r="112" spans="1:10" s="2" customFormat="1" x14ac:dyDescent="0.25">
      <c r="A112" s="218"/>
      <c r="B112" s="219"/>
      <c r="C112" s="228"/>
      <c r="D112" s="234" t="s">
        <v>101</v>
      </c>
      <c r="E112" s="230">
        <v>1635097968</v>
      </c>
      <c r="F112" s="235">
        <f>G112/E112*100%</f>
        <v>0.39334130467221035</v>
      </c>
      <c r="G112" s="230">
        <f>643151568</f>
        <v>643151568</v>
      </c>
      <c r="H112" s="235">
        <f t="shared" ref="H112" si="21">G112/E112*100%</f>
        <v>0.39334130467221035</v>
      </c>
      <c r="I112" s="236"/>
      <c r="J112" s="232"/>
    </row>
    <row r="113" spans="1:10" s="2" customFormat="1" x14ac:dyDescent="0.25">
      <c r="A113" s="218"/>
      <c r="B113" s="219"/>
      <c r="C113" s="224" t="s">
        <v>37</v>
      </c>
      <c r="D113" s="225"/>
      <c r="E113" s="237"/>
      <c r="F113" s="238"/>
      <c r="G113" s="237"/>
      <c r="H113" s="238"/>
      <c r="I113" s="226"/>
      <c r="J113" s="227"/>
    </row>
    <row r="114" spans="1:10" s="2" customFormat="1" ht="25.5" x14ac:dyDescent="0.25">
      <c r="A114" s="218"/>
      <c r="B114" s="219"/>
      <c r="C114" s="228"/>
      <c r="D114" s="229" t="s">
        <v>99</v>
      </c>
      <c r="E114" s="230"/>
      <c r="F114" s="239"/>
      <c r="G114" s="230"/>
      <c r="H114" s="239"/>
      <c r="I114" s="231"/>
      <c r="J114" s="232"/>
    </row>
    <row r="115" spans="1:10" s="2" customFormat="1" x14ac:dyDescent="0.25">
      <c r="A115" s="218"/>
      <c r="B115" s="219"/>
      <c r="C115" s="228"/>
      <c r="D115" s="233" t="s">
        <v>261</v>
      </c>
      <c r="E115" s="230"/>
      <c r="F115" s="239"/>
      <c r="G115" s="230"/>
      <c r="H115" s="239"/>
      <c r="I115" s="231"/>
      <c r="J115" s="232"/>
    </row>
    <row r="116" spans="1:10" s="2" customFormat="1" x14ac:dyDescent="0.25">
      <c r="A116" s="218"/>
      <c r="B116" s="219"/>
      <c r="C116" s="228"/>
      <c r="D116" s="234" t="s">
        <v>101</v>
      </c>
      <c r="E116" s="230">
        <v>1761745176</v>
      </c>
      <c r="F116" s="235">
        <f>G116/E116*100%</f>
        <v>0.1595565419047868</v>
      </c>
      <c r="G116" s="230">
        <f>281097968</f>
        <v>281097968</v>
      </c>
      <c r="H116" s="235">
        <f t="shared" ref="H116" si="22">G116/E116*100%</f>
        <v>0.1595565419047868</v>
      </c>
      <c r="I116" s="236"/>
      <c r="J116" s="232"/>
    </row>
    <row r="117" spans="1:10" s="2" customFormat="1" x14ac:dyDescent="0.25">
      <c r="A117" s="218"/>
      <c r="B117" s="219"/>
      <c r="C117" s="224" t="s">
        <v>38</v>
      </c>
      <c r="D117" s="225"/>
      <c r="E117" s="237"/>
      <c r="F117" s="238"/>
      <c r="G117" s="237"/>
      <c r="H117" s="238"/>
      <c r="I117" s="226"/>
      <c r="J117" s="227"/>
    </row>
    <row r="118" spans="1:10" s="2" customFormat="1" ht="25.5" x14ac:dyDescent="0.25">
      <c r="A118" s="218"/>
      <c r="B118" s="219"/>
      <c r="C118" s="228"/>
      <c r="D118" s="229" t="s">
        <v>99</v>
      </c>
      <c r="E118" s="230"/>
      <c r="F118" s="239"/>
      <c r="G118" s="230"/>
      <c r="H118" s="240"/>
      <c r="I118" s="236"/>
      <c r="J118" s="232"/>
    </row>
    <row r="119" spans="1:10" s="2" customFormat="1" x14ac:dyDescent="0.25">
      <c r="A119" s="218"/>
      <c r="B119" s="219"/>
      <c r="C119" s="228"/>
      <c r="D119" s="233" t="s">
        <v>261</v>
      </c>
      <c r="E119" s="230"/>
      <c r="F119" s="239"/>
      <c r="G119" s="230"/>
      <c r="H119" s="240"/>
      <c r="I119" s="236"/>
      <c r="J119" s="232"/>
    </row>
    <row r="120" spans="1:10" s="2" customFormat="1" x14ac:dyDescent="0.25">
      <c r="A120" s="218"/>
      <c r="B120" s="219"/>
      <c r="C120" s="228"/>
      <c r="D120" s="234" t="s">
        <v>101</v>
      </c>
      <c r="E120" s="230">
        <v>1508450760</v>
      </c>
      <c r="F120" s="235">
        <f t="shared" ref="F120" si="23">G120/E120*100%</f>
        <v>0.40483310174473314</v>
      </c>
      <c r="G120" s="230">
        <f>607770800+2900000</f>
        <v>610670800</v>
      </c>
      <c r="H120" s="235">
        <f t="shared" ref="H120" si="24">G120/E120*100%</f>
        <v>0.40483310174473314</v>
      </c>
      <c r="I120" s="242"/>
      <c r="J120" s="232"/>
    </row>
    <row r="121" spans="1:10" s="2" customFormat="1" x14ac:dyDescent="0.25">
      <c r="A121" s="218"/>
      <c r="B121" s="219"/>
      <c r="C121" s="224" t="s">
        <v>39</v>
      </c>
      <c r="D121" s="225"/>
      <c r="E121" s="237"/>
      <c r="F121" s="238"/>
      <c r="G121" s="237"/>
      <c r="H121" s="238"/>
      <c r="I121" s="226"/>
      <c r="J121" s="227"/>
    </row>
    <row r="122" spans="1:10" s="2" customFormat="1" ht="25.5" x14ac:dyDescent="0.25">
      <c r="A122" s="218"/>
      <c r="B122" s="219"/>
      <c r="C122" s="228"/>
      <c r="D122" s="229" t="s">
        <v>99</v>
      </c>
      <c r="E122" s="230"/>
      <c r="F122" s="239"/>
      <c r="G122" s="230"/>
      <c r="H122" s="240"/>
      <c r="I122" s="236"/>
      <c r="J122" s="232"/>
    </row>
    <row r="123" spans="1:10" s="2" customFormat="1" x14ac:dyDescent="0.25">
      <c r="A123" s="218"/>
      <c r="B123" s="219"/>
      <c r="C123" s="228"/>
      <c r="D123" s="233" t="s">
        <v>261</v>
      </c>
      <c r="E123" s="230"/>
      <c r="F123" s="239"/>
      <c r="G123" s="230"/>
      <c r="H123" s="240"/>
      <c r="I123" s="236"/>
      <c r="J123" s="232"/>
    </row>
    <row r="124" spans="1:10" s="2" customFormat="1" x14ac:dyDescent="0.25">
      <c r="A124" s="218"/>
      <c r="B124" s="219"/>
      <c r="C124" s="228"/>
      <c r="D124" s="234" t="s">
        <v>101</v>
      </c>
      <c r="E124" s="230">
        <v>2057255328</v>
      </c>
      <c r="F124" s="235">
        <f t="shared" ref="F124" si="25">G124/E124*100%</f>
        <v>0.12039616795684391</v>
      </c>
      <c r="G124" s="230">
        <f>247685658</f>
        <v>247685658</v>
      </c>
      <c r="H124" s="235">
        <f t="shared" ref="H124" si="26">G124/E124*100%</f>
        <v>0.12039616795684391</v>
      </c>
      <c r="I124" s="236"/>
      <c r="J124" s="232"/>
    </row>
    <row r="125" spans="1:10" s="2" customFormat="1" x14ac:dyDescent="0.25">
      <c r="A125" s="218"/>
      <c r="B125" s="219"/>
      <c r="C125" s="224" t="s">
        <v>40</v>
      </c>
      <c r="D125" s="225"/>
      <c r="E125" s="237"/>
      <c r="F125" s="238"/>
      <c r="G125" s="237"/>
      <c r="H125" s="238"/>
      <c r="I125" s="243"/>
      <c r="J125" s="227"/>
    </row>
    <row r="126" spans="1:10" s="2" customFormat="1" ht="25.5" x14ac:dyDescent="0.25">
      <c r="A126" s="218"/>
      <c r="B126" s="219"/>
      <c r="C126" s="228"/>
      <c r="D126" s="229" t="s">
        <v>99</v>
      </c>
      <c r="E126" s="230"/>
      <c r="F126" s="239"/>
      <c r="G126" s="230"/>
      <c r="H126" s="239"/>
      <c r="I126" s="231"/>
      <c r="J126" s="232"/>
    </row>
    <row r="127" spans="1:10" s="2" customFormat="1" x14ac:dyDescent="0.25">
      <c r="A127" s="218"/>
      <c r="B127" s="219"/>
      <c r="C127" s="228"/>
      <c r="D127" s="233" t="s">
        <v>261</v>
      </c>
      <c r="E127" s="230"/>
      <c r="F127" s="239"/>
      <c r="G127" s="230"/>
      <c r="H127" s="239"/>
      <c r="I127" s="231"/>
      <c r="J127" s="232"/>
    </row>
    <row r="128" spans="1:10" s="2" customFormat="1" x14ac:dyDescent="0.25">
      <c r="A128" s="218"/>
      <c r="B128" s="219"/>
      <c r="C128" s="228"/>
      <c r="D128" s="234" t="s">
        <v>101</v>
      </c>
      <c r="E128" s="230">
        <v>870474720</v>
      </c>
      <c r="F128" s="235">
        <f t="shared" ref="F128" si="27">G128/E128*100%</f>
        <v>0.49819909761423053</v>
      </c>
      <c r="G128" s="230">
        <f>433669720</f>
        <v>433669720</v>
      </c>
      <c r="H128" s="235">
        <f t="shared" ref="H128" si="28">G128/E128*100%</f>
        <v>0.49819909761423053</v>
      </c>
      <c r="I128" s="236"/>
      <c r="J128" s="232"/>
    </row>
    <row r="129" spans="1:10" s="2" customFormat="1" x14ac:dyDescent="0.25">
      <c r="A129" s="218"/>
      <c r="B129" s="219"/>
      <c r="C129" s="224" t="s">
        <v>41</v>
      </c>
      <c r="D129" s="225"/>
      <c r="E129" s="237"/>
      <c r="F129" s="238"/>
      <c r="G129" s="237"/>
      <c r="H129" s="238"/>
      <c r="I129" s="226"/>
      <c r="J129" s="227"/>
    </row>
    <row r="130" spans="1:10" s="2" customFormat="1" ht="25.5" x14ac:dyDescent="0.25">
      <c r="A130" s="218"/>
      <c r="B130" s="219"/>
      <c r="C130" s="228"/>
      <c r="D130" s="229" t="s">
        <v>99</v>
      </c>
      <c r="E130" s="230"/>
      <c r="F130" s="239"/>
      <c r="G130" s="230"/>
      <c r="H130" s="240"/>
      <c r="I130" s="236"/>
      <c r="J130" s="232"/>
    </row>
    <row r="131" spans="1:10" s="2" customFormat="1" x14ac:dyDescent="0.25">
      <c r="A131" s="218"/>
      <c r="B131" s="219"/>
      <c r="C131" s="228"/>
      <c r="D131" s="233" t="s">
        <v>261</v>
      </c>
      <c r="E131" s="230"/>
      <c r="F131" s="239"/>
      <c r="G131" s="230"/>
      <c r="H131" s="240"/>
      <c r="I131" s="236"/>
      <c r="J131" s="232"/>
    </row>
    <row r="132" spans="1:10" s="2" customFormat="1" x14ac:dyDescent="0.25">
      <c r="A132" s="218"/>
      <c r="B132" s="219"/>
      <c r="C132" s="228"/>
      <c r="D132" s="234" t="s">
        <v>101</v>
      </c>
      <c r="E132" s="230">
        <v>3539546088</v>
      </c>
      <c r="F132" s="235">
        <f t="shared" ref="F132" si="29">G132/E132*100%</f>
        <v>0.12230553783934794</v>
      </c>
      <c r="G132" s="230">
        <v>432906088</v>
      </c>
      <c r="H132" s="235">
        <f t="shared" ref="H132" si="30">G132/E132*100%</f>
        <v>0.12230553783934794</v>
      </c>
      <c r="I132" s="236"/>
      <c r="J132" s="232"/>
    </row>
    <row r="133" spans="1:10" s="2" customFormat="1" x14ac:dyDescent="0.25">
      <c r="A133" s="195"/>
      <c r="B133" s="195"/>
      <c r="C133" s="195"/>
      <c r="D133" s="195"/>
      <c r="E133" s="195"/>
      <c r="F133" s="195"/>
      <c r="G133" s="195"/>
      <c r="H133" s="195"/>
      <c r="I133" s="195"/>
      <c r="J133" s="196"/>
    </row>
    <row r="134" spans="1:10" s="2" customFormat="1" x14ac:dyDescent="0.25">
      <c r="A134" s="195"/>
      <c r="B134" s="195"/>
      <c r="C134" s="195"/>
      <c r="D134" s="195"/>
      <c r="E134" s="195"/>
      <c r="F134" s="195"/>
      <c r="G134" s="195"/>
      <c r="H134" s="195"/>
      <c r="I134" s="195"/>
      <c r="J134" s="196"/>
    </row>
    <row r="135" spans="1:10" s="2" customFormat="1" x14ac:dyDescent="0.25">
      <c r="A135" s="195"/>
      <c r="B135" s="195"/>
      <c r="C135" s="195"/>
      <c r="D135" s="195"/>
      <c r="E135" s="195"/>
      <c r="F135" s="195"/>
      <c r="G135" s="195"/>
      <c r="H135" s="195"/>
      <c r="I135" s="195"/>
      <c r="J135" s="196"/>
    </row>
    <row r="136" spans="1:10" s="2" customFormat="1" x14ac:dyDescent="0.25">
      <c r="A136" s="195"/>
      <c r="B136" s="195"/>
      <c r="C136" s="195"/>
      <c r="D136" s="195"/>
      <c r="E136" s="195"/>
      <c r="F136" s="195"/>
      <c r="G136" s="195"/>
      <c r="H136" s="195"/>
      <c r="I136" s="195"/>
      <c r="J136" s="196"/>
    </row>
    <row r="137" spans="1:10" s="2" customFormat="1" x14ac:dyDescent="0.25">
      <c r="A137" s="195"/>
      <c r="B137" s="195"/>
      <c r="C137" s="195"/>
      <c r="D137" s="195"/>
      <c r="E137" s="195"/>
      <c r="F137" s="195"/>
      <c r="G137" s="195"/>
      <c r="H137" s="195"/>
      <c r="I137" s="195"/>
      <c r="J137" s="196"/>
    </row>
  </sheetData>
  <mergeCells count="38">
    <mergeCell ref="G99:H99"/>
    <mergeCell ref="A102:D102"/>
    <mergeCell ref="A95:J95"/>
    <mergeCell ref="A96:J96"/>
    <mergeCell ref="A98:A100"/>
    <mergeCell ref="B98:B100"/>
    <mergeCell ref="C98:C100"/>
    <mergeCell ref="D98:D100"/>
    <mergeCell ref="E98:E100"/>
    <mergeCell ref="F98:H98"/>
    <mergeCell ref="I98:I100"/>
    <mergeCell ref="J98:J100"/>
    <mergeCell ref="A94:J94"/>
    <mergeCell ref="G7:H7"/>
    <mergeCell ref="A10:D10"/>
    <mergeCell ref="A52:J52"/>
    <mergeCell ref="A53:J53"/>
    <mergeCell ref="A54:J54"/>
    <mergeCell ref="A56:A58"/>
    <mergeCell ref="B56:B58"/>
    <mergeCell ref="C56:C58"/>
    <mergeCell ref="D56:D58"/>
    <mergeCell ref="E56:E58"/>
    <mergeCell ref="F56:H56"/>
    <mergeCell ref="I56:I58"/>
    <mergeCell ref="J56:J58"/>
    <mergeCell ref="G57:H57"/>
    <mergeCell ref="A60:D60"/>
    <mergeCell ref="A2:J2"/>
    <mergeCell ref="A3:J3"/>
    <mergeCell ref="A6:A8"/>
    <mergeCell ref="B6:B8"/>
    <mergeCell ref="C6:C8"/>
    <mergeCell ref="D6:D8"/>
    <mergeCell ref="E6:E8"/>
    <mergeCell ref="F6:H6"/>
    <mergeCell ref="I6:I8"/>
    <mergeCell ref="J6:J8"/>
  </mergeCells>
  <printOptions horizontalCentered="1"/>
  <pageMargins left="0.2" right="0.7" top="0.5" bottom="0.75" header="0.3" footer="0.3"/>
  <pageSetup paperSize="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137"/>
  <sheetViews>
    <sheetView topLeftCell="A109" workbookViewId="0">
      <selection activeCell="A109" sqref="A1:XFD1048576"/>
    </sheetView>
  </sheetViews>
  <sheetFormatPr defaultColWidth="8.7109375" defaultRowHeight="15" x14ac:dyDescent="0.25"/>
  <cols>
    <col min="1" max="1" width="4" style="2" customWidth="1"/>
    <col min="2" max="2" width="22.85546875" style="2" customWidth="1"/>
    <col min="3" max="3" width="21.85546875" style="2" customWidth="1"/>
    <col min="4" max="4" width="39.140625" style="2" bestFit="1" customWidth="1"/>
    <col min="5" max="5" width="16" style="2" customWidth="1"/>
    <col min="6" max="6" width="7" style="2" customWidth="1"/>
    <col min="7" max="7" width="15.85546875" style="2" bestFit="1" customWidth="1"/>
    <col min="8" max="8" width="6.5703125" style="2" customWidth="1"/>
    <col min="9" max="9" width="8.5703125" style="2" bestFit="1" customWidth="1"/>
    <col min="10" max="10" width="9.85546875" style="51" customWidth="1"/>
    <col min="11" max="11" width="15.7109375" style="1" customWidth="1"/>
    <col min="12" max="16" width="8.7109375" style="2"/>
    <col min="17" max="17" width="18" style="2" bestFit="1" customWidth="1"/>
    <col min="18" max="16384" width="8.7109375" style="2"/>
  </cols>
  <sheetData>
    <row r="1" spans="1:17" x14ac:dyDescent="0.25">
      <c r="A1" s="195"/>
      <c r="B1" s="195"/>
      <c r="C1" s="195"/>
      <c r="D1" s="195"/>
      <c r="E1" s="195"/>
      <c r="F1" s="195"/>
      <c r="G1" s="195"/>
      <c r="H1" s="195"/>
      <c r="I1" s="195"/>
      <c r="J1" s="196"/>
    </row>
    <row r="2" spans="1:17" x14ac:dyDescent="0.25">
      <c r="A2" s="273" t="s">
        <v>362</v>
      </c>
      <c r="B2" s="273"/>
      <c r="C2" s="273"/>
      <c r="D2" s="273"/>
      <c r="E2" s="273"/>
      <c r="F2" s="273"/>
      <c r="G2" s="273"/>
      <c r="H2" s="273"/>
      <c r="I2" s="273"/>
      <c r="J2" s="273"/>
    </row>
    <row r="3" spans="1:17" x14ac:dyDescent="0.25">
      <c r="A3" s="273" t="s">
        <v>117</v>
      </c>
      <c r="B3" s="273"/>
      <c r="C3" s="273"/>
      <c r="D3" s="273"/>
      <c r="E3" s="273"/>
      <c r="F3" s="273"/>
      <c r="G3" s="273"/>
      <c r="H3" s="273"/>
      <c r="I3" s="273"/>
      <c r="J3" s="273"/>
    </row>
    <row r="4" spans="1:17" x14ac:dyDescent="0.25">
      <c r="A4" s="195"/>
      <c r="B4" s="197"/>
      <c r="C4" s="197"/>
      <c r="D4" s="198"/>
      <c r="E4" s="199"/>
      <c r="F4" s="200"/>
      <c r="G4" s="201"/>
      <c r="H4" s="202"/>
      <c r="I4" s="202"/>
      <c r="J4" s="203"/>
    </row>
    <row r="5" spans="1:17" x14ac:dyDescent="0.25">
      <c r="A5" s="204" t="s">
        <v>373</v>
      </c>
      <c r="B5" s="195"/>
      <c r="C5" s="195"/>
      <c r="D5" s="205"/>
      <c r="E5" s="199"/>
      <c r="F5" s="197"/>
      <c r="G5" s="201"/>
      <c r="H5" s="202"/>
      <c r="I5" s="202"/>
      <c r="J5" s="203"/>
    </row>
    <row r="6" spans="1:17" ht="22.5" customHeight="1" x14ac:dyDescent="0.25">
      <c r="A6" s="274" t="s">
        <v>109</v>
      </c>
      <c r="B6" s="274" t="s">
        <v>118</v>
      </c>
      <c r="C6" s="274" t="s">
        <v>119</v>
      </c>
      <c r="D6" s="274" t="s">
        <v>107</v>
      </c>
      <c r="E6" s="277" t="s">
        <v>108</v>
      </c>
      <c r="F6" s="278" t="s">
        <v>102</v>
      </c>
      <c r="G6" s="279"/>
      <c r="H6" s="280"/>
      <c r="I6" s="281" t="s">
        <v>358</v>
      </c>
      <c r="J6" s="281" t="s">
        <v>1</v>
      </c>
    </row>
    <row r="7" spans="1:17" ht="23.25" customHeight="1" x14ac:dyDescent="0.25">
      <c r="A7" s="275"/>
      <c r="B7" s="275"/>
      <c r="C7" s="275"/>
      <c r="D7" s="275"/>
      <c r="E7" s="275"/>
      <c r="F7" s="244" t="s">
        <v>103</v>
      </c>
      <c r="G7" s="278" t="s">
        <v>104</v>
      </c>
      <c r="H7" s="280"/>
      <c r="I7" s="281"/>
      <c r="J7" s="281"/>
    </row>
    <row r="8" spans="1:17" x14ac:dyDescent="0.25">
      <c r="A8" s="276"/>
      <c r="B8" s="276"/>
      <c r="C8" s="276"/>
      <c r="D8" s="276"/>
      <c r="E8" s="276"/>
      <c r="F8" s="244" t="s">
        <v>105</v>
      </c>
      <c r="G8" s="244" t="s">
        <v>106</v>
      </c>
      <c r="H8" s="207" t="s">
        <v>105</v>
      </c>
      <c r="I8" s="281"/>
      <c r="J8" s="281"/>
    </row>
    <row r="9" spans="1:17" ht="19.5" customHeight="1" x14ac:dyDescent="0.25">
      <c r="A9" s="208">
        <v>1</v>
      </c>
      <c r="B9" s="208">
        <v>2</v>
      </c>
      <c r="C9" s="208">
        <v>3</v>
      </c>
      <c r="D9" s="208">
        <v>4</v>
      </c>
      <c r="E9" s="208">
        <v>5</v>
      </c>
      <c r="F9" s="208">
        <v>7</v>
      </c>
      <c r="G9" s="208">
        <v>8</v>
      </c>
      <c r="H9" s="208">
        <v>9</v>
      </c>
      <c r="I9" s="208">
        <v>10</v>
      </c>
      <c r="J9" s="208">
        <v>11</v>
      </c>
      <c r="Q9" s="190"/>
    </row>
    <row r="10" spans="1:17" ht="30.75" customHeight="1" x14ac:dyDescent="0.25">
      <c r="A10" s="282" t="s">
        <v>120</v>
      </c>
      <c r="B10" s="283"/>
      <c r="C10" s="283"/>
      <c r="D10" s="284"/>
      <c r="E10" s="209" t="e">
        <f>E11+#REF!+#REF!+#REF!+#REF!+#REF!+#REF!+#REF!+#REF!+#REF!</f>
        <v>#REF!</v>
      </c>
      <c r="F10" s="210" t="e">
        <f>K10/E10*100%</f>
        <v>#REF!</v>
      </c>
      <c r="G10" s="209" t="e">
        <f>G11+#REF!+#REF!+#REF!+#REF!+#REF!+#REF!+#REF!+#REF!+#REF!</f>
        <v>#REF!</v>
      </c>
      <c r="H10" s="210" t="e">
        <f>G10/E10*100%</f>
        <v>#REF!</v>
      </c>
      <c r="I10" s="210"/>
      <c r="J10" s="211"/>
      <c r="K10" s="14" t="e">
        <f>K11+#REF!+#REF!+#REF!+#REF!+#REF!+#REF!+#REF!+#REF!+#REF!</f>
        <v>#REF!</v>
      </c>
      <c r="Q10" s="190">
        <v>1213208971484</v>
      </c>
    </row>
    <row r="11" spans="1:17" ht="56.25" customHeight="1" x14ac:dyDescent="0.25">
      <c r="A11" s="212">
        <v>1</v>
      </c>
      <c r="B11" s="213" t="s">
        <v>121</v>
      </c>
      <c r="C11" s="214"/>
      <c r="D11" s="214"/>
      <c r="E11" s="215">
        <f>SUM(E12:E47)</f>
        <v>34911330952</v>
      </c>
      <c r="F11" s="216">
        <f>G11/E11*100%</f>
        <v>0.29117770181768576</v>
      </c>
      <c r="G11" s="215">
        <f>SUM(G12:G47)</f>
        <v>10165401114</v>
      </c>
      <c r="H11" s="216">
        <f>G11/E11*100%</f>
        <v>0.29117770181768576</v>
      </c>
      <c r="I11" s="216"/>
      <c r="J11" s="217"/>
      <c r="K11" s="1">
        <v>3080708114</v>
      </c>
      <c r="Q11" s="191" t="e">
        <f>E10-Q10</f>
        <v>#REF!</v>
      </c>
    </row>
    <row r="12" spans="1:17" x14ac:dyDescent="0.25">
      <c r="A12" s="218"/>
      <c r="B12" s="219"/>
      <c r="C12" s="220" t="s">
        <v>35</v>
      </c>
      <c r="D12" s="221"/>
      <c r="E12" s="222"/>
      <c r="F12" s="222"/>
      <c r="G12" s="222"/>
      <c r="H12" s="222"/>
      <c r="I12" s="222"/>
      <c r="J12" s="223"/>
    </row>
    <row r="13" spans="1:17" x14ac:dyDescent="0.25">
      <c r="A13" s="218"/>
      <c r="B13" s="219"/>
      <c r="C13" s="224" t="s">
        <v>129</v>
      </c>
      <c r="D13" s="225"/>
      <c r="E13" s="226"/>
      <c r="F13" s="226"/>
      <c r="G13" s="226"/>
      <c r="H13" s="226"/>
      <c r="I13" s="226"/>
      <c r="J13" s="227"/>
    </row>
    <row r="14" spans="1:17" ht="25.5" x14ac:dyDescent="0.25">
      <c r="A14" s="218"/>
      <c r="B14" s="219"/>
      <c r="C14" s="228"/>
      <c r="D14" s="229" t="s">
        <v>99</v>
      </c>
      <c r="E14" s="230"/>
      <c r="F14" s="231"/>
      <c r="G14" s="230"/>
      <c r="H14" s="231"/>
      <c r="I14" s="231"/>
      <c r="J14" s="232"/>
    </row>
    <row r="15" spans="1:17" x14ac:dyDescent="0.25">
      <c r="A15" s="218"/>
      <c r="B15" s="219"/>
      <c r="C15" s="228"/>
      <c r="D15" s="233" t="s">
        <v>261</v>
      </c>
      <c r="E15" s="230"/>
      <c r="F15" s="231"/>
      <c r="G15" s="230"/>
      <c r="H15" s="231"/>
      <c r="I15" s="231"/>
      <c r="J15" s="232"/>
    </row>
    <row r="16" spans="1:17" ht="25.5" x14ac:dyDescent="0.25">
      <c r="A16" s="218"/>
      <c r="B16" s="219"/>
      <c r="C16" s="228"/>
      <c r="D16" s="234" t="s">
        <v>100</v>
      </c>
      <c r="E16" s="230">
        <v>2975640000</v>
      </c>
      <c r="F16" s="235">
        <f>G16/E16*100%</f>
        <v>0.30344228468497536</v>
      </c>
      <c r="G16" s="230">
        <f>902935000</f>
        <v>902935000</v>
      </c>
      <c r="H16" s="235">
        <f>G16/E16*100%</f>
        <v>0.30344228468497536</v>
      </c>
      <c r="I16" s="236"/>
      <c r="J16" s="232"/>
      <c r="K16" s="1">
        <v>902935000</v>
      </c>
    </row>
    <row r="17" spans="1:11" x14ac:dyDescent="0.25">
      <c r="A17" s="218"/>
      <c r="B17" s="219"/>
      <c r="C17" s="228"/>
      <c r="D17" s="234" t="s">
        <v>101</v>
      </c>
      <c r="E17" s="230">
        <v>1803960912</v>
      </c>
      <c r="F17" s="235">
        <f>G17/E17*100%</f>
        <v>0.70144491689518385</v>
      </c>
      <c r="G17" s="230">
        <f>898853212+366526000</f>
        <v>1265379212</v>
      </c>
      <c r="H17" s="235">
        <f t="shared" ref="H17" si="0">G17/E17*100%</f>
        <v>0.70144491689518385</v>
      </c>
      <c r="I17" s="236"/>
      <c r="J17" s="232"/>
      <c r="K17" s="1">
        <v>1265379212</v>
      </c>
    </row>
    <row r="18" spans="1:11" x14ac:dyDescent="0.25">
      <c r="A18" s="218"/>
      <c r="B18" s="219"/>
      <c r="C18" s="224" t="s">
        <v>36</v>
      </c>
      <c r="D18" s="225"/>
      <c r="E18" s="237"/>
      <c r="F18" s="238"/>
      <c r="G18" s="237"/>
      <c r="H18" s="238"/>
      <c r="I18" s="226"/>
      <c r="J18" s="227"/>
    </row>
    <row r="19" spans="1:11" ht="25.5" x14ac:dyDescent="0.25">
      <c r="A19" s="218"/>
      <c r="B19" s="219"/>
      <c r="C19" s="228"/>
      <c r="D19" s="229" t="s">
        <v>99</v>
      </c>
      <c r="E19" s="230"/>
      <c r="F19" s="239"/>
      <c r="G19" s="230"/>
      <c r="H19" s="240"/>
      <c r="I19" s="236"/>
      <c r="J19" s="232"/>
    </row>
    <row r="20" spans="1:11" x14ac:dyDescent="0.25">
      <c r="A20" s="218"/>
      <c r="B20" s="219"/>
      <c r="C20" s="228"/>
      <c r="D20" s="233" t="s">
        <v>261</v>
      </c>
      <c r="E20" s="230"/>
      <c r="F20" s="239"/>
      <c r="G20" s="230"/>
      <c r="H20" s="240"/>
      <c r="I20" s="236"/>
      <c r="J20" s="232"/>
    </row>
    <row r="21" spans="1:11" ht="25.5" x14ac:dyDescent="0.25">
      <c r="A21" s="218"/>
      <c r="B21" s="219"/>
      <c r="C21" s="228"/>
      <c r="D21" s="234" t="s">
        <v>100</v>
      </c>
      <c r="E21" s="230">
        <v>2695640000</v>
      </c>
      <c r="F21" s="235">
        <f>G21/E21*100%</f>
        <v>0.28644032585953616</v>
      </c>
      <c r="G21" s="230">
        <f>35640000+736500000</f>
        <v>772140000</v>
      </c>
      <c r="H21" s="235">
        <f t="shared" ref="H21:H22" si="1">G21/E21*100%</f>
        <v>0.28644032585953616</v>
      </c>
      <c r="I21" s="236"/>
      <c r="J21" s="232"/>
      <c r="K21" s="1">
        <v>772140000</v>
      </c>
    </row>
    <row r="22" spans="1:11" x14ac:dyDescent="0.25">
      <c r="A22" s="218"/>
      <c r="B22" s="219"/>
      <c r="C22" s="228"/>
      <c r="D22" s="234" t="s">
        <v>101</v>
      </c>
      <c r="E22" s="230">
        <v>1635097968</v>
      </c>
      <c r="F22" s="235">
        <f>G22/E22*100%</f>
        <v>0.46306189770764855</v>
      </c>
      <c r="G22" s="230">
        <f>757151568</f>
        <v>757151568</v>
      </c>
      <c r="H22" s="235">
        <f t="shared" si="1"/>
        <v>0.46306189770764855</v>
      </c>
      <c r="I22" s="236"/>
      <c r="J22" s="232"/>
      <c r="K22" s="1">
        <v>757151538</v>
      </c>
    </row>
    <row r="23" spans="1:11" x14ac:dyDescent="0.25">
      <c r="A23" s="218"/>
      <c r="B23" s="219"/>
      <c r="C23" s="224" t="s">
        <v>37</v>
      </c>
      <c r="D23" s="225"/>
      <c r="E23" s="237"/>
      <c r="F23" s="238"/>
      <c r="G23" s="237"/>
      <c r="H23" s="238"/>
      <c r="I23" s="226"/>
      <c r="J23" s="227"/>
    </row>
    <row r="24" spans="1:11" ht="25.5" x14ac:dyDescent="0.25">
      <c r="A24" s="218"/>
      <c r="B24" s="219"/>
      <c r="C24" s="228"/>
      <c r="D24" s="229" t="s">
        <v>99</v>
      </c>
      <c r="E24" s="230"/>
      <c r="F24" s="239"/>
      <c r="G24" s="230"/>
      <c r="H24" s="239"/>
      <c r="I24" s="231"/>
      <c r="J24" s="232"/>
    </row>
    <row r="25" spans="1:11" x14ac:dyDescent="0.25">
      <c r="A25" s="218"/>
      <c r="B25" s="219"/>
      <c r="C25" s="228"/>
      <c r="D25" s="233" t="s">
        <v>261</v>
      </c>
      <c r="E25" s="230"/>
      <c r="F25" s="239"/>
      <c r="G25" s="230"/>
      <c r="H25" s="239"/>
      <c r="I25" s="231"/>
      <c r="J25" s="232"/>
    </row>
    <row r="26" spans="1:11" ht="25.5" x14ac:dyDescent="0.25">
      <c r="A26" s="218"/>
      <c r="B26" s="219"/>
      <c r="C26" s="228"/>
      <c r="D26" s="234" t="s">
        <v>100</v>
      </c>
      <c r="E26" s="230">
        <v>2905640000</v>
      </c>
      <c r="F26" s="235">
        <f>G26/E26*100%</f>
        <v>5.5554025963298961E-2</v>
      </c>
      <c r="G26" s="230">
        <f>161420000</f>
        <v>161420000</v>
      </c>
      <c r="H26" s="235">
        <f t="shared" ref="H26:H27" si="2">G26/E26*100%</f>
        <v>5.5554025963298961E-2</v>
      </c>
      <c r="I26" s="241"/>
      <c r="J26" s="232"/>
      <c r="K26" s="1">
        <v>161420000</v>
      </c>
    </row>
    <row r="27" spans="1:11" x14ac:dyDescent="0.25">
      <c r="A27" s="218"/>
      <c r="B27" s="219"/>
      <c r="C27" s="228"/>
      <c r="D27" s="234" t="s">
        <v>101</v>
      </c>
      <c r="E27" s="230">
        <v>1761745176</v>
      </c>
      <c r="F27" s="235">
        <f>G27/E27*100%</f>
        <v>0.16122534170628544</v>
      </c>
      <c r="G27" s="230">
        <f>284037968</f>
        <v>284037968</v>
      </c>
      <c r="H27" s="235">
        <f t="shared" si="2"/>
        <v>0.16122534170628544</v>
      </c>
      <c r="I27" s="236"/>
      <c r="J27" s="232"/>
      <c r="K27" s="1">
        <v>284037968</v>
      </c>
    </row>
    <row r="28" spans="1:11" x14ac:dyDescent="0.25">
      <c r="A28" s="218"/>
      <c r="B28" s="219"/>
      <c r="C28" s="224" t="s">
        <v>38</v>
      </c>
      <c r="D28" s="225"/>
      <c r="E28" s="237"/>
      <c r="F28" s="238"/>
      <c r="G28" s="237"/>
      <c r="H28" s="238"/>
      <c r="I28" s="226"/>
      <c r="J28" s="227"/>
    </row>
    <row r="29" spans="1:11" ht="25.5" x14ac:dyDescent="0.25">
      <c r="A29" s="218"/>
      <c r="B29" s="219"/>
      <c r="C29" s="228"/>
      <c r="D29" s="229" t="s">
        <v>99</v>
      </c>
      <c r="E29" s="230"/>
      <c r="F29" s="239"/>
      <c r="G29" s="230"/>
      <c r="H29" s="240"/>
      <c r="I29" s="236"/>
      <c r="J29" s="232"/>
    </row>
    <row r="30" spans="1:11" x14ac:dyDescent="0.25">
      <c r="A30" s="218"/>
      <c r="B30" s="219"/>
      <c r="C30" s="228"/>
      <c r="D30" s="233" t="s">
        <v>261</v>
      </c>
      <c r="E30" s="230"/>
      <c r="F30" s="239"/>
      <c r="G30" s="230"/>
      <c r="H30" s="240"/>
      <c r="I30" s="236"/>
      <c r="J30" s="232"/>
    </row>
    <row r="31" spans="1:11" ht="25.5" x14ac:dyDescent="0.25">
      <c r="A31" s="218"/>
      <c r="B31" s="219"/>
      <c r="C31" s="228"/>
      <c r="D31" s="234" t="s">
        <v>100</v>
      </c>
      <c r="E31" s="230">
        <v>2480900000</v>
      </c>
      <c r="F31" s="235">
        <f t="shared" ref="F31:F32" si="3">G31/E31*100%</f>
        <v>0.63133338707727038</v>
      </c>
      <c r="G31" s="230">
        <f>12875000+1553400000</f>
        <v>1566275000</v>
      </c>
      <c r="H31" s="235">
        <f t="shared" ref="H31:H32" si="4">G31/E31*100%</f>
        <v>0.63133338707727038</v>
      </c>
      <c r="I31" s="241"/>
      <c r="J31" s="232"/>
      <c r="K31" s="1">
        <v>1566275000</v>
      </c>
    </row>
    <row r="32" spans="1:11" x14ac:dyDescent="0.25">
      <c r="A32" s="218"/>
      <c r="B32" s="219"/>
      <c r="C32" s="228"/>
      <c r="D32" s="234" t="s">
        <v>101</v>
      </c>
      <c r="E32" s="230">
        <v>1508450760</v>
      </c>
      <c r="F32" s="235">
        <f t="shared" si="3"/>
        <v>0.42760480958622737</v>
      </c>
      <c r="G32" s="230">
        <f>607770800+37250000</f>
        <v>645020800</v>
      </c>
      <c r="H32" s="235">
        <f t="shared" si="4"/>
        <v>0.42760480958622737</v>
      </c>
      <c r="I32" s="242"/>
      <c r="J32" s="232"/>
      <c r="K32" s="1">
        <v>645020800</v>
      </c>
    </row>
    <row r="33" spans="1:11" x14ac:dyDescent="0.25">
      <c r="A33" s="218"/>
      <c r="B33" s="219"/>
      <c r="C33" s="224" t="s">
        <v>39</v>
      </c>
      <c r="D33" s="225"/>
      <c r="E33" s="237"/>
      <c r="F33" s="238"/>
      <c r="G33" s="237"/>
      <c r="H33" s="238"/>
      <c r="I33" s="226"/>
      <c r="J33" s="227"/>
    </row>
    <row r="34" spans="1:11" ht="25.5" x14ac:dyDescent="0.25">
      <c r="A34" s="218"/>
      <c r="B34" s="219"/>
      <c r="C34" s="228"/>
      <c r="D34" s="229" t="s">
        <v>99</v>
      </c>
      <c r="E34" s="230"/>
      <c r="F34" s="239"/>
      <c r="G34" s="230"/>
      <c r="H34" s="240"/>
      <c r="I34" s="236"/>
      <c r="J34" s="232"/>
    </row>
    <row r="35" spans="1:11" x14ac:dyDescent="0.25">
      <c r="A35" s="218"/>
      <c r="B35" s="219"/>
      <c r="C35" s="228"/>
      <c r="D35" s="233" t="s">
        <v>261</v>
      </c>
      <c r="E35" s="230"/>
      <c r="F35" s="239"/>
      <c r="G35" s="230"/>
      <c r="H35" s="240"/>
      <c r="I35" s="236"/>
      <c r="J35" s="232"/>
    </row>
    <row r="36" spans="1:11" ht="25.5" x14ac:dyDescent="0.25">
      <c r="A36" s="218"/>
      <c r="B36" s="219"/>
      <c r="C36" s="228"/>
      <c r="D36" s="234" t="s">
        <v>100</v>
      </c>
      <c r="E36" s="230">
        <v>3395640000</v>
      </c>
      <c r="F36" s="235">
        <f t="shared" ref="F36:F37" si="5">G36/E36*100%</f>
        <v>5.2479061384599077E-3</v>
      </c>
      <c r="G36" s="230">
        <f>17820000</f>
        <v>17820000</v>
      </c>
      <c r="H36" s="235">
        <f t="shared" ref="H36:H37" si="6">G36/E36*100%</f>
        <v>5.2479061384599077E-3</v>
      </c>
      <c r="I36" s="236"/>
      <c r="J36" s="232"/>
      <c r="K36" s="1">
        <v>17820000</v>
      </c>
    </row>
    <row r="37" spans="1:11" x14ac:dyDescent="0.25">
      <c r="A37" s="218"/>
      <c r="B37" s="219"/>
      <c r="C37" s="228"/>
      <c r="D37" s="234" t="s">
        <v>101</v>
      </c>
      <c r="E37" s="230">
        <v>2057255328</v>
      </c>
      <c r="F37" s="235">
        <f t="shared" si="5"/>
        <v>0.19785130822614158</v>
      </c>
      <c r="G37" s="230">
        <f>407030658</f>
        <v>407030658</v>
      </c>
      <c r="H37" s="235">
        <f t="shared" si="6"/>
        <v>0.19785130822614158</v>
      </c>
      <c r="I37" s="236"/>
      <c r="J37" s="232"/>
      <c r="K37" s="1">
        <v>407030658</v>
      </c>
    </row>
    <row r="38" spans="1:11" x14ac:dyDescent="0.25">
      <c r="A38" s="218"/>
      <c r="B38" s="219"/>
      <c r="C38" s="224" t="s">
        <v>40</v>
      </c>
      <c r="D38" s="225"/>
      <c r="E38" s="237"/>
      <c r="F38" s="238"/>
      <c r="G38" s="237"/>
      <c r="H38" s="238"/>
      <c r="I38" s="243"/>
      <c r="J38" s="227"/>
    </row>
    <row r="39" spans="1:11" ht="25.5" x14ac:dyDescent="0.25">
      <c r="A39" s="218"/>
      <c r="B39" s="219"/>
      <c r="C39" s="228"/>
      <c r="D39" s="229" t="s">
        <v>99</v>
      </c>
      <c r="E39" s="230"/>
      <c r="F39" s="239"/>
      <c r="G39" s="230"/>
      <c r="H39" s="239"/>
      <c r="I39" s="231"/>
      <c r="J39" s="232"/>
    </row>
    <row r="40" spans="1:11" x14ac:dyDescent="0.25">
      <c r="A40" s="218"/>
      <c r="B40" s="219"/>
      <c r="C40" s="228"/>
      <c r="D40" s="233" t="s">
        <v>261</v>
      </c>
      <c r="E40" s="230"/>
      <c r="F40" s="239"/>
      <c r="G40" s="230"/>
      <c r="H40" s="239"/>
      <c r="I40" s="231"/>
      <c r="J40" s="232"/>
    </row>
    <row r="41" spans="1:11" ht="25.5" x14ac:dyDescent="0.25">
      <c r="A41" s="218"/>
      <c r="B41" s="219"/>
      <c r="C41" s="228"/>
      <c r="D41" s="234" t="s">
        <v>100</v>
      </c>
      <c r="E41" s="230">
        <v>1430900000</v>
      </c>
      <c r="F41" s="235">
        <f t="shared" ref="F41:F42" si="7">G41/E41*100%</f>
        <v>9.8865119854636946E-2</v>
      </c>
      <c r="G41" s="230">
        <f>141466100</f>
        <v>141466100</v>
      </c>
      <c r="H41" s="235">
        <f t="shared" ref="H41:H42" si="8">G41/E41*100%</f>
        <v>9.8865119854636946E-2</v>
      </c>
      <c r="I41" s="236"/>
      <c r="J41" s="232"/>
      <c r="K41" s="1">
        <v>141466100</v>
      </c>
    </row>
    <row r="42" spans="1:11" x14ac:dyDescent="0.25">
      <c r="A42" s="218"/>
      <c r="B42" s="219"/>
      <c r="C42" s="228"/>
      <c r="D42" s="234" t="s">
        <v>101</v>
      </c>
      <c r="E42" s="230">
        <v>870474720</v>
      </c>
      <c r="F42" s="235">
        <f t="shared" si="7"/>
        <v>0.49819909761423053</v>
      </c>
      <c r="G42" s="230">
        <f>433669720</f>
        <v>433669720</v>
      </c>
      <c r="H42" s="235">
        <f t="shared" si="8"/>
        <v>0.49819909761423053</v>
      </c>
      <c r="I42" s="236"/>
      <c r="J42" s="232"/>
      <c r="K42" s="1">
        <v>433669720</v>
      </c>
    </row>
    <row r="43" spans="1:11" x14ac:dyDescent="0.25">
      <c r="A43" s="218"/>
      <c r="B43" s="219"/>
      <c r="C43" s="224" t="s">
        <v>41</v>
      </c>
      <c r="D43" s="225"/>
      <c r="E43" s="237"/>
      <c r="F43" s="238"/>
      <c r="G43" s="237"/>
      <c r="H43" s="238"/>
      <c r="I43" s="226"/>
      <c r="J43" s="227"/>
    </row>
    <row r="44" spans="1:11" ht="25.5" x14ac:dyDescent="0.25">
      <c r="A44" s="218"/>
      <c r="B44" s="219"/>
      <c r="C44" s="228"/>
      <c r="D44" s="229" t="s">
        <v>99</v>
      </c>
      <c r="E44" s="230"/>
      <c r="F44" s="239"/>
      <c r="G44" s="230"/>
      <c r="H44" s="240"/>
      <c r="I44" s="236"/>
      <c r="J44" s="232"/>
    </row>
    <row r="45" spans="1:11" x14ac:dyDescent="0.25">
      <c r="A45" s="218"/>
      <c r="B45" s="219"/>
      <c r="C45" s="228"/>
      <c r="D45" s="233" t="s">
        <v>261</v>
      </c>
      <c r="E45" s="230"/>
      <c r="F45" s="239"/>
      <c r="G45" s="230"/>
      <c r="H45" s="240"/>
      <c r="I45" s="236"/>
      <c r="J45" s="232"/>
    </row>
    <row r="46" spans="1:11" ht="25.5" x14ac:dyDescent="0.25">
      <c r="A46" s="218"/>
      <c r="B46" s="219"/>
      <c r="C46" s="228"/>
      <c r="D46" s="234" t="s">
        <v>100</v>
      </c>
      <c r="E46" s="230">
        <v>5850440000</v>
      </c>
      <c r="F46" s="235">
        <f t="shared" ref="F46:F47" si="9">G46/E46*100%</f>
        <v>0.40020066866765575</v>
      </c>
      <c r="G46" s="230">
        <f>2341350000</f>
        <v>2341350000</v>
      </c>
      <c r="H46" s="235">
        <f t="shared" ref="H46:H47" si="10">G46/E46*100%</f>
        <v>0.40020066866765575</v>
      </c>
      <c r="I46" s="236"/>
      <c r="J46" s="232"/>
      <c r="K46" s="1">
        <v>2341350000</v>
      </c>
    </row>
    <row r="47" spans="1:11" x14ac:dyDescent="0.25">
      <c r="A47" s="218"/>
      <c r="B47" s="219"/>
      <c r="C47" s="228"/>
      <c r="D47" s="234" t="s">
        <v>101</v>
      </c>
      <c r="E47" s="230">
        <v>3539546088</v>
      </c>
      <c r="F47" s="235">
        <f t="shared" si="9"/>
        <v>0.13270206866140968</v>
      </c>
      <c r="G47" s="230">
        <f>432906088+36799000</f>
        <v>469705088</v>
      </c>
      <c r="H47" s="235">
        <f t="shared" si="10"/>
        <v>0.13270206866140968</v>
      </c>
      <c r="I47" s="236"/>
      <c r="J47" s="232"/>
      <c r="K47" s="1">
        <v>469705088</v>
      </c>
    </row>
    <row r="48" spans="1:11" x14ac:dyDescent="0.25">
      <c r="A48" s="195"/>
      <c r="B48" s="195"/>
      <c r="C48" s="195"/>
      <c r="D48" s="195"/>
      <c r="E48" s="195"/>
      <c r="F48" s="195"/>
      <c r="G48" s="195"/>
      <c r="H48" s="195"/>
      <c r="I48" s="195"/>
      <c r="J48" s="196"/>
    </row>
    <row r="49" spans="1:10" s="2" customFormat="1" x14ac:dyDescent="0.25">
      <c r="A49" s="195"/>
      <c r="B49" s="195"/>
      <c r="C49" s="195"/>
      <c r="D49" s="195"/>
      <c r="E49" s="195"/>
      <c r="F49" s="195"/>
      <c r="G49" s="195"/>
      <c r="H49" s="195"/>
      <c r="I49" s="195"/>
      <c r="J49" s="196"/>
    </row>
    <row r="50" spans="1:10" s="2" customFormat="1" x14ac:dyDescent="0.25">
      <c r="A50" s="195"/>
      <c r="B50" s="195"/>
      <c r="C50" s="195"/>
      <c r="D50" s="195"/>
      <c r="E50" s="195"/>
      <c r="F50" s="195"/>
      <c r="G50" s="195"/>
      <c r="H50" s="195"/>
      <c r="I50" s="195"/>
      <c r="J50" s="196"/>
    </row>
    <row r="51" spans="1:10" s="2" customFormat="1" x14ac:dyDescent="0.25">
      <c r="A51" s="195"/>
      <c r="B51" s="195"/>
      <c r="C51" s="195"/>
      <c r="D51" s="195"/>
      <c r="E51" s="195"/>
      <c r="F51" s="195"/>
      <c r="G51" s="195"/>
      <c r="H51" s="195"/>
      <c r="I51" s="195"/>
      <c r="J51" s="196"/>
    </row>
    <row r="52" spans="1:10" s="2" customFormat="1" x14ac:dyDescent="0.25">
      <c r="A52" s="273" t="s">
        <v>362</v>
      </c>
      <c r="B52" s="273"/>
      <c r="C52" s="273"/>
      <c r="D52" s="273"/>
      <c r="E52" s="273"/>
      <c r="F52" s="273"/>
      <c r="G52" s="273"/>
      <c r="H52" s="273"/>
      <c r="I52" s="273"/>
      <c r="J52" s="273"/>
    </row>
    <row r="53" spans="1:10" s="2" customFormat="1" x14ac:dyDescent="0.25">
      <c r="A53" s="273" t="s">
        <v>117</v>
      </c>
      <c r="B53" s="273"/>
      <c r="C53" s="273"/>
      <c r="D53" s="273"/>
      <c r="E53" s="273"/>
      <c r="F53" s="273"/>
      <c r="G53" s="273"/>
      <c r="H53" s="273"/>
      <c r="I53" s="273"/>
      <c r="J53" s="273"/>
    </row>
    <row r="54" spans="1:10" s="2" customFormat="1" x14ac:dyDescent="0.25">
      <c r="A54" s="285" t="s">
        <v>370</v>
      </c>
      <c r="B54" s="285"/>
      <c r="C54" s="285"/>
      <c r="D54" s="285"/>
      <c r="E54" s="285"/>
      <c r="F54" s="285"/>
      <c r="G54" s="285"/>
      <c r="H54" s="285"/>
      <c r="I54" s="285"/>
      <c r="J54" s="285"/>
    </row>
    <row r="55" spans="1:10" s="2" customFormat="1" x14ac:dyDescent="0.25">
      <c r="A55" s="204" t="s">
        <v>372</v>
      </c>
      <c r="B55" s="195"/>
      <c r="C55" s="195"/>
      <c r="D55" s="205"/>
      <c r="E55" s="199"/>
      <c r="F55" s="197"/>
      <c r="G55" s="201"/>
      <c r="H55" s="202"/>
      <c r="I55" s="202"/>
      <c r="J55" s="203"/>
    </row>
    <row r="56" spans="1:10" s="2" customFormat="1" x14ac:dyDescent="0.25">
      <c r="A56" s="274" t="s">
        <v>109</v>
      </c>
      <c r="B56" s="274" t="s">
        <v>118</v>
      </c>
      <c r="C56" s="274" t="s">
        <v>119</v>
      </c>
      <c r="D56" s="274" t="s">
        <v>107</v>
      </c>
      <c r="E56" s="277" t="s">
        <v>108</v>
      </c>
      <c r="F56" s="278" t="s">
        <v>102</v>
      </c>
      <c r="G56" s="279"/>
      <c r="H56" s="280"/>
      <c r="I56" s="281" t="s">
        <v>358</v>
      </c>
      <c r="J56" s="281" t="s">
        <v>1</v>
      </c>
    </row>
    <row r="57" spans="1:10" s="2" customFormat="1" x14ac:dyDescent="0.25">
      <c r="A57" s="275"/>
      <c r="B57" s="275"/>
      <c r="C57" s="275"/>
      <c r="D57" s="275"/>
      <c r="E57" s="275"/>
      <c r="F57" s="244" t="s">
        <v>103</v>
      </c>
      <c r="G57" s="278" t="s">
        <v>104</v>
      </c>
      <c r="H57" s="280"/>
      <c r="I57" s="281"/>
      <c r="J57" s="281"/>
    </row>
    <row r="58" spans="1:10" s="2" customFormat="1" x14ac:dyDescent="0.25">
      <c r="A58" s="276"/>
      <c r="B58" s="276"/>
      <c r="C58" s="276"/>
      <c r="D58" s="276"/>
      <c r="E58" s="276"/>
      <c r="F58" s="244" t="s">
        <v>105</v>
      </c>
      <c r="G58" s="244" t="s">
        <v>106</v>
      </c>
      <c r="H58" s="207" t="s">
        <v>105</v>
      </c>
      <c r="I58" s="281"/>
      <c r="J58" s="281"/>
    </row>
    <row r="59" spans="1:10" s="2" customFormat="1" x14ac:dyDescent="0.25">
      <c r="A59" s="208">
        <v>1</v>
      </c>
      <c r="B59" s="208">
        <v>2</v>
      </c>
      <c r="C59" s="208">
        <v>3</v>
      </c>
      <c r="D59" s="208">
        <v>4</v>
      </c>
      <c r="E59" s="208">
        <v>5</v>
      </c>
      <c r="F59" s="208">
        <v>7</v>
      </c>
      <c r="G59" s="208">
        <v>8</v>
      </c>
      <c r="H59" s="208">
        <v>9</v>
      </c>
      <c r="I59" s="208">
        <v>10</v>
      </c>
      <c r="J59" s="208">
        <v>11</v>
      </c>
    </row>
    <row r="60" spans="1:10" s="2" customFormat="1" x14ac:dyDescent="0.25">
      <c r="A60" s="282" t="s">
        <v>120</v>
      </c>
      <c r="B60" s="283"/>
      <c r="C60" s="283"/>
      <c r="D60" s="284"/>
      <c r="E60" s="209" t="e">
        <f>E61+#REF!+#REF!+#REF!+#REF!+#REF!+#REF!+#REF!+#REF!+#REF!</f>
        <v>#REF!</v>
      </c>
      <c r="F60" s="210" t="e">
        <f>K60/E60*100%</f>
        <v>#REF!</v>
      </c>
      <c r="G60" s="209" t="e">
        <f>G61+#REF!+#REF!+#REF!+#REF!+#REF!+#REF!+#REF!+#REF!+#REF!</f>
        <v>#REF!</v>
      </c>
      <c r="H60" s="210" t="e">
        <f>G60/E60*100%</f>
        <v>#REF!</v>
      </c>
      <c r="I60" s="210"/>
      <c r="J60" s="211"/>
    </row>
    <row r="61" spans="1:10" s="2" customFormat="1" ht="38.25" x14ac:dyDescent="0.25">
      <c r="A61" s="212">
        <v>1</v>
      </c>
      <c r="B61" s="213" t="s">
        <v>121</v>
      </c>
      <c r="C61" s="214"/>
      <c r="D61" s="214"/>
      <c r="E61" s="215">
        <f>SUM(E62:E90)</f>
        <v>21734800000</v>
      </c>
      <c r="F61" s="216">
        <f>G61/E61*100%</f>
        <v>0.27161078546846534</v>
      </c>
      <c r="G61" s="215">
        <f>SUM(G62:G90)</f>
        <v>5903406100</v>
      </c>
      <c r="H61" s="216">
        <f>G61/E61*100%</f>
        <v>0.27161078546846534</v>
      </c>
      <c r="I61" s="216"/>
      <c r="J61" s="217"/>
    </row>
    <row r="62" spans="1:10" s="2" customFormat="1" x14ac:dyDescent="0.25">
      <c r="A62" s="218"/>
      <c r="B62" s="219"/>
      <c r="C62" s="220" t="s">
        <v>35</v>
      </c>
      <c r="D62" s="221"/>
      <c r="E62" s="222"/>
      <c r="F62" s="222"/>
      <c r="G62" s="222"/>
      <c r="H62" s="222"/>
      <c r="I62" s="222"/>
      <c r="J62" s="223"/>
    </row>
    <row r="63" spans="1:10" s="2" customFormat="1" x14ac:dyDescent="0.25">
      <c r="A63" s="218"/>
      <c r="B63" s="219"/>
      <c r="C63" s="224" t="s">
        <v>129</v>
      </c>
      <c r="D63" s="225"/>
      <c r="E63" s="226"/>
      <c r="F63" s="226"/>
      <c r="G63" s="226"/>
      <c r="H63" s="226"/>
      <c r="I63" s="226"/>
      <c r="J63" s="227"/>
    </row>
    <row r="64" spans="1:10" s="2" customFormat="1" ht="25.5" x14ac:dyDescent="0.25">
      <c r="A64" s="218"/>
      <c r="B64" s="219"/>
      <c r="C64" s="228"/>
      <c r="D64" s="229" t="s">
        <v>99</v>
      </c>
      <c r="E64" s="230"/>
      <c r="F64" s="231"/>
      <c r="G64" s="230"/>
      <c r="H64" s="231"/>
      <c r="I64" s="231"/>
      <c r="J64" s="232"/>
    </row>
    <row r="65" spans="1:10" s="2" customFormat="1" x14ac:dyDescent="0.25">
      <c r="A65" s="218"/>
      <c r="B65" s="219"/>
      <c r="C65" s="228"/>
      <c r="D65" s="233" t="s">
        <v>261</v>
      </c>
      <c r="E65" s="230"/>
      <c r="F65" s="231"/>
      <c r="G65" s="230"/>
      <c r="H65" s="231"/>
      <c r="I65" s="231"/>
      <c r="J65" s="232"/>
    </row>
    <row r="66" spans="1:10" s="2" customFormat="1" ht="25.5" x14ac:dyDescent="0.25">
      <c r="A66" s="218"/>
      <c r="B66" s="219"/>
      <c r="C66" s="228"/>
      <c r="D66" s="234" t="s">
        <v>100</v>
      </c>
      <c r="E66" s="230">
        <v>2975640000</v>
      </c>
      <c r="F66" s="235">
        <f>G66/E66*100%</f>
        <v>0.30344228468497536</v>
      </c>
      <c r="G66" s="230">
        <f>902935000</f>
        <v>902935000</v>
      </c>
      <c r="H66" s="235">
        <f>G66/E66*100%</f>
        <v>0.30344228468497536</v>
      </c>
      <c r="I66" s="236"/>
      <c r="J66" s="232"/>
    </row>
    <row r="67" spans="1:10" s="2" customFormat="1" x14ac:dyDescent="0.25">
      <c r="A67" s="218"/>
      <c r="B67" s="219"/>
      <c r="C67" s="224" t="s">
        <v>36</v>
      </c>
      <c r="D67" s="225"/>
      <c r="E67" s="237"/>
      <c r="F67" s="238"/>
      <c r="G67" s="237"/>
      <c r="H67" s="238"/>
      <c r="I67" s="226"/>
      <c r="J67" s="227"/>
    </row>
    <row r="68" spans="1:10" s="2" customFormat="1" ht="25.5" x14ac:dyDescent="0.25">
      <c r="A68" s="218"/>
      <c r="B68" s="219"/>
      <c r="C68" s="228"/>
      <c r="D68" s="229" t="s">
        <v>99</v>
      </c>
      <c r="E68" s="230"/>
      <c r="F68" s="239"/>
      <c r="G68" s="230"/>
      <c r="H68" s="240"/>
      <c r="I68" s="236"/>
      <c r="J68" s="232"/>
    </row>
    <row r="69" spans="1:10" s="2" customFormat="1" x14ac:dyDescent="0.25">
      <c r="A69" s="218"/>
      <c r="B69" s="219"/>
      <c r="C69" s="228"/>
      <c r="D69" s="233" t="s">
        <v>261</v>
      </c>
      <c r="E69" s="230"/>
      <c r="F69" s="239"/>
      <c r="G69" s="230"/>
      <c r="H69" s="240"/>
      <c r="I69" s="236"/>
      <c r="J69" s="232"/>
    </row>
    <row r="70" spans="1:10" s="2" customFormat="1" ht="25.5" x14ac:dyDescent="0.25">
      <c r="A70" s="218"/>
      <c r="B70" s="219"/>
      <c r="C70" s="228"/>
      <c r="D70" s="234" t="s">
        <v>100</v>
      </c>
      <c r="E70" s="230">
        <v>2695640000</v>
      </c>
      <c r="F70" s="235">
        <f>G70/E70*100%</f>
        <v>0.28644032585953616</v>
      </c>
      <c r="G70" s="230">
        <f>35640000+736500000</f>
        <v>772140000</v>
      </c>
      <c r="H70" s="235">
        <f t="shared" ref="H70" si="11">G70/E70*100%</f>
        <v>0.28644032585953616</v>
      </c>
      <c r="I70" s="236"/>
      <c r="J70" s="232"/>
    </row>
    <row r="71" spans="1:10" s="2" customFormat="1" x14ac:dyDescent="0.25">
      <c r="A71" s="218"/>
      <c r="B71" s="219"/>
      <c r="C71" s="224" t="s">
        <v>37</v>
      </c>
      <c r="D71" s="225"/>
      <c r="E71" s="237"/>
      <c r="F71" s="238"/>
      <c r="G71" s="237"/>
      <c r="H71" s="238"/>
      <c r="I71" s="226"/>
      <c r="J71" s="227"/>
    </row>
    <row r="72" spans="1:10" s="2" customFormat="1" ht="25.5" x14ac:dyDescent="0.25">
      <c r="A72" s="218"/>
      <c r="B72" s="219"/>
      <c r="C72" s="228"/>
      <c r="D72" s="229" t="s">
        <v>99</v>
      </c>
      <c r="E72" s="230"/>
      <c r="F72" s="239"/>
      <c r="G72" s="230"/>
      <c r="H72" s="239"/>
      <c r="I72" s="231"/>
      <c r="J72" s="232"/>
    </row>
    <row r="73" spans="1:10" s="2" customFormat="1" x14ac:dyDescent="0.25">
      <c r="A73" s="218"/>
      <c r="B73" s="219"/>
      <c r="C73" s="228"/>
      <c r="D73" s="233" t="s">
        <v>261</v>
      </c>
      <c r="E73" s="230"/>
      <c r="F73" s="239"/>
      <c r="G73" s="230"/>
      <c r="H73" s="239"/>
      <c r="I73" s="231"/>
      <c r="J73" s="232"/>
    </row>
    <row r="74" spans="1:10" s="2" customFormat="1" ht="25.5" x14ac:dyDescent="0.25">
      <c r="A74" s="218"/>
      <c r="B74" s="219"/>
      <c r="C74" s="228"/>
      <c r="D74" s="234" t="s">
        <v>100</v>
      </c>
      <c r="E74" s="230">
        <v>2905640000</v>
      </c>
      <c r="F74" s="235">
        <f>G74/E74*100%</f>
        <v>5.5554025963298961E-2</v>
      </c>
      <c r="G74" s="230">
        <f>161420000</f>
        <v>161420000</v>
      </c>
      <c r="H74" s="235">
        <f t="shared" ref="H74" si="12">G74/E74*100%</f>
        <v>5.5554025963298961E-2</v>
      </c>
      <c r="I74" s="241"/>
      <c r="J74" s="232"/>
    </row>
    <row r="75" spans="1:10" s="2" customFormat="1" x14ac:dyDescent="0.25">
      <c r="A75" s="218"/>
      <c r="B75" s="219"/>
      <c r="C75" s="224" t="s">
        <v>38</v>
      </c>
      <c r="D75" s="225"/>
      <c r="E75" s="237"/>
      <c r="F75" s="238"/>
      <c r="G75" s="237"/>
      <c r="H75" s="238"/>
      <c r="I75" s="226"/>
      <c r="J75" s="227"/>
    </row>
    <row r="76" spans="1:10" s="2" customFormat="1" ht="25.5" x14ac:dyDescent="0.25">
      <c r="A76" s="218"/>
      <c r="B76" s="219"/>
      <c r="C76" s="228"/>
      <c r="D76" s="229" t="s">
        <v>99</v>
      </c>
      <c r="E76" s="230"/>
      <c r="F76" s="239"/>
      <c r="G76" s="230"/>
      <c r="H76" s="240"/>
      <c r="I76" s="236"/>
      <c r="J76" s="232"/>
    </row>
    <row r="77" spans="1:10" s="2" customFormat="1" x14ac:dyDescent="0.25">
      <c r="A77" s="218"/>
      <c r="B77" s="219"/>
      <c r="C77" s="228"/>
      <c r="D77" s="233" t="s">
        <v>261</v>
      </c>
      <c r="E77" s="230"/>
      <c r="F77" s="239"/>
      <c r="G77" s="230"/>
      <c r="H77" s="240"/>
      <c r="I77" s="236"/>
      <c r="J77" s="232"/>
    </row>
    <row r="78" spans="1:10" s="2" customFormat="1" ht="25.5" x14ac:dyDescent="0.25">
      <c r="A78" s="218"/>
      <c r="B78" s="219"/>
      <c r="C78" s="228"/>
      <c r="D78" s="234" t="s">
        <v>100</v>
      </c>
      <c r="E78" s="230">
        <v>2480900000</v>
      </c>
      <c r="F78" s="235">
        <f t="shared" ref="F78" si="13">G78/E78*100%</f>
        <v>0.63133338707727038</v>
      </c>
      <c r="G78" s="230">
        <f>12875000+1553400000</f>
        <v>1566275000</v>
      </c>
      <c r="H78" s="235">
        <f t="shared" ref="H78" si="14">G78/E78*100%</f>
        <v>0.63133338707727038</v>
      </c>
      <c r="I78" s="241"/>
      <c r="J78" s="232"/>
    </row>
    <row r="79" spans="1:10" s="2" customFormat="1" x14ac:dyDescent="0.25">
      <c r="A79" s="218"/>
      <c r="B79" s="219"/>
      <c r="C79" s="224" t="s">
        <v>39</v>
      </c>
      <c r="D79" s="225"/>
      <c r="E79" s="237"/>
      <c r="F79" s="238"/>
      <c r="G79" s="237"/>
      <c r="H79" s="238"/>
      <c r="I79" s="226"/>
      <c r="J79" s="227"/>
    </row>
    <row r="80" spans="1:10" s="2" customFormat="1" ht="25.5" x14ac:dyDescent="0.25">
      <c r="A80" s="218"/>
      <c r="B80" s="219"/>
      <c r="C80" s="228"/>
      <c r="D80" s="229" t="s">
        <v>99</v>
      </c>
      <c r="E80" s="230"/>
      <c r="F80" s="239"/>
      <c r="G80" s="230"/>
      <c r="H80" s="240"/>
      <c r="I80" s="236"/>
      <c r="J80" s="232"/>
    </row>
    <row r="81" spans="1:10" s="2" customFormat="1" x14ac:dyDescent="0.25">
      <c r="A81" s="218"/>
      <c r="B81" s="219"/>
      <c r="C81" s="228"/>
      <c r="D81" s="233" t="s">
        <v>261</v>
      </c>
      <c r="E81" s="230"/>
      <c r="F81" s="239"/>
      <c r="G81" s="230"/>
      <c r="H81" s="240"/>
      <c r="I81" s="236"/>
      <c r="J81" s="232"/>
    </row>
    <row r="82" spans="1:10" s="2" customFormat="1" ht="25.5" x14ac:dyDescent="0.25">
      <c r="A82" s="218"/>
      <c r="B82" s="219"/>
      <c r="C82" s="228"/>
      <c r="D82" s="234" t="s">
        <v>100</v>
      </c>
      <c r="E82" s="230">
        <v>3395640000</v>
      </c>
      <c r="F82" s="235">
        <f t="shared" ref="F82" si="15">G82/E82*100%</f>
        <v>5.2479061384599077E-3</v>
      </c>
      <c r="G82" s="230">
        <f>17820000</f>
        <v>17820000</v>
      </c>
      <c r="H82" s="235">
        <f t="shared" ref="H82" si="16">G82/E82*100%</f>
        <v>5.2479061384599077E-3</v>
      </c>
      <c r="I82" s="236"/>
      <c r="J82" s="232"/>
    </row>
    <row r="83" spans="1:10" s="2" customFormat="1" x14ac:dyDescent="0.25">
      <c r="A83" s="218"/>
      <c r="B83" s="219"/>
      <c r="C83" s="224" t="s">
        <v>40</v>
      </c>
      <c r="D83" s="225"/>
      <c r="E83" s="237"/>
      <c r="F83" s="238"/>
      <c r="G83" s="237"/>
      <c r="H83" s="238"/>
      <c r="I83" s="243"/>
      <c r="J83" s="227"/>
    </row>
    <row r="84" spans="1:10" s="2" customFormat="1" ht="25.5" x14ac:dyDescent="0.25">
      <c r="A84" s="218"/>
      <c r="B84" s="219"/>
      <c r="C84" s="228"/>
      <c r="D84" s="229" t="s">
        <v>99</v>
      </c>
      <c r="E84" s="230"/>
      <c r="F84" s="239"/>
      <c r="G84" s="230"/>
      <c r="H84" s="239"/>
      <c r="I84" s="231"/>
      <c r="J84" s="232"/>
    </row>
    <row r="85" spans="1:10" s="2" customFormat="1" x14ac:dyDescent="0.25">
      <c r="A85" s="218"/>
      <c r="B85" s="219"/>
      <c r="C85" s="228"/>
      <c r="D85" s="233" t="s">
        <v>261</v>
      </c>
      <c r="E85" s="230"/>
      <c r="F85" s="239"/>
      <c r="G85" s="230"/>
      <c r="H85" s="239"/>
      <c r="I85" s="231"/>
      <c r="J85" s="232"/>
    </row>
    <row r="86" spans="1:10" s="2" customFormat="1" ht="25.5" x14ac:dyDescent="0.25">
      <c r="A86" s="218"/>
      <c r="B86" s="219"/>
      <c r="C86" s="228"/>
      <c r="D86" s="234" t="s">
        <v>100</v>
      </c>
      <c r="E86" s="230">
        <v>1430900000</v>
      </c>
      <c r="F86" s="235">
        <f t="shared" ref="F86" si="17">G86/E86*100%</f>
        <v>9.8865119854636946E-2</v>
      </c>
      <c r="G86" s="230">
        <f>141466100</f>
        <v>141466100</v>
      </c>
      <c r="H86" s="235">
        <f t="shared" ref="H86" si="18">G86/E86*100%</f>
        <v>9.8865119854636946E-2</v>
      </c>
      <c r="I86" s="236"/>
      <c r="J86" s="232"/>
    </row>
    <row r="87" spans="1:10" s="2" customFormat="1" x14ac:dyDescent="0.25">
      <c r="A87" s="218"/>
      <c r="B87" s="219"/>
      <c r="C87" s="224" t="s">
        <v>41</v>
      </c>
      <c r="D87" s="225"/>
      <c r="E87" s="237"/>
      <c r="F87" s="238"/>
      <c r="G87" s="237"/>
      <c r="H87" s="238"/>
      <c r="I87" s="226"/>
      <c r="J87" s="227"/>
    </row>
    <row r="88" spans="1:10" s="2" customFormat="1" ht="25.5" x14ac:dyDescent="0.25">
      <c r="A88" s="218"/>
      <c r="B88" s="219"/>
      <c r="C88" s="228"/>
      <c r="D88" s="229" t="s">
        <v>99</v>
      </c>
      <c r="E88" s="230"/>
      <c r="F88" s="239"/>
      <c r="G88" s="230"/>
      <c r="H88" s="240"/>
      <c r="I88" s="236"/>
      <c r="J88" s="232"/>
    </row>
    <row r="89" spans="1:10" s="2" customFormat="1" x14ac:dyDescent="0.25">
      <c r="A89" s="218"/>
      <c r="B89" s="219"/>
      <c r="C89" s="228"/>
      <c r="D89" s="233" t="s">
        <v>261</v>
      </c>
      <c r="E89" s="230"/>
      <c r="F89" s="239"/>
      <c r="G89" s="230"/>
      <c r="H89" s="240"/>
      <c r="I89" s="236"/>
      <c r="J89" s="232"/>
    </row>
    <row r="90" spans="1:10" s="2" customFormat="1" ht="25.5" x14ac:dyDescent="0.25">
      <c r="A90" s="218"/>
      <c r="B90" s="219"/>
      <c r="C90" s="228"/>
      <c r="D90" s="234" t="s">
        <v>100</v>
      </c>
      <c r="E90" s="230">
        <v>5850440000</v>
      </c>
      <c r="F90" s="235">
        <f t="shared" ref="F90" si="19">G90/E90*100%</f>
        <v>0.40020066866765575</v>
      </c>
      <c r="G90" s="230">
        <f>2341350000</f>
        <v>2341350000</v>
      </c>
      <c r="H90" s="235">
        <f t="shared" ref="H90" si="20">G90/E90*100%</f>
        <v>0.40020066866765575</v>
      </c>
      <c r="I90" s="236"/>
      <c r="J90" s="232"/>
    </row>
    <row r="91" spans="1:10" s="2" customFormat="1" x14ac:dyDescent="0.25">
      <c r="A91" s="195"/>
      <c r="B91" s="195"/>
      <c r="C91" s="195"/>
      <c r="D91" s="195"/>
      <c r="E91" s="195"/>
      <c r="F91" s="195"/>
      <c r="G91" s="195"/>
      <c r="H91" s="195"/>
      <c r="I91" s="195"/>
      <c r="J91" s="196"/>
    </row>
    <row r="92" spans="1:10" s="2" customFormat="1" x14ac:dyDescent="0.25">
      <c r="A92" s="195"/>
      <c r="B92" s="195"/>
      <c r="C92" s="195"/>
      <c r="D92" s="195"/>
      <c r="E92" s="195"/>
      <c r="F92" s="195"/>
      <c r="G92" s="195"/>
      <c r="H92" s="195"/>
      <c r="I92" s="195"/>
      <c r="J92" s="196"/>
    </row>
    <row r="93" spans="1:10" s="2" customFormat="1" x14ac:dyDescent="0.25">
      <c r="A93" s="195"/>
      <c r="B93" s="195"/>
      <c r="C93" s="195"/>
      <c r="D93" s="195"/>
      <c r="E93" s="195"/>
      <c r="F93" s="195"/>
      <c r="G93" s="195"/>
      <c r="H93" s="195"/>
      <c r="I93" s="195"/>
      <c r="J93" s="196"/>
    </row>
    <row r="94" spans="1:10" s="2" customFormat="1" x14ac:dyDescent="0.25">
      <c r="A94" s="273" t="s">
        <v>362</v>
      </c>
      <c r="B94" s="273"/>
      <c r="C94" s="273"/>
      <c r="D94" s="273"/>
      <c r="E94" s="273"/>
      <c r="F94" s="273"/>
      <c r="G94" s="273"/>
      <c r="H94" s="273"/>
      <c r="I94" s="273"/>
      <c r="J94" s="273"/>
    </row>
    <row r="95" spans="1:10" s="2" customFormat="1" x14ac:dyDescent="0.25">
      <c r="A95" s="273" t="s">
        <v>117</v>
      </c>
      <c r="B95" s="273"/>
      <c r="C95" s="273"/>
      <c r="D95" s="273"/>
      <c r="E95" s="273"/>
      <c r="F95" s="273"/>
      <c r="G95" s="273"/>
      <c r="H95" s="273"/>
      <c r="I95" s="273"/>
      <c r="J95" s="273"/>
    </row>
    <row r="96" spans="1:10" s="2" customFormat="1" x14ac:dyDescent="0.25">
      <c r="A96" s="285" t="s">
        <v>371</v>
      </c>
      <c r="B96" s="285"/>
      <c r="C96" s="285"/>
      <c r="D96" s="285"/>
      <c r="E96" s="285"/>
      <c r="F96" s="285"/>
      <c r="G96" s="285"/>
      <c r="H96" s="285"/>
      <c r="I96" s="285"/>
      <c r="J96" s="285"/>
    </row>
    <row r="97" spans="1:10" s="2" customFormat="1" x14ac:dyDescent="0.25">
      <c r="A97" s="204" t="s">
        <v>373</v>
      </c>
      <c r="B97" s="195"/>
      <c r="C97" s="195"/>
      <c r="D97" s="205"/>
      <c r="E97" s="199"/>
      <c r="F97" s="197"/>
      <c r="G97" s="201"/>
      <c r="H97" s="202"/>
      <c r="I97" s="202"/>
      <c r="J97" s="203"/>
    </row>
    <row r="98" spans="1:10" s="2" customFormat="1" x14ac:dyDescent="0.25">
      <c r="A98" s="274" t="s">
        <v>109</v>
      </c>
      <c r="B98" s="274" t="s">
        <v>118</v>
      </c>
      <c r="C98" s="274" t="s">
        <v>119</v>
      </c>
      <c r="D98" s="274" t="s">
        <v>107</v>
      </c>
      <c r="E98" s="277" t="s">
        <v>108</v>
      </c>
      <c r="F98" s="278" t="s">
        <v>102</v>
      </c>
      <c r="G98" s="279"/>
      <c r="H98" s="280"/>
      <c r="I98" s="281" t="s">
        <v>358</v>
      </c>
      <c r="J98" s="281" t="s">
        <v>1</v>
      </c>
    </row>
    <row r="99" spans="1:10" s="2" customFormat="1" x14ac:dyDescent="0.25">
      <c r="A99" s="275"/>
      <c r="B99" s="275"/>
      <c r="C99" s="275"/>
      <c r="D99" s="275"/>
      <c r="E99" s="275"/>
      <c r="F99" s="244" t="s">
        <v>103</v>
      </c>
      <c r="G99" s="278" t="s">
        <v>104</v>
      </c>
      <c r="H99" s="280"/>
      <c r="I99" s="281"/>
      <c r="J99" s="281"/>
    </row>
    <row r="100" spans="1:10" s="2" customFormat="1" x14ac:dyDescent="0.25">
      <c r="A100" s="276"/>
      <c r="B100" s="276"/>
      <c r="C100" s="276"/>
      <c r="D100" s="276"/>
      <c r="E100" s="276"/>
      <c r="F100" s="244" t="s">
        <v>105</v>
      </c>
      <c r="G100" s="244" t="s">
        <v>106</v>
      </c>
      <c r="H100" s="207" t="s">
        <v>105</v>
      </c>
      <c r="I100" s="281"/>
      <c r="J100" s="281"/>
    </row>
    <row r="101" spans="1:10" s="2" customFormat="1" x14ac:dyDescent="0.25">
      <c r="A101" s="208">
        <v>1</v>
      </c>
      <c r="B101" s="208">
        <v>2</v>
      </c>
      <c r="C101" s="208">
        <v>3</v>
      </c>
      <c r="D101" s="208">
        <v>4</v>
      </c>
      <c r="E101" s="208">
        <v>5</v>
      </c>
      <c r="F101" s="208">
        <v>7</v>
      </c>
      <c r="G101" s="208">
        <v>8</v>
      </c>
      <c r="H101" s="208">
        <v>9</v>
      </c>
      <c r="I101" s="208">
        <v>10</v>
      </c>
      <c r="J101" s="208">
        <v>11</v>
      </c>
    </row>
    <row r="102" spans="1:10" s="2" customFormat="1" x14ac:dyDescent="0.25">
      <c r="A102" s="282" t="s">
        <v>120</v>
      </c>
      <c r="B102" s="283"/>
      <c r="C102" s="283"/>
      <c r="D102" s="284"/>
      <c r="E102" s="209" t="e">
        <f>E103+#REF!+#REF!+#REF!+#REF!+#REF!+#REF!+#REF!+#REF!+#REF!</f>
        <v>#REF!</v>
      </c>
      <c r="F102" s="210" t="e">
        <f>K102/E102*100%</f>
        <v>#REF!</v>
      </c>
      <c r="G102" s="209" t="e">
        <f>G103+#REF!+#REF!+#REF!+#REF!+#REF!+#REF!+#REF!+#REF!+#REF!</f>
        <v>#REF!</v>
      </c>
      <c r="H102" s="210" t="e">
        <f>G102/E102*100%</f>
        <v>#REF!</v>
      </c>
      <c r="I102" s="210"/>
      <c r="J102" s="211"/>
    </row>
    <row r="103" spans="1:10" s="2" customFormat="1" ht="38.25" x14ac:dyDescent="0.25">
      <c r="A103" s="212">
        <v>1</v>
      </c>
      <c r="B103" s="213" t="s">
        <v>121</v>
      </c>
      <c r="C103" s="214"/>
      <c r="D103" s="214"/>
      <c r="E103" s="215">
        <f>SUM(E104:E132)</f>
        <v>13176530952</v>
      </c>
      <c r="F103" s="216">
        <f>G103/E103*100%</f>
        <v>0.32345349694284237</v>
      </c>
      <c r="G103" s="215">
        <f>SUM(G104:G132)</f>
        <v>4261995014</v>
      </c>
      <c r="H103" s="216">
        <f>G103/E103*100%</f>
        <v>0.32345349694284237</v>
      </c>
      <c r="I103" s="216"/>
      <c r="J103" s="217"/>
    </row>
    <row r="104" spans="1:10" s="2" customFormat="1" x14ac:dyDescent="0.25">
      <c r="A104" s="218"/>
      <c r="B104" s="219"/>
      <c r="C104" s="220" t="s">
        <v>35</v>
      </c>
      <c r="D104" s="221"/>
      <c r="E104" s="222"/>
      <c r="F104" s="222"/>
      <c r="G104" s="222"/>
      <c r="H104" s="222"/>
      <c r="I104" s="222"/>
      <c r="J104" s="223"/>
    </row>
    <row r="105" spans="1:10" s="2" customFormat="1" x14ac:dyDescent="0.25">
      <c r="A105" s="218"/>
      <c r="B105" s="219"/>
      <c r="C105" s="224" t="s">
        <v>129</v>
      </c>
      <c r="D105" s="225"/>
      <c r="E105" s="226"/>
      <c r="F105" s="226"/>
      <c r="G105" s="226"/>
      <c r="H105" s="226"/>
      <c r="I105" s="226"/>
      <c r="J105" s="227"/>
    </row>
    <row r="106" spans="1:10" s="2" customFormat="1" ht="25.5" x14ac:dyDescent="0.25">
      <c r="A106" s="218"/>
      <c r="B106" s="219"/>
      <c r="C106" s="228"/>
      <c r="D106" s="229" t="s">
        <v>99</v>
      </c>
      <c r="E106" s="230"/>
      <c r="F106" s="231"/>
      <c r="G106" s="230"/>
      <c r="H106" s="231"/>
      <c r="I106" s="231"/>
      <c r="J106" s="232"/>
    </row>
    <row r="107" spans="1:10" s="2" customFormat="1" x14ac:dyDescent="0.25">
      <c r="A107" s="218"/>
      <c r="B107" s="219"/>
      <c r="C107" s="228"/>
      <c r="D107" s="233" t="s">
        <v>261</v>
      </c>
      <c r="E107" s="230"/>
      <c r="F107" s="231"/>
      <c r="G107" s="230"/>
      <c r="H107" s="231"/>
      <c r="I107" s="231"/>
      <c r="J107" s="232"/>
    </row>
    <row r="108" spans="1:10" s="2" customFormat="1" x14ac:dyDescent="0.25">
      <c r="A108" s="218"/>
      <c r="B108" s="219"/>
      <c r="C108" s="228"/>
      <c r="D108" s="234" t="s">
        <v>101</v>
      </c>
      <c r="E108" s="230">
        <v>1803960912</v>
      </c>
      <c r="F108" s="235">
        <f>G108/E108*100%</f>
        <v>0.70144491689518385</v>
      </c>
      <c r="G108" s="230">
        <f>898853212+366526000</f>
        <v>1265379212</v>
      </c>
      <c r="H108" s="235">
        <f>G108/E108*100%</f>
        <v>0.70144491689518385</v>
      </c>
      <c r="I108" s="236"/>
      <c r="J108" s="232"/>
    </row>
    <row r="109" spans="1:10" s="2" customFormat="1" x14ac:dyDescent="0.25">
      <c r="A109" s="218"/>
      <c r="B109" s="219"/>
      <c r="C109" s="224" t="s">
        <v>36</v>
      </c>
      <c r="D109" s="225"/>
      <c r="E109" s="237"/>
      <c r="F109" s="238"/>
      <c r="G109" s="237"/>
      <c r="H109" s="238"/>
      <c r="I109" s="226"/>
      <c r="J109" s="227"/>
    </row>
    <row r="110" spans="1:10" s="2" customFormat="1" ht="25.5" x14ac:dyDescent="0.25">
      <c r="A110" s="218"/>
      <c r="B110" s="219"/>
      <c r="C110" s="228"/>
      <c r="D110" s="229" t="s">
        <v>99</v>
      </c>
      <c r="E110" s="230"/>
      <c r="F110" s="239"/>
      <c r="G110" s="230"/>
      <c r="H110" s="240"/>
      <c r="I110" s="236"/>
      <c r="J110" s="232"/>
    </row>
    <row r="111" spans="1:10" s="2" customFormat="1" x14ac:dyDescent="0.25">
      <c r="A111" s="218"/>
      <c r="B111" s="219"/>
      <c r="C111" s="228"/>
      <c r="D111" s="233" t="s">
        <v>261</v>
      </c>
      <c r="E111" s="230"/>
      <c r="F111" s="239"/>
      <c r="G111" s="230"/>
      <c r="H111" s="240"/>
      <c r="I111" s="236"/>
      <c r="J111" s="232"/>
    </row>
    <row r="112" spans="1:10" s="2" customFormat="1" x14ac:dyDescent="0.25">
      <c r="A112" s="218"/>
      <c r="B112" s="219"/>
      <c r="C112" s="228"/>
      <c r="D112" s="234" t="s">
        <v>101</v>
      </c>
      <c r="E112" s="230">
        <v>1635097968</v>
      </c>
      <c r="F112" s="235">
        <f>G112/E112*100%</f>
        <v>0.46306189770764855</v>
      </c>
      <c r="G112" s="230">
        <f>757151568</f>
        <v>757151568</v>
      </c>
      <c r="H112" s="235">
        <f t="shared" ref="H112" si="21">G112/E112*100%</f>
        <v>0.46306189770764855</v>
      </c>
      <c r="I112" s="236"/>
      <c r="J112" s="232"/>
    </row>
    <row r="113" spans="1:10" s="2" customFormat="1" x14ac:dyDescent="0.25">
      <c r="A113" s="218"/>
      <c r="B113" s="219"/>
      <c r="C113" s="224" t="s">
        <v>37</v>
      </c>
      <c r="D113" s="225"/>
      <c r="E113" s="237"/>
      <c r="F113" s="238"/>
      <c r="G113" s="237"/>
      <c r="H113" s="238"/>
      <c r="I113" s="226"/>
      <c r="J113" s="227"/>
    </row>
    <row r="114" spans="1:10" s="2" customFormat="1" ht="25.5" x14ac:dyDescent="0.25">
      <c r="A114" s="218"/>
      <c r="B114" s="219"/>
      <c r="C114" s="228"/>
      <c r="D114" s="229" t="s">
        <v>99</v>
      </c>
      <c r="E114" s="230"/>
      <c r="F114" s="239"/>
      <c r="G114" s="230"/>
      <c r="H114" s="239"/>
      <c r="I114" s="231"/>
      <c r="J114" s="232"/>
    </row>
    <row r="115" spans="1:10" s="2" customFormat="1" x14ac:dyDescent="0.25">
      <c r="A115" s="218"/>
      <c r="B115" s="219"/>
      <c r="C115" s="228"/>
      <c r="D115" s="233" t="s">
        <v>261</v>
      </c>
      <c r="E115" s="230"/>
      <c r="F115" s="239"/>
      <c r="G115" s="230"/>
      <c r="H115" s="239"/>
      <c r="I115" s="231"/>
      <c r="J115" s="232"/>
    </row>
    <row r="116" spans="1:10" s="2" customFormat="1" x14ac:dyDescent="0.25">
      <c r="A116" s="218"/>
      <c r="B116" s="219"/>
      <c r="C116" s="228"/>
      <c r="D116" s="234" t="s">
        <v>101</v>
      </c>
      <c r="E116" s="230">
        <v>1761745176</v>
      </c>
      <c r="F116" s="235">
        <f>G116/E116*100%</f>
        <v>0.16122534170628544</v>
      </c>
      <c r="G116" s="230">
        <f>284037968</f>
        <v>284037968</v>
      </c>
      <c r="H116" s="235">
        <f t="shared" ref="H116" si="22">G116/E116*100%</f>
        <v>0.16122534170628544</v>
      </c>
      <c r="I116" s="236"/>
      <c r="J116" s="232"/>
    </row>
    <row r="117" spans="1:10" s="2" customFormat="1" x14ac:dyDescent="0.25">
      <c r="A117" s="218"/>
      <c r="B117" s="219"/>
      <c r="C117" s="224" t="s">
        <v>38</v>
      </c>
      <c r="D117" s="225"/>
      <c r="E117" s="237"/>
      <c r="F117" s="238"/>
      <c r="G117" s="237"/>
      <c r="H117" s="238"/>
      <c r="I117" s="226"/>
      <c r="J117" s="227"/>
    </row>
    <row r="118" spans="1:10" s="2" customFormat="1" ht="25.5" x14ac:dyDescent="0.25">
      <c r="A118" s="218"/>
      <c r="B118" s="219"/>
      <c r="C118" s="228"/>
      <c r="D118" s="229" t="s">
        <v>99</v>
      </c>
      <c r="E118" s="230"/>
      <c r="F118" s="239"/>
      <c r="G118" s="230"/>
      <c r="H118" s="240"/>
      <c r="I118" s="236"/>
      <c r="J118" s="232"/>
    </row>
    <row r="119" spans="1:10" s="2" customFormat="1" x14ac:dyDescent="0.25">
      <c r="A119" s="218"/>
      <c r="B119" s="219"/>
      <c r="C119" s="228"/>
      <c r="D119" s="233" t="s">
        <v>261</v>
      </c>
      <c r="E119" s="230"/>
      <c r="F119" s="239"/>
      <c r="G119" s="230"/>
      <c r="H119" s="240"/>
      <c r="I119" s="236"/>
      <c r="J119" s="232"/>
    </row>
    <row r="120" spans="1:10" s="2" customFormat="1" x14ac:dyDescent="0.25">
      <c r="A120" s="218"/>
      <c r="B120" s="219"/>
      <c r="C120" s="228"/>
      <c r="D120" s="234" t="s">
        <v>101</v>
      </c>
      <c r="E120" s="230">
        <v>1508450760</v>
      </c>
      <c r="F120" s="235">
        <f t="shared" ref="F120" si="23">G120/E120*100%</f>
        <v>0.42760480958622737</v>
      </c>
      <c r="G120" s="230">
        <f>607770800+37250000</f>
        <v>645020800</v>
      </c>
      <c r="H120" s="235">
        <f t="shared" ref="H120" si="24">G120/E120*100%</f>
        <v>0.42760480958622737</v>
      </c>
      <c r="I120" s="242"/>
      <c r="J120" s="232"/>
    </row>
    <row r="121" spans="1:10" s="2" customFormat="1" x14ac:dyDescent="0.25">
      <c r="A121" s="218"/>
      <c r="B121" s="219"/>
      <c r="C121" s="224" t="s">
        <v>39</v>
      </c>
      <c r="D121" s="225"/>
      <c r="E121" s="237"/>
      <c r="F121" s="238"/>
      <c r="G121" s="237"/>
      <c r="H121" s="238"/>
      <c r="I121" s="226"/>
      <c r="J121" s="227"/>
    </row>
    <row r="122" spans="1:10" s="2" customFormat="1" ht="25.5" x14ac:dyDescent="0.25">
      <c r="A122" s="218"/>
      <c r="B122" s="219"/>
      <c r="C122" s="228"/>
      <c r="D122" s="229" t="s">
        <v>99</v>
      </c>
      <c r="E122" s="230"/>
      <c r="F122" s="239"/>
      <c r="G122" s="230"/>
      <c r="H122" s="240"/>
      <c r="I122" s="236"/>
      <c r="J122" s="232"/>
    </row>
    <row r="123" spans="1:10" s="2" customFormat="1" x14ac:dyDescent="0.25">
      <c r="A123" s="218"/>
      <c r="B123" s="219"/>
      <c r="C123" s="228"/>
      <c r="D123" s="233" t="s">
        <v>261</v>
      </c>
      <c r="E123" s="230"/>
      <c r="F123" s="239"/>
      <c r="G123" s="230"/>
      <c r="H123" s="240"/>
      <c r="I123" s="236"/>
      <c r="J123" s="232"/>
    </row>
    <row r="124" spans="1:10" s="2" customFormat="1" x14ac:dyDescent="0.25">
      <c r="A124" s="218"/>
      <c r="B124" s="219"/>
      <c r="C124" s="228"/>
      <c r="D124" s="234" t="s">
        <v>101</v>
      </c>
      <c r="E124" s="230">
        <v>2057255328</v>
      </c>
      <c r="F124" s="235">
        <f t="shared" ref="F124" si="25">G124/E124*100%</f>
        <v>0.19785130822614158</v>
      </c>
      <c r="G124" s="230">
        <f>407030658</f>
        <v>407030658</v>
      </c>
      <c r="H124" s="235">
        <f t="shared" ref="H124" si="26">G124/E124*100%</f>
        <v>0.19785130822614158</v>
      </c>
      <c r="I124" s="236"/>
      <c r="J124" s="232"/>
    </row>
    <row r="125" spans="1:10" s="2" customFormat="1" x14ac:dyDescent="0.25">
      <c r="A125" s="218"/>
      <c r="B125" s="219"/>
      <c r="C125" s="224" t="s">
        <v>40</v>
      </c>
      <c r="D125" s="225"/>
      <c r="E125" s="237"/>
      <c r="F125" s="238"/>
      <c r="G125" s="237"/>
      <c r="H125" s="238"/>
      <c r="I125" s="243"/>
      <c r="J125" s="227"/>
    </row>
    <row r="126" spans="1:10" s="2" customFormat="1" ht="25.5" x14ac:dyDescent="0.25">
      <c r="A126" s="218"/>
      <c r="B126" s="219"/>
      <c r="C126" s="228"/>
      <c r="D126" s="229" t="s">
        <v>99</v>
      </c>
      <c r="E126" s="230"/>
      <c r="F126" s="239"/>
      <c r="G126" s="230"/>
      <c r="H126" s="239"/>
      <c r="I126" s="231"/>
      <c r="J126" s="232"/>
    </row>
    <row r="127" spans="1:10" s="2" customFormat="1" x14ac:dyDescent="0.25">
      <c r="A127" s="218"/>
      <c r="B127" s="219"/>
      <c r="C127" s="228"/>
      <c r="D127" s="233" t="s">
        <v>261</v>
      </c>
      <c r="E127" s="230"/>
      <c r="F127" s="239"/>
      <c r="G127" s="230"/>
      <c r="H127" s="239"/>
      <c r="I127" s="231"/>
      <c r="J127" s="232"/>
    </row>
    <row r="128" spans="1:10" s="2" customFormat="1" x14ac:dyDescent="0.25">
      <c r="A128" s="218"/>
      <c r="B128" s="219"/>
      <c r="C128" s="228"/>
      <c r="D128" s="234" t="s">
        <v>101</v>
      </c>
      <c r="E128" s="230">
        <v>870474720</v>
      </c>
      <c r="F128" s="235">
        <f t="shared" ref="F128" si="27">G128/E128*100%</f>
        <v>0.49819909761423053</v>
      </c>
      <c r="G128" s="230">
        <f>433669720</f>
        <v>433669720</v>
      </c>
      <c r="H128" s="235">
        <f t="shared" ref="H128" si="28">G128/E128*100%</f>
        <v>0.49819909761423053</v>
      </c>
      <c r="I128" s="236"/>
      <c r="J128" s="232"/>
    </row>
    <row r="129" spans="1:10" s="2" customFormat="1" x14ac:dyDescent="0.25">
      <c r="A129" s="218"/>
      <c r="B129" s="219"/>
      <c r="C129" s="224" t="s">
        <v>41</v>
      </c>
      <c r="D129" s="225"/>
      <c r="E129" s="237"/>
      <c r="F129" s="238"/>
      <c r="G129" s="237"/>
      <c r="H129" s="238"/>
      <c r="I129" s="226"/>
      <c r="J129" s="227"/>
    </row>
    <row r="130" spans="1:10" s="2" customFormat="1" ht="25.5" x14ac:dyDescent="0.25">
      <c r="A130" s="218"/>
      <c r="B130" s="219"/>
      <c r="C130" s="228"/>
      <c r="D130" s="229" t="s">
        <v>99</v>
      </c>
      <c r="E130" s="230"/>
      <c r="F130" s="239"/>
      <c r="G130" s="230"/>
      <c r="H130" s="240"/>
      <c r="I130" s="236"/>
      <c r="J130" s="232"/>
    </row>
    <row r="131" spans="1:10" s="2" customFormat="1" x14ac:dyDescent="0.25">
      <c r="A131" s="218"/>
      <c r="B131" s="219"/>
      <c r="C131" s="228"/>
      <c r="D131" s="233" t="s">
        <v>261</v>
      </c>
      <c r="E131" s="230"/>
      <c r="F131" s="239"/>
      <c r="G131" s="230"/>
      <c r="H131" s="240"/>
      <c r="I131" s="236"/>
      <c r="J131" s="232"/>
    </row>
    <row r="132" spans="1:10" s="2" customFormat="1" x14ac:dyDescent="0.25">
      <c r="A132" s="218"/>
      <c r="B132" s="219"/>
      <c r="C132" s="228"/>
      <c r="D132" s="234" t="s">
        <v>101</v>
      </c>
      <c r="E132" s="230">
        <v>3539546088</v>
      </c>
      <c r="F132" s="235">
        <f t="shared" ref="F132" si="29">G132/E132*100%</f>
        <v>0.13270206866140968</v>
      </c>
      <c r="G132" s="230">
        <f>432906088+36799000</f>
        <v>469705088</v>
      </c>
      <c r="H132" s="235">
        <f t="shared" ref="H132" si="30">G132/E132*100%</f>
        <v>0.13270206866140968</v>
      </c>
      <c r="I132" s="236"/>
      <c r="J132" s="232"/>
    </row>
    <row r="133" spans="1:10" s="2" customFormat="1" x14ac:dyDescent="0.25">
      <c r="A133" s="195"/>
      <c r="B133" s="195"/>
      <c r="C133" s="195"/>
      <c r="D133" s="195"/>
      <c r="E133" s="195"/>
      <c r="F133" s="195"/>
      <c r="G133" s="195"/>
      <c r="H133" s="195"/>
      <c r="I133" s="195"/>
      <c r="J133" s="196"/>
    </row>
    <row r="134" spans="1:10" s="2" customFormat="1" x14ac:dyDescent="0.25">
      <c r="A134" s="195"/>
      <c r="B134" s="195"/>
      <c r="C134" s="195"/>
      <c r="D134" s="195"/>
      <c r="E134" s="195"/>
      <c r="F134" s="195"/>
      <c r="G134" s="195"/>
      <c r="H134" s="195"/>
      <c r="I134" s="195"/>
      <c r="J134" s="196"/>
    </row>
    <row r="135" spans="1:10" s="2" customFormat="1" x14ac:dyDescent="0.25">
      <c r="A135" s="195"/>
      <c r="B135" s="195"/>
      <c r="C135" s="195"/>
      <c r="D135" s="195"/>
      <c r="E135" s="195"/>
      <c r="F135" s="195"/>
      <c r="G135" s="195"/>
      <c r="H135" s="195"/>
      <c r="I135" s="195"/>
      <c r="J135" s="196"/>
    </row>
    <row r="136" spans="1:10" s="2" customFormat="1" x14ac:dyDescent="0.25">
      <c r="A136" s="195"/>
      <c r="B136" s="195"/>
      <c r="C136" s="195"/>
      <c r="D136" s="195"/>
      <c r="E136" s="195"/>
      <c r="F136" s="195"/>
      <c r="G136" s="195"/>
      <c r="H136" s="195"/>
      <c r="I136" s="195"/>
      <c r="J136" s="196"/>
    </row>
    <row r="137" spans="1:10" s="2" customFormat="1" x14ac:dyDescent="0.25">
      <c r="A137" s="195"/>
      <c r="B137" s="195"/>
      <c r="C137" s="195"/>
      <c r="D137" s="195"/>
      <c r="E137" s="195"/>
      <c r="F137" s="195"/>
      <c r="G137" s="195"/>
      <c r="H137" s="195"/>
      <c r="I137" s="195"/>
      <c r="J137" s="196"/>
    </row>
  </sheetData>
  <mergeCells count="38">
    <mergeCell ref="A2:J2"/>
    <mergeCell ref="A3:J3"/>
    <mergeCell ref="A6:A8"/>
    <mergeCell ref="B6:B8"/>
    <mergeCell ref="C6:C8"/>
    <mergeCell ref="D6:D8"/>
    <mergeCell ref="E6:E8"/>
    <mergeCell ref="F6:H6"/>
    <mergeCell ref="I6:I8"/>
    <mergeCell ref="J6:J8"/>
    <mergeCell ref="A94:J94"/>
    <mergeCell ref="G7:H7"/>
    <mergeCell ref="A10:D10"/>
    <mergeCell ref="A52:J52"/>
    <mergeCell ref="A53:J53"/>
    <mergeCell ref="A54:J54"/>
    <mergeCell ref="A56:A58"/>
    <mergeCell ref="B56:B58"/>
    <mergeCell ref="C56:C58"/>
    <mergeCell ref="D56:D58"/>
    <mergeCell ref="E56:E58"/>
    <mergeCell ref="F56:H56"/>
    <mergeCell ref="I56:I58"/>
    <mergeCell ref="J56:J58"/>
    <mergeCell ref="G57:H57"/>
    <mergeCell ref="A60:D60"/>
    <mergeCell ref="G99:H99"/>
    <mergeCell ref="A102:D102"/>
    <mergeCell ref="A95:J95"/>
    <mergeCell ref="A96:J96"/>
    <mergeCell ref="A98:A100"/>
    <mergeCell ref="B98:B100"/>
    <mergeCell ref="C98:C100"/>
    <mergeCell ref="D98:D100"/>
    <mergeCell ref="E98:E100"/>
    <mergeCell ref="F98:H98"/>
    <mergeCell ref="I98:I100"/>
    <mergeCell ref="J98:J10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137"/>
  <sheetViews>
    <sheetView topLeftCell="A80" workbookViewId="0">
      <selection activeCell="A80" sqref="A1:XFD1048576"/>
    </sheetView>
  </sheetViews>
  <sheetFormatPr defaultColWidth="8.7109375" defaultRowHeight="15" x14ac:dyDescent="0.25"/>
  <cols>
    <col min="1" max="1" width="4" style="2" customWidth="1"/>
    <col min="2" max="2" width="22.85546875" style="2" customWidth="1"/>
    <col min="3" max="3" width="21.85546875" style="2" customWidth="1"/>
    <col min="4" max="4" width="39.140625" style="2" bestFit="1" customWidth="1"/>
    <col min="5" max="5" width="16" style="2" customWidth="1"/>
    <col min="6" max="6" width="7" style="2" customWidth="1"/>
    <col min="7" max="7" width="15.85546875" style="2" bestFit="1" customWidth="1"/>
    <col min="8" max="8" width="6.5703125" style="2" customWidth="1"/>
    <col min="9" max="9" width="8.5703125" style="2" bestFit="1" customWidth="1"/>
    <col min="10" max="10" width="9.85546875" style="51" customWidth="1"/>
    <col min="11" max="11" width="17" style="1" customWidth="1"/>
    <col min="12" max="16" width="8.7109375" style="2"/>
    <col min="17" max="17" width="18" style="2" bestFit="1" customWidth="1"/>
    <col min="18" max="16384" width="8.7109375" style="2"/>
  </cols>
  <sheetData>
    <row r="1" spans="1:17" x14ac:dyDescent="0.25">
      <c r="A1" s="195"/>
      <c r="B1" s="195"/>
      <c r="C1" s="195"/>
      <c r="D1" s="195"/>
      <c r="E1" s="195"/>
      <c r="F1" s="195"/>
      <c r="G1" s="195"/>
      <c r="H1" s="195"/>
      <c r="I1" s="195"/>
      <c r="J1" s="196"/>
    </row>
    <row r="2" spans="1:17" x14ac:dyDescent="0.25">
      <c r="A2" s="273" t="s">
        <v>362</v>
      </c>
      <c r="B2" s="273"/>
      <c r="C2" s="273"/>
      <c r="D2" s="273"/>
      <c r="E2" s="273"/>
      <c r="F2" s="273"/>
      <c r="G2" s="273"/>
      <c r="H2" s="273"/>
      <c r="I2" s="273"/>
      <c r="J2" s="273"/>
    </row>
    <row r="3" spans="1:17" x14ac:dyDescent="0.25">
      <c r="A3" s="273" t="s">
        <v>117</v>
      </c>
      <c r="B3" s="273"/>
      <c r="C3" s="273"/>
      <c r="D3" s="273"/>
      <c r="E3" s="273"/>
      <c r="F3" s="273"/>
      <c r="G3" s="273"/>
      <c r="H3" s="273"/>
      <c r="I3" s="273"/>
      <c r="J3" s="273"/>
    </row>
    <row r="4" spans="1:17" x14ac:dyDescent="0.25">
      <c r="A4" s="195"/>
      <c r="B4" s="197"/>
      <c r="C4" s="197"/>
      <c r="D4" s="198"/>
      <c r="E4" s="199"/>
      <c r="F4" s="200"/>
      <c r="G4" s="201"/>
      <c r="H4" s="202"/>
      <c r="I4" s="202"/>
      <c r="J4" s="203"/>
    </row>
    <row r="5" spans="1:17" x14ac:dyDescent="0.25">
      <c r="A5" s="204" t="s">
        <v>374</v>
      </c>
      <c r="B5" s="195"/>
      <c r="C5" s="195"/>
      <c r="D5" s="205"/>
      <c r="E5" s="199"/>
      <c r="F5" s="197"/>
      <c r="G5" s="201"/>
      <c r="H5" s="202"/>
      <c r="I5" s="202"/>
      <c r="J5" s="203"/>
    </row>
    <row r="6" spans="1:17" ht="22.5" customHeight="1" x14ac:dyDescent="0.25">
      <c r="A6" s="274" t="s">
        <v>109</v>
      </c>
      <c r="B6" s="274" t="s">
        <v>118</v>
      </c>
      <c r="C6" s="274" t="s">
        <v>119</v>
      </c>
      <c r="D6" s="274" t="s">
        <v>107</v>
      </c>
      <c r="E6" s="277" t="s">
        <v>108</v>
      </c>
      <c r="F6" s="278" t="s">
        <v>102</v>
      </c>
      <c r="G6" s="279"/>
      <c r="H6" s="280"/>
      <c r="I6" s="281" t="s">
        <v>358</v>
      </c>
      <c r="J6" s="281" t="s">
        <v>1</v>
      </c>
    </row>
    <row r="7" spans="1:17" ht="23.25" customHeight="1" x14ac:dyDescent="0.25">
      <c r="A7" s="275"/>
      <c r="B7" s="275"/>
      <c r="C7" s="275"/>
      <c r="D7" s="275"/>
      <c r="E7" s="275"/>
      <c r="F7" s="245" t="s">
        <v>103</v>
      </c>
      <c r="G7" s="278" t="s">
        <v>104</v>
      </c>
      <c r="H7" s="280"/>
      <c r="I7" s="281"/>
      <c r="J7" s="281"/>
    </row>
    <row r="8" spans="1:17" x14ac:dyDescent="0.25">
      <c r="A8" s="276"/>
      <c r="B8" s="276"/>
      <c r="C8" s="276"/>
      <c r="D8" s="276"/>
      <c r="E8" s="276"/>
      <c r="F8" s="245" t="s">
        <v>105</v>
      </c>
      <c r="G8" s="245" t="s">
        <v>106</v>
      </c>
      <c r="H8" s="207" t="s">
        <v>105</v>
      </c>
      <c r="I8" s="281"/>
      <c r="J8" s="281"/>
    </row>
    <row r="9" spans="1:17" ht="19.5" customHeight="1" x14ac:dyDescent="0.25">
      <c r="A9" s="208">
        <v>1</v>
      </c>
      <c r="B9" s="208">
        <v>2</v>
      </c>
      <c r="C9" s="208">
        <v>3</v>
      </c>
      <c r="D9" s="208">
        <v>4</v>
      </c>
      <c r="E9" s="208">
        <v>5</v>
      </c>
      <c r="F9" s="208">
        <v>7</v>
      </c>
      <c r="G9" s="208">
        <v>8</v>
      </c>
      <c r="H9" s="208">
        <v>9</v>
      </c>
      <c r="I9" s="208">
        <v>10</v>
      </c>
      <c r="J9" s="208">
        <v>11</v>
      </c>
      <c r="Q9" s="190"/>
    </row>
    <row r="10" spans="1:17" ht="30.75" customHeight="1" x14ac:dyDescent="0.25">
      <c r="A10" s="282" t="s">
        <v>120</v>
      </c>
      <c r="B10" s="283"/>
      <c r="C10" s="283"/>
      <c r="D10" s="284"/>
      <c r="E10" s="209" t="e">
        <f>E11+#REF!+#REF!+#REF!+#REF!+#REF!+#REF!+#REF!+#REF!+#REF!</f>
        <v>#REF!</v>
      </c>
      <c r="F10" s="210" t="e">
        <f>K10/E10*100%</f>
        <v>#REF!</v>
      </c>
      <c r="G10" s="209" t="e">
        <f>G11+#REF!+#REF!+#REF!+#REF!+#REF!+#REF!+#REF!+#REF!+#REF!</f>
        <v>#REF!</v>
      </c>
      <c r="H10" s="210" t="e">
        <f>G10/E10*100%</f>
        <v>#REF!</v>
      </c>
      <c r="I10" s="210"/>
      <c r="J10" s="211"/>
      <c r="K10" s="14" t="e">
        <f>K11+#REF!+#REF!+#REF!+#REF!+#REF!+#REF!+#REF!+#REF!+#REF!</f>
        <v>#REF!</v>
      </c>
      <c r="Q10" s="190">
        <v>1213208971484</v>
      </c>
    </row>
    <row r="11" spans="1:17" ht="56.25" customHeight="1" x14ac:dyDescent="0.25">
      <c r="A11" s="212">
        <v>1</v>
      </c>
      <c r="B11" s="213" t="s">
        <v>121</v>
      </c>
      <c r="C11" s="214"/>
      <c r="D11" s="214"/>
      <c r="E11" s="215">
        <f>SUM(E12:E47)</f>
        <v>34911330952</v>
      </c>
      <c r="F11" s="216">
        <f>G11/E11*100%</f>
        <v>0.47420421377694832</v>
      </c>
      <c r="G11" s="215">
        <f>SUM(G12:G47)</f>
        <v>16555100246</v>
      </c>
      <c r="H11" s="216">
        <f>G11/E11*100%</f>
        <v>0.47420421377694832</v>
      </c>
      <c r="I11" s="216"/>
      <c r="J11" s="217"/>
      <c r="K11" s="1">
        <f>K16+K17+K21+K22+K26+K27+K31+K32+K36+K37+K41+K42+K46+K47</f>
        <v>16555100246</v>
      </c>
      <c r="Q11" s="191" t="e">
        <f>E10-Q10</f>
        <v>#REF!</v>
      </c>
    </row>
    <row r="12" spans="1:17" x14ac:dyDescent="0.25">
      <c r="A12" s="218"/>
      <c r="B12" s="219"/>
      <c r="C12" s="220" t="s">
        <v>35</v>
      </c>
      <c r="D12" s="221"/>
      <c r="E12" s="222"/>
      <c r="F12" s="222"/>
      <c r="G12" s="222"/>
      <c r="H12" s="222"/>
      <c r="I12" s="222"/>
      <c r="J12" s="223"/>
    </row>
    <row r="13" spans="1:17" x14ac:dyDescent="0.25">
      <c r="A13" s="218"/>
      <c r="B13" s="219"/>
      <c r="C13" s="224" t="s">
        <v>129</v>
      </c>
      <c r="D13" s="225"/>
      <c r="E13" s="226"/>
      <c r="F13" s="226"/>
      <c r="G13" s="226"/>
      <c r="H13" s="226"/>
      <c r="I13" s="226"/>
      <c r="J13" s="227"/>
    </row>
    <row r="14" spans="1:17" ht="25.5" x14ac:dyDescent="0.25">
      <c r="A14" s="218"/>
      <c r="B14" s="219"/>
      <c r="C14" s="228"/>
      <c r="D14" s="229" t="s">
        <v>99</v>
      </c>
      <c r="E14" s="230"/>
      <c r="F14" s="231"/>
      <c r="G14" s="230"/>
      <c r="H14" s="231"/>
      <c r="I14" s="231"/>
      <c r="J14" s="232"/>
    </row>
    <row r="15" spans="1:17" x14ac:dyDescent="0.25">
      <c r="A15" s="218"/>
      <c r="B15" s="219"/>
      <c r="C15" s="228"/>
      <c r="D15" s="233" t="s">
        <v>261</v>
      </c>
      <c r="E15" s="230"/>
      <c r="F15" s="231"/>
      <c r="G15" s="230"/>
      <c r="H15" s="231"/>
      <c r="I15" s="231"/>
      <c r="J15" s="232"/>
    </row>
    <row r="16" spans="1:17" ht="25.5" x14ac:dyDescent="0.25">
      <c r="A16" s="218"/>
      <c r="B16" s="219"/>
      <c r="C16" s="228"/>
      <c r="D16" s="234" t="s">
        <v>100</v>
      </c>
      <c r="E16" s="230">
        <v>2975640000</v>
      </c>
      <c r="F16" s="235">
        <f>G16/E16*100%</f>
        <v>0.31957326827169952</v>
      </c>
      <c r="G16" s="230">
        <f>950935000</f>
        <v>950935000</v>
      </c>
      <c r="H16" s="235">
        <f>G16/E16*100%</f>
        <v>0.31957326827169952</v>
      </c>
      <c r="I16" s="236"/>
      <c r="J16" s="232"/>
      <c r="K16" s="1">
        <f>950935000</f>
        <v>950935000</v>
      </c>
    </row>
    <row r="17" spans="1:11" x14ac:dyDescent="0.25">
      <c r="A17" s="218"/>
      <c r="B17" s="219"/>
      <c r="C17" s="228"/>
      <c r="D17" s="234" t="s">
        <v>101</v>
      </c>
      <c r="E17" s="230">
        <v>1803960912</v>
      </c>
      <c r="F17" s="235">
        <f>G17/E17*100%</f>
        <v>0.70144491689518385</v>
      </c>
      <c r="G17" s="230">
        <f>898853212+366526000</f>
        <v>1265379212</v>
      </c>
      <c r="H17" s="235">
        <f t="shared" ref="H17" si="0">G17/E17*100%</f>
        <v>0.70144491689518385</v>
      </c>
      <c r="I17" s="236"/>
      <c r="J17" s="232"/>
      <c r="K17" s="1">
        <f>1265379212</f>
        <v>1265379212</v>
      </c>
    </row>
    <row r="18" spans="1:11" x14ac:dyDescent="0.25">
      <c r="A18" s="218"/>
      <c r="B18" s="219"/>
      <c r="C18" s="224" t="s">
        <v>36</v>
      </c>
      <c r="D18" s="225"/>
      <c r="E18" s="237"/>
      <c r="F18" s="238"/>
      <c r="G18" s="237"/>
      <c r="H18" s="238"/>
      <c r="I18" s="226"/>
      <c r="J18" s="227"/>
    </row>
    <row r="19" spans="1:11" ht="25.5" x14ac:dyDescent="0.25">
      <c r="A19" s="218"/>
      <c r="B19" s="219"/>
      <c r="C19" s="228"/>
      <c r="D19" s="229" t="s">
        <v>99</v>
      </c>
      <c r="E19" s="230"/>
      <c r="F19" s="239"/>
      <c r="G19" s="230"/>
      <c r="H19" s="240"/>
      <c r="I19" s="236"/>
      <c r="J19" s="232"/>
    </row>
    <row r="20" spans="1:11" x14ac:dyDescent="0.25">
      <c r="A20" s="218"/>
      <c r="B20" s="219"/>
      <c r="C20" s="228"/>
      <c r="D20" s="233" t="s">
        <v>261</v>
      </c>
      <c r="E20" s="230"/>
      <c r="F20" s="239"/>
      <c r="G20" s="230"/>
      <c r="H20" s="240"/>
      <c r="I20" s="236"/>
      <c r="J20" s="232"/>
    </row>
    <row r="21" spans="1:11" ht="25.5" x14ac:dyDescent="0.25">
      <c r="A21" s="218"/>
      <c r="B21" s="219"/>
      <c r="C21" s="228"/>
      <c r="D21" s="234" t="s">
        <v>100</v>
      </c>
      <c r="E21" s="230">
        <v>2695640000</v>
      </c>
      <c r="F21" s="235">
        <f>G21/E21*100%</f>
        <v>0.52041073733881382</v>
      </c>
      <c r="G21" s="230">
        <f>1402840000</f>
        <v>1402840000</v>
      </c>
      <c r="H21" s="235">
        <f t="shared" ref="H21:H22" si="1">G21/E21*100%</f>
        <v>0.52041073733881382</v>
      </c>
      <c r="I21" s="236"/>
      <c r="J21" s="232"/>
      <c r="K21" s="1">
        <f>1402840000</f>
        <v>1402840000</v>
      </c>
    </row>
    <row r="22" spans="1:11" x14ac:dyDescent="0.25">
      <c r="A22" s="218"/>
      <c r="B22" s="219"/>
      <c r="C22" s="228"/>
      <c r="D22" s="234" t="s">
        <v>101</v>
      </c>
      <c r="E22" s="230">
        <v>1635097968</v>
      </c>
      <c r="F22" s="235">
        <f>G22/E22*100%</f>
        <v>0.4954269308956783</v>
      </c>
      <c r="G22" s="230">
        <f>810071568</f>
        <v>810071568</v>
      </c>
      <c r="H22" s="235">
        <f t="shared" si="1"/>
        <v>0.4954269308956783</v>
      </c>
      <c r="I22" s="236"/>
      <c r="J22" s="232"/>
      <c r="K22" s="1">
        <f>810071568</f>
        <v>810071568</v>
      </c>
    </row>
    <row r="23" spans="1:11" x14ac:dyDescent="0.25">
      <c r="A23" s="218"/>
      <c r="B23" s="219"/>
      <c r="C23" s="224" t="s">
        <v>37</v>
      </c>
      <c r="D23" s="225"/>
      <c r="E23" s="237"/>
      <c r="F23" s="238"/>
      <c r="G23" s="237"/>
      <c r="H23" s="238"/>
      <c r="I23" s="226"/>
      <c r="J23" s="227"/>
    </row>
    <row r="24" spans="1:11" ht="25.5" x14ac:dyDescent="0.25">
      <c r="A24" s="218"/>
      <c r="B24" s="219"/>
      <c r="C24" s="228"/>
      <c r="D24" s="229" t="s">
        <v>99</v>
      </c>
      <c r="E24" s="230"/>
      <c r="F24" s="239"/>
      <c r="G24" s="230"/>
      <c r="H24" s="239"/>
      <c r="I24" s="231"/>
      <c r="J24" s="232"/>
    </row>
    <row r="25" spans="1:11" x14ac:dyDescent="0.25">
      <c r="A25" s="218"/>
      <c r="B25" s="219"/>
      <c r="C25" s="228"/>
      <c r="D25" s="233" t="s">
        <v>261</v>
      </c>
      <c r="E25" s="230"/>
      <c r="F25" s="239"/>
      <c r="G25" s="230"/>
      <c r="H25" s="239"/>
      <c r="I25" s="231"/>
      <c r="J25" s="232"/>
    </row>
    <row r="26" spans="1:11" ht="25.5" x14ac:dyDescent="0.25">
      <c r="A26" s="218"/>
      <c r="B26" s="219"/>
      <c r="C26" s="228"/>
      <c r="D26" s="234" t="s">
        <v>100</v>
      </c>
      <c r="E26" s="230">
        <v>2905640000</v>
      </c>
      <c r="F26" s="235">
        <f>G26/E26*100%</f>
        <v>0.27369304180834514</v>
      </c>
      <c r="G26" s="230">
        <f>795253450</f>
        <v>795253450</v>
      </c>
      <c r="H26" s="235">
        <f t="shared" ref="H26:H27" si="2">G26/E26*100%</f>
        <v>0.27369304180834514</v>
      </c>
      <c r="I26" s="241"/>
      <c r="J26" s="232"/>
      <c r="K26" s="1">
        <f>795253450</f>
        <v>795253450</v>
      </c>
    </row>
    <row r="27" spans="1:11" x14ac:dyDescent="0.25">
      <c r="A27" s="218"/>
      <c r="B27" s="219"/>
      <c r="C27" s="228"/>
      <c r="D27" s="234" t="s">
        <v>101</v>
      </c>
      <c r="E27" s="230">
        <v>1761745176</v>
      </c>
      <c r="F27" s="235">
        <f>G27/E27*100%</f>
        <v>0.36368958276631036</v>
      </c>
      <c r="G27" s="230">
        <f>636728368+4000000</f>
        <v>640728368</v>
      </c>
      <c r="H27" s="235">
        <f t="shared" si="2"/>
        <v>0.36368958276631036</v>
      </c>
      <c r="I27" s="236"/>
      <c r="J27" s="232"/>
      <c r="K27" s="1">
        <f>640728368</f>
        <v>640728368</v>
      </c>
    </row>
    <row r="28" spans="1:11" x14ac:dyDescent="0.25">
      <c r="A28" s="218"/>
      <c r="B28" s="219"/>
      <c r="C28" s="224" t="s">
        <v>38</v>
      </c>
      <c r="D28" s="225"/>
      <c r="E28" s="237"/>
      <c r="F28" s="238"/>
      <c r="G28" s="237"/>
      <c r="H28" s="238"/>
      <c r="I28" s="226"/>
      <c r="J28" s="227"/>
    </row>
    <row r="29" spans="1:11" ht="25.5" x14ac:dyDescent="0.25">
      <c r="A29" s="218"/>
      <c r="B29" s="219"/>
      <c r="C29" s="228"/>
      <c r="D29" s="229" t="s">
        <v>99</v>
      </c>
      <c r="E29" s="230"/>
      <c r="F29" s="239"/>
      <c r="G29" s="230"/>
      <c r="H29" s="240"/>
      <c r="I29" s="236"/>
      <c r="J29" s="232"/>
    </row>
    <row r="30" spans="1:11" x14ac:dyDescent="0.25">
      <c r="A30" s="218"/>
      <c r="B30" s="219"/>
      <c r="C30" s="228"/>
      <c r="D30" s="233" t="s">
        <v>261</v>
      </c>
      <c r="E30" s="230"/>
      <c r="F30" s="239"/>
      <c r="G30" s="230"/>
      <c r="H30" s="240"/>
      <c r="I30" s="236"/>
      <c r="J30" s="232"/>
    </row>
    <row r="31" spans="1:11" ht="25.5" x14ac:dyDescent="0.25">
      <c r="A31" s="218"/>
      <c r="B31" s="219"/>
      <c r="C31" s="228"/>
      <c r="D31" s="234" t="s">
        <v>100</v>
      </c>
      <c r="E31" s="230">
        <v>2480900000</v>
      </c>
      <c r="F31" s="235">
        <f t="shared" ref="F31:F32" si="3">G31/E31*100%</f>
        <v>0.66517191341851745</v>
      </c>
      <c r="G31" s="230">
        <f>1650225000</f>
        <v>1650225000</v>
      </c>
      <c r="H31" s="235">
        <f t="shared" ref="H31:H32" si="4">G31/E31*100%</f>
        <v>0.66517191341851745</v>
      </c>
      <c r="I31" s="241"/>
      <c r="J31" s="232"/>
      <c r="K31" s="1">
        <f>1650225000</f>
        <v>1650225000</v>
      </c>
    </row>
    <row r="32" spans="1:11" x14ac:dyDescent="0.25">
      <c r="A32" s="218"/>
      <c r="B32" s="219"/>
      <c r="C32" s="228"/>
      <c r="D32" s="234" t="s">
        <v>101</v>
      </c>
      <c r="E32" s="230">
        <v>1508450760</v>
      </c>
      <c r="F32" s="235">
        <f t="shared" si="3"/>
        <v>0.56341328635745458</v>
      </c>
      <c r="G32" s="230">
        <f>812631200+37250000</f>
        <v>849881200</v>
      </c>
      <c r="H32" s="235">
        <f t="shared" si="4"/>
        <v>0.56341328635745458</v>
      </c>
      <c r="I32" s="242"/>
      <c r="J32" s="232"/>
      <c r="K32" s="1">
        <f>849881200</f>
        <v>849881200</v>
      </c>
    </row>
    <row r="33" spans="1:11" x14ac:dyDescent="0.25">
      <c r="A33" s="218"/>
      <c r="B33" s="219"/>
      <c r="C33" s="224" t="s">
        <v>39</v>
      </c>
      <c r="D33" s="225"/>
      <c r="E33" s="237"/>
      <c r="F33" s="238"/>
      <c r="G33" s="237"/>
      <c r="H33" s="238"/>
      <c r="I33" s="226"/>
      <c r="J33" s="227"/>
    </row>
    <row r="34" spans="1:11" ht="25.5" x14ac:dyDescent="0.25">
      <c r="A34" s="218"/>
      <c r="B34" s="219"/>
      <c r="C34" s="228"/>
      <c r="D34" s="229" t="s">
        <v>99</v>
      </c>
      <c r="E34" s="230"/>
      <c r="F34" s="239"/>
      <c r="G34" s="230"/>
      <c r="H34" s="240"/>
      <c r="I34" s="236"/>
      <c r="J34" s="232"/>
    </row>
    <row r="35" spans="1:11" x14ac:dyDescent="0.25">
      <c r="A35" s="218"/>
      <c r="B35" s="219"/>
      <c r="C35" s="228"/>
      <c r="D35" s="233" t="s">
        <v>261</v>
      </c>
      <c r="E35" s="230"/>
      <c r="F35" s="239"/>
      <c r="G35" s="230"/>
      <c r="H35" s="240"/>
      <c r="I35" s="236"/>
      <c r="J35" s="232"/>
    </row>
    <row r="36" spans="1:11" ht="25.5" x14ac:dyDescent="0.25">
      <c r="A36" s="218"/>
      <c r="B36" s="219"/>
      <c r="C36" s="228"/>
      <c r="D36" s="234" t="s">
        <v>100</v>
      </c>
      <c r="E36" s="230">
        <v>3395640000</v>
      </c>
      <c r="F36" s="235">
        <f t="shared" ref="F36:F37" si="5">G36/E36*100%</f>
        <v>0.55696805315051068</v>
      </c>
      <c r="G36" s="230">
        <f>1891263000</f>
        <v>1891263000</v>
      </c>
      <c r="H36" s="235">
        <f t="shared" ref="H36:H37" si="6">G36/E36*100%</f>
        <v>0.55696805315051068</v>
      </c>
      <c r="I36" s="236"/>
      <c r="J36" s="232"/>
      <c r="K36" s="1">
        <f>1891263000</f>
        <v>1891263000</v>
      </c>
    </row>
    <row r="37" spans="1:11" x14ac:dyDescent="0.25">
      <c r="A37" s="218"/>
      <c r="B37" s="219"/>
      <c r="C37" s="228"/>
      <c r="D37" s="234" t="s">
        <v>101</v>
      </c>
      <c r="E37" s="230">
        <v>2057255328</v>
      </c>
      <c r="F37" s="235">
        <f t="shared" si="5"/>
        <v>0.19785130822614158</v>
      </c>
      <c r="G37" s="230">
        <f>407030658</f>
        <v>407030658</v>
      </c>
      <c r="H37" s="235">
        <f t="shared" si="6"/>
        <v>0.19785130822614158</v>
      </c>
      <c r="I37" s="236"/>
      <c r="J37" s="232"/>
      <c r="K37" s="1">
        <v>407030658</v>
      </c>
    </row>
    <row r="38" spans="1:11" x14ac:dyDescent="0.25">
      <c r="A38" s="218"/>
      <c r="B38" s="219"/>
      <c r="C38" s="224" t="s">
        <v>40</v>
      </c>
      <c r="D38" s="225"/>
      <c r="E38" s="237"/>
      <c r="F38" s="238"/>
      <c r="G38" s="237"/>
      <c r="H38" s="238"/>
      <c r="I38" s="243"/>
      <c r="J38" s="227"/>
    </row>
    <row r="39" spans="1:11" ht="25.5" x14ac:dyDescent="0.25">
      <c r="A39" s="218"/>
      <c r="B39" s="219"/>
      <c r="C39" s="228"/>
      <c r="D39" s="229" t="s">
        <v>99</v>
      </c>
      <c r="E39" s="230"/>
      <c r="F39" s="239"/>
      <c r="G39" s="230"/>
      <c r="H39" s="239"/>
      <c r="I39" s="231"/>
      <c r="J39" s="232"/>
    </row>
    <row r="40" spans="1:11" x14ac:dyDescent="0.25">
      <c r="A40" s="218"/>
      <c r="B40" s="219"/>
      <c r="C40" s="228"/>
      <c r="D40" s="233" t="s">
        <v>261</v>
      </c>
      <c r="E40" s="230"/>
      <c r="F40" s="239"/>
      <c r="G40" s="230"/>
      <c r="H40" s="239"/>
      <c r="I40" s="231"/>
      <c r="J40" s="232"/>
    </row>
    <row r="41" spans="1:11" ht="25.5" x14ac:dyDescent="0.25">
      <c r="A41" s="218"/>
      <c r="B41" s="219"/>
      <c r="C41" s="228"/>
      <c r="D41" s="234" t="s">
        <v>100</v>
      </c>
      <c r="E41" s="230">
        <v>1430900000</v>
      </c>
      <c r="F41" s="235">
        <f t="shared" ref="F41:F42" si="7">G41/E41*100%</f>
        <v>0.24421677405828499</v>
      </c>
      <c r="G41" s="230">
        <f>349449782</f>
        <v>349449782</v>
      </c>
      <c r="H41" s="235">
        <f t="shared" ref="H41:H42" si="8">G41/E41*100%</f>
        <v>0.24421677405828499</v>
      </c>
      <c r="I41" s="236"/>
      <c r="J41" s="232"/>
      <c r="K41" s="1">
        <f>349449782</f>
        <v>349449782</v>
      </c>
    </row>
    <row r="42" spans="1:11" x14ac:dyDescent="0.25">
      <c r="A42" s="218"/>
      <c r="B42" s="219"/>
      <c r="C42" s="228"/>
      <c r="D42" s="234" t="s">
        <v>101</v>
      </c>
      <c r="E42" s="230">
        <v>870474720</v>
      </c>
      <c r="F42" s="235">
        <f t="shared" si="7"/>
        <v>0.58539060157887179</v>
      </c>
      <c r="G42" s="230">
        <f>509567720</f>
        <v>509567720</v>
      </c>
      <c r="H42" s="235">
        <f t="shared" si="8"/>
        <v>0.58539060157887179</v>
      </c>
      <c r="I42" s="236"/>
      <c r="J42" s="232"/>
      <c r="K42" s="1">
        <f>509567720</f>
        <v>509567720</v>
      </c>
    </row>
    <row r="43" spans="1:11" x14ac:dyDescent="0.25">
      <c r="A43" s="218"/>
      <c r="B43" s="219"/>
      <c r="C43" s="224" t="s">
        <v>41</v>
      </c>
      <c r="D43" s="225"/>
      <c r="E43" s="237"/>
      <c r="F43" s="238"/>
      <c r="G43" s="237"/>
      <c r="H43" s="238"/>
      <c r="I43" s="226"/>
      <c r="J43" s="227"/>
    </row>
    <row r="44" spans="1:11" ht="25.5" x14ac:dyDescent="0.25">
      <c r="A44" s="218"/>
      <c r="B44" s="219"/>
      <c r="C44" s="228"/>
      <c r="D44" s="229" t="s">
        <v>99</v>
      </c>
      <c r="E44" s="230"/>
      <c r="F44" s="239"/>
      <c r="G44" s="230"/>
      <c r="H44" s="240"/>
      <c r="I44" s="236"/>
      <c r="J44" s="232"/>
    </row>
    <row r="45" spans="1:11" x14ac:dyDescent="0.25">
      <c r="A45" s="218"/>
      <c r="B45" s="219"/>
      <c r="C45" s="228"/>
      <c r="D45" s="233" t="s">
        <v>261</v>
      </c>
      <c r="E45" s="230"/>
      <c r="F45" s="239"/>
      <c r="G45" s="230"/>
      <c r="H45" s="240"/>
      <c r="I45" s="236"/>
      <c r="J45" s="232"/>
    </row>
    <row r="46" spans="1:11" ht="25.5" x14ac:dyDescent="0.25">
      <c r="A46" s="218"/>
      <c r="B46" s="219"/>
      <c r="C46" s="228"/>
      <c r="D46" s="234" t="s">
        <v>100</v>
      </c>
      <c r="E46" s="230">
        <v>5850440000</v>
      </c>
      <c r="F46" s="235">
        <f t="shared" ref="F46:F47" si="9">G46/E46*100%</f>
        <v>0.49661222061930382</v>
      </c>
      <c r="G46" s="230">
        <f>564050000+2341350000</f>
        <v>2905400000</v>
      </c>
      <c r="H46" s="235">
        <f t="shared" ref="H46:H47" si="10">G46/E46*100%</f>
        <v>0.49661222061930382</v>
      </c>
      <c r="I46" s="236"/>
      <c r="J46" s="232"/>
      <c r="K46" s="1">
        <f>2905400000</f>
        <v>2905400000</v>
      </c>
    </row>
    <row r="47" spans="1:11" x14ac:dyDescent="0.25">
      <c r="A47" s="218"/>
      <c r="B47" s="219"/>
      <c r="C47" s="228"/>
      <c r="D47" s="234" t="s">
        <v>101</v>
      </c>
      <c r="E47" s="230">
        <v>3539546088</v>
      </c>
      <c r="F47" s="235">
        <f t="shared" si="9"/>
        <v>0.60094578093257478</v>
      </c>
      <c r="G47" s="230">
        <f>2127075288</f>
        <v>2127075288</v>
      </c>
      <c r="H47" s="235">
        <f t="shared" si="10"/>
        <v>0.60094578093257478</v>
      </c>
      <c r="I47" s="236"/>
      <c r="J47" s="232"/>
      <c r="K47" s="1">
        <f>2127075288</f>
        <v>2127075288</v>
      </c>
    </row>
    <row r="48" spans="1:11" x14ac:dyDescent="0.25">
      <c r="A48" s="195"/>
      <c r="B48" s="195"/>
      <c r="C48" s="195"/>
      <c r="D48" s="195"/>
      <c r="E48" s="195"/>
      <c r="F48" s="195"/>
      <c r="G48" s="195"/>
      <c r="H48" s="195"/>
      <c r="I48" s="195"/>
      <c r="J48" s="196"/>
    </row>
    <row r="49" spans="1:10" s="2" customFormat="1" x14ac:dyDescent="0.25">
      <c r="A49" s="195"/>
      <c r="B49" s="195"/>
      <c r="C49" s="195"/>
      <c r="D49" s="195"/>
      <c r="E49" s="195"/>
      <c r="F49" s="195"/>
      <c r="G49" s="195"/>
      <c r="H49" s="195"/>
      <c r="I49" s="195"/>
      <c r="J49" s="196"/>
    </row>
    <row r="50" spans="1:10" s="2" customFormat="1" x14ac:dyDescent="0.25">
      <c r="A50" s="195"/>
      <c r="B50" s="195"/>
      <c r="C50" s="195"/>
      <c r="D50" s="195"/>
      <c r="E50" s="195"/>
      <c r="F50" s="195"/>
      <c r="G50" s="195"/>
      <c r="H50" s="195"/>
      <c r="I50" s="195"/>
      <c r="J50" s="196"/>
    </row>
    <row r="51" spans="1:10" s="2" customFormat="1" x14ac:dyDescent="0.25">
      <c r="A51" s="195"/>
      <c r="B51" s="195"/>
      <c r="C51" s="195"/>
      <c r="D51" s="195"/>
      <c r="E51" s="195"/>
      <c r="F51" s="195"/>
      <c r="G51" s="195"/>
      <c r="H51" s="195"/>
      <c r="I51" s="195"/>
      <c r="J51" s="196"/>
    </row>
    <row r="52" spans="1:10" s="2" customFormat="1" x14ac:dyDescent="0.25">
      <c r="A52" s="273" t="s">
        <v>362</v>
      </c>
      <c r="B52" s="273"/>
      <c r="C52" s="273"/>
      <c r="D52" s="273"/>
      <c r="E52" s="273"/>
      <c r="F52" s="273"/>
      <c r="G52" s="273"/>
      <c r="H52" s="273"/>
      <c r="I52" s="273"/>
      <c r="J52" s="273"/>
    </row>
    <row r="53" spans="1:10" s="2" customFormat="1" x14ac:dyDescent="0.25">
      <c r="A53" s="273" t="s">
        <v>117</v>
      </c>
      <c r="B53" s="273"/>
      <c r="C53" s="273"/>
      <c r="D53" s="273"/>
      <c r="E53" s="273"/>
      <c r="F53" s="273"/>
      <c r="G53" s="273"/>
      <c r="H53" s="273"/>
      <c r="I53" s="273"/>
      <c r="J53" s="273"/>
    </row>
    <row r="54" spans="1:10" s="2" customFormat="1" x14ac:dyDescent="0.25">
      <c r="A54" s="285" t="s">
        <v>370</v>
      </c>
      <c r="B54" s="285"/>
      <c r="C54" s="285"/>
      <c r="D54" s="285"/>
      <c r="E54" s="285"/>
      <c r="F54" s="285"/>
      <c r="G54" s="285"/>
      <c r="H54" s="285"/>
      <c r="I54" s="285"/>
      <c r="J54" s="285"/>
    </row>
    <row r="55" spans="1:10" s="2" customFormat="1" x14ac:dyDescent="0.25">
      <c r="A55" s="204" t="s">
        <v>374</v>
      </c>
      <c r="B55" s="195"/>
      <c r="C55" s="195"/>
      <c r="D55" s="205"/>
      <c r="E55" s="199"/>
      <c r="F55" s="197"/>
      <c r="G55" s="201"/>
      <c r="H55" s="202"/>
      <c r="I55" s="202"/>
      <c r="J55" s="203"/>
    </row>
    <row r="56" spans="1:10" s="2" customFormat="1" x14ac:dyDescent="0.25">
      <c r="A56" s="274" t="s">
        <v>109</v>
      </c>
      <c r="B56" s="274" t="s">
        <v>118</v>
      </c>
      <c r="C56" s="274" t="s">
        <v>119</v>
      </c>
      <c r="D56" s="274" t="s">
        <v>107</v>
      </c>
      <c r="E56" s="277" t="s">
        <v>108</v>
      </c>
      <c r="F56" s="278" t="s">
        <v>102</v>
      </c>
      <c r="G56" s="279"/>
      <c r="H56" s="280"/>
      <c r="I56" s="281" t="s">
        <v>358</v>
      </c>
      <c r="J56" s="281" t="s">
        <v>1</v>
      </c>
    </row>
    <row r="57" spans="1:10" s="2" customFormat="1" x14ac:dyDescent="0.25">
      <c r="A57" s="275"/>
      <c r="B57" s="275"/>
      <c r="C57" s="275"/>
      <c r="D57" s="275"/>
      <c r="E57" s="275"/>
      <c r="F57" s="245" t="s">
        <v>103</v>
      </c>
      <c r="G57" s="278" t="s">
        <v>104</v>
      </c>
      <c r="H57" s="280"/>
      <c r="I57" s="281"/>
      <c r="J57" s="281"/>
    </row>
    <row r="58" spans="1:10" s="2" customFormat="1" x14ac:dyDescent="0.25">
      <c r="A58" s="276"/>
      <c r="B58" s="276"/>
      <c r="C58" s="276"/>
      <c r="D58" s="276"/>
      <c r="E58" s="276"/>
      <c r="F58" s="245" t="s">
        <v>105</v>
      </c>
      <c r="G58" s="245" t="s">
        <v>106</v>
      </c>
      <c r="H58" s="207" t="s">
        <v>105</v>
      </c>
      <c r="I58" s="281"/>
      <c r="J58" s="281"/>
    </row>
    <row r="59" spans="1:10" s="2" customFormat="1" x14ac:dyDescent="0.25">
      <c r="A59" s="208">
        <v>1</v>
      </c>
      <c r="B59" s="208">
        <v>2</v>
      </c>
      <c r="C59" s="208">
        <v>3</v>
      </c>
      <c r="D59" s="208">
        <v>4</v>
      </c>
      <c r="E59" s="208">
        <v>5</v>
      </c>
      <c r="F59" s="208">
        <v>7</v>
      </c>
      <c r="G59" s="208">
        <v>8</v>
      </c>
      <c r="H59" s="208">
        <v>9</v>
      </c>
      <c r="I59" s="208">
        <v>10</v>
      </c>
      <c r="J59" s="208">
        <v>11</v>
      </c>
    </row>
    <row r="60" spans="1:10" s="2" customFormat="1" x14ac:dyDescent="0.25">
      <c r="A60" s="282" t="s">
        <v>120</v>
      </c>
      <c r="B60" s="283"/>
      <c r="C60" s="283"/>
      <c r="D60" s="284"/>
      <c r="E60" s="209" t="e">
        <f>E61+#REF!+#REF!+#REF!+#REF!+#REF!+#REF!+#REF!+#REF!+#REF!</f>
        <v>#REF!</v>
      </c>
      <c r="F60" s="210" t="e">
        <f>K60/E60*100%</f>
        <v>#REF!</v>
      </c>
      <c r="G60" s="209" t="e">
        <f>G61+#REF!+#REF!+#REF!+#REF!+#REF!+#REF!+#REF!+#REF!+#REF!</f>
        <v>#REF!</v>
      </c>
      <c r="H60" s="210" t="e">
        <f>G60/E60*100%</f>
        <v>#REF!</v>
      </c>
      <c r="I60" s="210"/>
      <c r="J60" s="211"/>
    </row>
    <row r="61" spans="1:10" s="2" customFormat="1" ht="38.25" x14ac:dyDescent="0.25">
      <c r="A61" s="212">
        <v>1</v>
      </c>
      <c r="B61" s="213" t="s">
        <v>121</v>
      </c>
      <c r="C61" s="214"/>
      <c r="D61" s="214"/>
      <c r="E61" s="215">
        <f>SUM(E62:E90)</f>
        <v>21734800000</v>
      </c>
      <c r="F61" s="216">
        <f>G61/E61*100%</f>
        <v>0.45757799620884482</v>
      </c>
      <c r="G61" s="215">
        <f>SUM(G62:G90)</f>
        <v>9945366232</v>
      </c>
      <c r="H61" s="216">
        <f>G61/E61*100%</f>
        <v>0.45757799620884482</v>
      </c>
      <c r="I61" s="216"/>
      <c r="J61" s="217"/>
    </row>
    <row r="62" spans="1:10" s="2" customFormat="1" x14ac:dyDescent="0.25">
      <c r="A62" s="218"/>
      <c r="B62" s="219"/>
      <c r="C62" s="220" t="s">
        <v>35</v>
      </c>
      <c r="D62" s="221"/>
      <c r="E62" s="222"/>
      <c r="F62" s="222"/>
      <c r="G62" s="222"/>
      <c r="H62" s="222"/>
      <c r="I62" s="222"/>
      <c r="J62" s="223"/>
    </row>
    <row r="63" spans="1:10" s="2" customFormat="1" x14ac:dyDescent="0.25">
      <c r="A63" s="218"/>
      <c r="B63" s="219"/>
      <c r="C63" s="224" t="s">
        <v>129</v>
      </c>
      <c r="D63" s="225"/>
      <c r="E63" s="226"/>
      <c r="F63" s="226"/>
      <c r="G63" s="226"/>
      <c r="H63" s="226"/>
      <c r="I63" s="226"/>
      <c r="J63" s="227"/>
    </row>
    <row r="64" spans="1:10" s="2" customFormat="1" ht="25.5" x14ac:dyDescent="0.25">
      <c r="A64" s="218"/>
      <c r="B64" s="219"/>
      <c r="C64" s="228"/>
      <c r="D64" s="229" t="s">
        <v>99</v>
      </c>
      <c r="E64" s="230"/>
      <c r="F64" s="231"/>
      <c r="G64" s="230"/>
      <c r="H64" s="231"/>
      <c r="I64" s="231"/>
      <c r="J64" s="232"/>
    </row>
    <row r="65" spans="1:10" s="2" customFormat="1" x14ac:dyDescent="0.25">
      <c r="A65" s="218"/>
      <c r="B65" s="219"/>
      <c r="C65" s="228"/>
      <c r="D65" s="233" t="s">
        <v>261</v>
      </c>
      <c r="E65" s="230"/>
      <c r="F65" s="231"/>
      <c r="G65" s="230"/>
      <c r="H65" s="231"/>
      <c r="I65" s="231"/>
      <c r="J65" s="232"/>
    </row>
    <row r="66" spans="1:10" s="2" customFormat="1" ht="25.5" x14ac:dyDescent="0.25">
      <c r="A66" s="218"/>
      <c r="B66" s="219"/>
      <c r="C66" s="228"/>
      <c r="D66" s="234" t="s">
        <v>100</v>
      </c>
      <c r="E66" s="230">
        <v>2975640000</v>
      </c>
      <c r="F66" s="235">
        <f>G66/E66*100%</f>
        <v>0.31957326827169952</v>
      </c>
      <c r="G66" s="230">
        <f>950935000</f>
        <v>950935000</v>
      </c>
      <c r="H66" s="235">
        <f>G66/E66*100%</f>
        <v>0.31957326827169952</v>
      </c>
      <c r="I66" s="236"/>
      <c r="J66" s="232"/>
    </row>
    <row r="67" spans="1:10" s="2" customFormat="1" x14ac:dyDescent="0.25">
      <c r="A67" s="218"/>
      <c r="B67" s="219"/>
      <c r="C67" s="224" t="s">
        <v>36</v>
      </c>
      <c r="D67" s="225"/>
      <c r="E67" s="237"/>
      <c r="F67" s="238"/>
      <c r="G67" s="237"/>
      <c r="H67" s="238"/>
      <c r="I67" s="226"/>
      <c r="J67" s="227"/>
    </row>
    <row r="68" spans="1:10" s="2" customFormat="1" ht="25.5" x14ac:dyDescent="0.25">
      <c r="A68" s="218"/>
      <c r="B68" s="219"/>
      <c r="C68" s="228"/>
      <c r="D68" s="229" t="s">
        <v>99</v>
      </c>
      <c r="E68" s="230"/>
      <c r="F68" s="239"/>
      <c r="G68" s="230"/>
      <c r="H68" s="240"/>
      <c r="I68" s="236"/>
      <c r="J68" s="232"/>
    </row>
    <row r="69" spans="1:10" s="2" customFormat="1" x14ac:dyDescent="0.25">
      <c r="A69" s="218"/>
      <c r="B69" s="219"/>
      <c r="C69" s="228"/>
      <c r="D69" s="233" t="s">
        <v>261</v>
      </c>
      <c r="E69" s="230"/>
      <c r="F69" s="239"/>
      <c r="G69" s="230"/>
      <c r="H69" s="240"/>
      <c r="I69" s="236"/>
      <c r="J69" s="232"/>
    </row>
    <row r="70" spans="1:10" s="2" customFormat="1" ht="25.5" x14ac:dyDescent="0.25">
      <c r="A70" s="218"/>
      <c r="B70" s="219"/>
      <c r="C70" s="228"/>
      <c r="D70" s="234" t="s">
        <v>100</v>
      </c>
      <c r="E70" s="230">
        <v>2695640000</v>
      </c>
      <c r="F70" s="235">
        <f>G70/E70*100%</f>
        <v>0.52041073733881382</v>
      </c>
      <c r="G70" s="230">
        <f>1402840000</f>
        <v>1402840000</v>
      </c>
      <c r="H70" s="235">
        <f t="shared" ref="H70" si="11">G70/E70*100%</f>
        <v>0.52041073733881382</v>
      </c>
      <c r="I70" s="236"/>
      <c r="J70" s="232"/>
    </row>
    <row r="71" spans="1:10" s="2" customFormat="1" x14ac:dyDescent="0.25">
      <c r="A71" s="218"/>
      <c r="B71" s="219"/>
      <c r="C71" s="224" t="s">
        <v>37</v>
      </c>
      <c r="D71" s="225"/>
      <c r="E71" s="237"/>
      <c r="F71" s="238"/>
      <c r="G71" s="237"/>
      <c r="H71" s="238"/>
      <c r="I71" s="226"/>
      <c r="J71" s="227"/>
    </row>
    <row r="72" spans="1:10" s="2" customFormat="1" ht="25.5" x14ac:dyDescent="0.25">
      <c r="A72" s="218"/>
      <c r="B72" s="219"/>
      <c r="C72" s="228"/>
      <c r="D72" s="229" t="s">
        <v>99</v>
      </c>
      <c r="E72" s="230"/>
      <c r="F72" s="239"/>
      <c r="G72" s="230"/>
      <c r="H72" s="239"/>
      <c r="I72" s="231"/>
      <c r="J72" s="232"/>
    </row>
    <row r="73" spans="1:10" s="2" customFormat="1" x14ac:dyDescent="0.25">
      <c r="A73" s="218"/>
      <c r="B73" s="219"/>
      <c r="C73" s="228"/>
      <c r="D73" s="233" t="s">
        <v>261</v>
      </c>
      <c r="E73" s="230"/>
      <c r="F73" s="239"/>
      <c r="G73" s="230"/>
      <c r="H73" s="239"/>
      <c r="I73" s="231"/>
      <c r="J73" s="232"/>
    </row>
    <row r="74" spans="1:10" s="2" customFormat="1" ht="25.5" x14ac:dyDescent="0.25">
      <c r="A74" s="218"/>
      <c r="B74" s="219"/>
      <c r="C74" s="228"/>
      <c r="D74" s="234" t="s">
        <v>100</v>
      </c>
      <c r="E74" s="230">
        <v>2905640000</v>
      </c>
      <c r="F74" s="235">
        <f>G74/E74*100%</f>
        <v>0.27369304180834514</v>
      </c>
      <c r="G74" s="230">
        <f>795253450</f>
        <v>795253450</v>
      </c>
      <c r="H74" s="235">
        <f t="shared" ref="H74" si="12">G74/E74*100%</f>
        <v>0.27369304180834514</v>
      </c>
      <c r="I74" s="241"/>
      <c r="J74" s="232"/>
    </row>
    <row r="75" spans="1:10" s="2" customFormat="1" x14ac:dyDescent="0.25">
      <c r="A75" s="218"/>
      <c r="B75" s="219"/>
      <c r="C75" s="224" t="s">
        <v>38</v>
      </c>
      <c r="D75" s="225"/>
      <c r="E75" s="237"/>
      <c r="F75" s="238"/>
      <c r="G75" s="237"/>
      <c r="H75" s="238"/>
      <c r="I75" s="226"/>
      <c r="J75" s="227"/>
    </row>
    <row r="76" spans="1:10" s="2" customFormat="1" ht="25.5" x14ac:dyDescent="0.25">
      <c r="A76" s="218"/>
      <c r="B76" s="219"/>
      <c r="C76" s="228"/>
      <c r="D76" s="229" t="s">
        <v>99</v>
      </c>
      <c r="E76" s="230"/>
      <c r="F76" s="239"/>
      <c r="G76" s="230"/>
      <c r="H76" s="240"/>
      <c r="I76" s="236"/>
      <c r="J76" s="232"/>
    </row>
    <row r="77" spans="1:10" s="2" customFormat="1" x14ac:dyDescent="0.25">
      <c r="A77" s="218"/>
      <c r="B77" s="219"/>
      <c r="C77" s="228"/>
      <c r="D77" s="233" t="s">
        <v>261</v>
      </c>
      <c r="E77" s="230"/>
      <c r="F77" s="239"/>
      <c r="G77" s="230"/>
      <c r="H77" s="240"/>
      <c r="I77" s="236"/>
      <c r="J77" s="232"/>
    </row>
    <row r="78" spans="1:10" s="2" customFormat="1" ht="25.5" x14ac:dyDescent="0.25">
      <c r="A78" s="218"/>
      <c r="B78" s="219"/>
      <c r="C78" s="228"/>
      <c r="D78" s="234" t="s">
        <v>100</v>
      </c>
      <c r="E78" s="230">
        <v>2480900000</v>
      </c>
      <c r="F78" s="235">
        <f t="shared" ref="F78" si="13">G78/E78*100%</f>
        <v>0.66517191341851745</v>
      </c>
      <c r="G78" s="230">
        <f>1650225000</f>
        <v>1650225000</v>
      </c>
      <c r="H78" s="235">
        <f t="shared" ref="H78" si="14">G78/E78*100%</f>
        <v>0.66517191341851745</v>
      </c>
      <c r="I78" s="241"/>
      <c r="J78" s="232"/>
    </row>
    <row r="79" spans="1:10" s="2" customFormat="1" x14ac:dyDescent="0.25">
      <c r="A79" s="218"/>
      <c r="B79" s="219"/>
      <c r="C79" s="224" t="s">
        <v>39</v>
      </c>
      <c r="D79" s="225"/>
      <c r="E79" s="237"/>
      <c r="F79" s="238"/>
      <c r="G79" s="237"/>
      <c r="H79" s="238"/>
      <c r="I79" s="226"/>
      <c r="J79" s="227"/>
    </row>
    <row r="80" spans="1:10" s="2" customFormat="1" ht="25.5" x14ac:dyDescent="0.25">
      <c r="A80" s="218"/>
      <c r="B80" s="219"/>
      <c r="C80" s="228"/>
      <c r="D80" s="229" t="s">
        <v>99</v>
      </c>
      <c r="E80" s="230"/>
      <c r="F80" s="239"/>
      <c r="G80" s="230"/>
      <c r="H80" s="240"/>
      <c r="I80" s="236"/>
      <c r="J80" s="232"/>
    </row>
    <row r="81" spans="1:10" s="2" customFormat="1" x14ac:dyDescent="0.25">
      <c r="A81" s="218"/>
      <c r="B81" s="219"/>
      <c r="C81" s="228"/>
      <c r="D81" s="233" t="s">
        <v>261</v>
      </c>
      <c r="E81" s="230"/>
      <c r="F81" s="239"/>
      <c r="G81" s="230"/>
      <c r="H81" s="240"/>
      <c r="I81" s="236"/>
      <c r="J81" s="232"/>
    </row>
    <row r="82" spans="1:10" s="2" customFormat="1" ht="25.5" x14ac:dyDescent="0.25">
      <c r="A82" s="218"/>
      <c r="B82" s="219"/>
      <c r="C82" s="228"/>
      <c r="D82" s="234" t="s">
        <v>100</v>
      </c>
      <c r="E82" s="230">
        <v>3395640000</v>
      </c>
      <c r="F82" s="235">
        <f t="shared" ref="F82" si="15">G82/E82*100%</f>
        <v>0.55696805315051068</v>
      </c>
      <c r="G82" s="230">
        <f>1891263000</f>
        <v>1891263000</v>
      </c>
      <c r="H82" s="235">
        <f t="shared" ref="H82" si="16">G82/E82*100%</f>
        <v>0.55696805315051068</v>
      </c>
      <c r="I82" s="236"/>
      <c r="J82" s="232"/>
    </row>
    <row r="83" spans="1:10" s="2" customFormat="1" x14ac:dyDescent="0.25">
      <c r="A83" s="218"/>
      <c r="B83" s="219"/>
      <c r="C83" s="224" t="s">
        <v>40</v>
      </c>
      <c r="D83" s="225"/>
      <c r="E83" s="237"/>
      <c r="F83" s="238"/>
      <c r="G83" s="237"/>
      <c r="H83" s="238"/>
      <c r="I83" s="243"/>
      <c r="J83" s="227"/>
    </row>
    <row r="84" spans="1:10" s="2" customFormat="1" ht="25.5" x14ac:dyDescent="0.25">
      <c r="A84" s="218"/>
      <c r="B84" s="219"/>
      <c r="C84" s="228"/>
      <c r="D84" s="229" t="s">
        <v>99</v>
      </c>
      <c r="E84" s="230"/>
      <c r="F84" s="239"/>
      <c r="G84" s="230"/>
      <c r="H84" s="239"/>
      <c r="I84" s="231"/>
      <c r="J84" s="232"/>
    </row>
    <row r="85" spans="1:10" s="2" customFormat="1" x14ac:dyDescent="0.25">
      <c r="A85" s="218"/>
      <c r="B85" s="219"/>
      <c r="C85" s="228"/>
      <c r="D85" s="233" t="s">
        <v>261</v>
      </c>
      <c r="E85" s="230"/>
      <c r="F85" s="239"/>
      <c r="G85" s="230"/>
      <c r="H85" s="239"/>
      <c r="I85" s="231"/>
      <c r="J85" s="232"/>
    </row>
    <row r="86" spans="1:10" s="2" customFormat="1" ht="25.5" x14ac:dyDescent="0.25">
      <c r="A86" s="218"/>
      <c r="B86" s="219"/>
      <c r="C86" s="228"/>
      <c r="D86" s="234" t="s">
        <v>100</v>
      </c>
      <c r="E86" s="230">
        <v>1430900000</v>
      </c>
      <c r="F86" s="235">
        <f t="shared" ref="F86" si="17">G86/E86*100%</f>
        <v>0.24421677405828499</v>
      </c>
      <c r="G86" s="230">
        <f>349449782</f>
        <v>349449782</v>
      </c>
      <c r="H86" s="235">
        <f t="shared" ref="H86" si="18">G86/E86*100%</f>
        <v>0.24421677405828499</v>
      </c>
      <c r="I86" s="236"/>
      <c r="J86" s="232"/>
    </row>
    <row r="87" spans="1:10" s="2" customFormat="1" x14ac:dyDescent="0.25">
      <c r="A87" s="218"/>
      <c r="B87" s="219"/>
      <c r="C87" s="224" t="s">
        <v>41</v>
      </c>
      <c r="D87" s="225"/>
      <c r="E87" s="237"/>
      <c r="F87" s="238"/>
      <c r="G87" s="237"/>
      <c r="H87" s="238"/>
      <c r="I87" s="226"/>
      <c r="J87" s="227"/>
    </row>
    <row r="88" spans="1:10" s="2" customFormat="1" ht="25.5" x14ac:dyDescent="0.25">
      <c r="A88" s="218"/>
      <c r="B88" s="219"/>
      <c r="C88" s="228"/>
      <c r="D88" s="229" t="s">
        <v>99</v>
      </c>
      <c r="E88" s="230"/>
      <c r="F88" s="239"/>
      <c r="G88" s="230"/>
      <c r="H88" s="240"/>
      <c r="I88" s="236"/>
      <c r="J88" s="232"/>
    </row>
    <row r="89" spans="1:10" s="2" customFormat="1" x14ac:dyDescent="0.25">
      <c r="A89" s="218"/>
      <c r="B89" s="219"/>
      <c r="C89" s="228"/>
      <c r="D89" s="233" t="s">
        <v>261</v>
      </c>
      <c r="E89" s="230"/>
      <c r="F89" s="239"/>
      <c r="G89" s="230"/>
      <c r="H89" s="240"/>
      <c r="I89" s="236"/>
      <c r="J89" s="232"/>
    </row>
    <row r="90" spans="1:10" s="2" customFormat="1" ht="25.5" x14ac:dyDescent="0.25">
      <c r="A90" s="218"/>
      <c r="B90" s="219"/>
      <c r="C90" s="228"/>
      <c r="D90" s="234" t="s">
        <v>100</v>
      </c>
      <c r="E90" s="230">
        <v>5850440000</v>
      </c>
      <c r="F90" s="235">
        <f t="shared" ref="F90" si="19">G90/E90*100%</f>
        <v>0.49661222061930382</v>
      </c>
      <c r="G90" s="230">
        <f>564050000+2341350000</f>
        <v>2905400000</v>
      </c>
      <c r="H90" s="235">
        <f t="shared" ref="H90" si="20">G90/E90*100%</f>
        <v>0.49661222061930382</v>
      </c>
      <c r="I90" s="236"/>
      <c r="J90" s="232"/>
    </row>
    <row r="91" spans="1:10" s="2" customFormat="1" x14ac:dyDescent="0.25">
      <c r="A91" s="195"/>
      <c r="B91" s="195"/>
      <c r="C91" s="195"/>
      <c r="D91" s="195"/>
      <c r="E91" s="195"/>
      <c r="F91" s="195"/>
      <c r="G91" s="195"/>
      <c r="H91" s="195"/>
      <c r="I91" s="195"/>
      <c r="J91" s="196"/>
    </row>
    <row r="92" spans="1:10" s="2" customFormat="1" x14ac:dyDescent="0.25">
      <c r="A92" s="195"/>
      <c r="B92" s="195"/>
      <c r="C92" s="195"/>
      <c r="D92" s="195"/>
      <c r="E92" s="195"/>
      <c r="F92" s="195"/>
      <c r="G92" s="195"/>
      <c r="H92" s="195"/>
      <c r="I92" s="195"/>
      <c r="J92" s="196"/>
    </row>
    <row r="93" spans="1:10" s="2" customFormat="1" x14ac:dyDescent="0.25">
      <c r="A93" s="195"/>
      <c r="B93" s="195"/>
      <c r="C93" s="195"/>
      <c r="D93" s="195"/>
      <c r="E93" s="195"/>
      <c r="F93" s="195"/>
      <c r="G93" s="195"/>
      <c r="H93" s="195"/>
      <c r="I93" s="195"/>
      <c r="J93" s="196"/>
    </row>
    <row r="94" spans="1:10" s="2" customFormat="1" x14ac:dyDescent="0.25">
      <c r="A94" s="273" t="s">
        <v>362</v>
      </c>
      <c r="B94" s="273"/>
      <c r="C94" s="273"/>
      <c r="D94" s="273"/>
      <c r="E94" s="273"/>
      <c r="F94" s="273"/>
      <c r="G94" s="273"/>
      <c r="H94" s="273"/>
      <c r="I94" s="273"/>
      <c r="J94" s="273"/>
    </row>
    <row r="95" spans="1:10" s="2" customFormat="1" x14ac:dyDescent="0.25">
      <c r="A95" s="273" t="s">
        <v>117</v>
      </c>
      <c r="B95" s="273"/>
      <c r="C95" s="273"/>
      <c r="D95" s="273"/>
      <c r="E95" s="273"/>
      <c r="F95" s="273"/>
      <c r="G95" s="273"/>
      <c r="H95" s="273"/>
      <c r="I95" s="273"/>
      <c r="J95" s="273"/>
    </row>
    <row r="96" spans="1:10" s="2" customFormat="1" x14ac:dyDescent="0.25">
      <c r="A96" s="285" t="s">
        <v>371</v>
      </c>
      <c r="B96" s="285"/>
      <c r="C96" s="285"/>
      <c r="D96" s="285"/>
      <c r="E96" s="285"/>
      <c r="F96" s="285"/>
      <c r="G96" s="285"/>
      <c r="H96" s="285"/>
      <c r="I96" s="285"/>
      <c r="J96" s="285"/>
    </row>
    <row r="97" spans="1:10" s="2" customFormat="1" x14ac:dyDescent="0.25">
      <c r="A97" s="204" t="s">
        <v>374</v>
      </c>
      <c r="B97" s="195"/>
      <c r="C97" s="195"/>
      <c r="D97" s="205"/>
      <c r="E97" s="199"/>
      <c r="F97" s="197"/>
      <c r="G97" s="201"/>
      <c r="H97" s="202"/>
      <c r="I97" s="202"/>
      <c r="J97" s="203"/>
    </row>
    <row r="98" spans="1:10" s="2" customFormat="1" x14ac:dyDescent="0.25">
      <c r="A98" s="274" t="s">
        <v>109</v>
      </c>
      <c r="B98" s="274" t="s">
        <v>118</v>
      </c>
      <c r="C98" s="274" t="s">
        <v>119</v>
      </c>
      <c r="D98" s="274" t="s">
        <v>107</v>
      </c>
      <c r="E98" s="277" t="s">
        <v>108</v>
      </c>
      <c r="F98" s="278" t="s">
        <v>102</v>
      </c>
      <c r="G98" s="279"/>
      <c r="H98" s="280"/>
      <c r="I98" s="281" t="s">
        <v>358</v>
      </c>
      <c r="J98" s="281" t="s">
        <v>1</v>
      </c>
    </row>
    <row r="99" spans="1:10" s="2" customFormat="1" x14ac:dyDescent="0.25">
      <c r="A99" s="275"/>
      <c r="B99" s="275"/>
      <c r="C99" s="275"/>
      <c r="D99" s="275"/>
      <c r="E99" s="275"/>
      <c r="F99" s="245" t="s">
        <v>103</v>
      </c>
      <c r="G99" s="278" t="s">
        <v>104</v>
      </c>
      <c r="H99" s="280"/>
      <c r="I99" s="281"/>
      <c r="J99" s="281"/>
    </row>
    <row r="100" spans="1:10" s="2" customFormat="1" x14ac:dyDescent="0.25">
      <c r="A100" s="276"/>
      <c r="B100" s="276"/>
      <c r="C100" s="276"/>
      <c r="D100" s="276"/>
      <c r="E100" s="276"/>
      <c r="F100" s="245" t="s">
        <v>105</v>
      </c>
      <c r="G100" s="245" t="s">
        <v>106</v>
      </c>
      <c r="H100" s="207" t="s">
        <v>105</v>
      </c>
      <c r="I100" s="281"/>
      <c r="J100" s="281"/>
    </row>
    <row r="101" spans="1:10" s="2" customFormat="1" x14ac:dyDescent="0.25">
      <c r="A101" s="208">
        <v>1</v>
      </c>
      <c r="B101" s="208">
        <v>2</v>
      </c>
      <c r="C101" s="208">
        <v>3</v>
      </c>
      <c r="D101" s="208">
        <v>4</v>
      </c>
      <c r="E101" s="208">
        <v>5</v>
      </c>
      <c r="F101" s="208">
        <v>7</v>
      </c>
      <c r="G101" s="208">
        <v>8</v>
      </c>
      <c r="H101" s="208">
        <v>9</v>
      </c>
      <c r="I101" s="208">
        <v>10</v>
      </c>
      <c r="J101" s="208">
        <v>11</v>
      </c>
    </row>
    <row r="102" spans="1:10" s="2" customFormat="1" x14ac:dyDescent="0.25">
      <c r="A102" s="282" t="s">
        <v>120</v>
      </c>
      <c r="B102" s="283"/>
      <c r="C102" s="283"/>
      <c r="D102" s="284"/>
      <c r="E102" s="209" t="e">
        <f>E103+#REF!+#REF!+#REF!+#REF!+#REF!+#REF!+#REF!+#REF!+#REF!</f>
        <v>#REF!</v>
      </c>
      <c r="F102" s="210" t="e">
        <f>K102/E102*100%</f>
        <v>#REF!</v>
      </c>
      <c r="G102" s="209" t="e">
        <f>G103+#REF!+#REF!+#REF!+#REF!+#REF!+#REF!+#REF!+#REF!+#REF!</f>
        <v>#REF!</v>
      </c>
      <c r="H102" s="210" t="e">
        <f>G102/E102*100%</f>
        <v>#REF!</v>
      </c>
      <c r="I102" s="210"/>
      <c r="J102" s="211"/>
    </row>
    <row r="103" spans="1:10" s="2" customFormat="1" ht="38.25" x14ac:dyDescent="0.25">
      <c r="A103" s="212">
        <v>1</v>
      </c>
      <c r="B103" s="213" t="s">
        <v>121</v>
      </c>
      <c r="C103" s="214"/>
      <c r="D103" s="214"/>
      <c r="E103" s="215">
        <f>SUM(E104:E132)</f>
        <v>13176530952</v>
      </c>
      <c r="F103" s="216">
        <f>G103/E103*100%</f>
        <v>0.50162930122338012</v>
      </c>
      <c r="G103" s="215">
        <f>SUM(G104:G132)</f>
        <v>6609734014</v>
      </c>
      <c r="H103" s="216">
        <f>G103/E103*100%</f>
        <v>0.50162930122338012</v>
      </c>
      <c r="I103" s="216"/>
      <c r="J103" s="217"/>
    </row>
    <row r="104" spans="1:10" s="2" customFormat="1" x14ac:dyDescent="0.25">
      <c r="A104" s="218"/>
      <c r="B104" s="219"/>
      <c r="C104" s="220" t="s">
        <v>35</v>
      </c>
      <c r="D104" s="221"/>
      <c r="E104" s="222"/>
      <c r="F104" s="222"/>
      <c r="G104" s="222"/>
      <c r="H104" s="222"/>
      <c r="I104" s="222"/>
      <c r="J104" s="223"/>
    </row>
    <row r="105" spans="1:10" s="2" customFormat="1" x14ac:dyDescent="0.25">
      <c r="A105" s="218"/>
      <c r="B105" s="219"/>
      <c r="C105" s="224" t="s">
        <v>129</v>
      </c>
      <c r="D105" s="225"/>
      <c r="E105" s="226"/>
      <c r="F105" s="226"/>
      <c r="G105" s="226"/>
      <c r="H105" s="226"/>
      <c r="I105" s="226"/>
      <c r="J105" s="227"/>
    </row>
    <row r="106" spans="1:10" s="2" customFormat="1" ht="25.5" x14ac:dyDescent="0.25">
      <c r="A106" s="218"/>
      <c r="B106" s="219"/>
      <c r="C106" s="228"/>
      <c r="D106" s="229" t="s">
        <v>99</v>
      </c>
      <c r="E106" s="230"/>
      <c r="F106" s="231"/>
      <c r="G106" s="230"/>
      <c r="H106" s="231"/>
      <c r="I106" s="231"/>
      <c r="J106" s="232"/>
    </row>
    <row r="107" spans="1:10" s="2" customFormat="1" x14ac:dyDescent="0.25">
      <c r="A107" s="218"/>
      <c r="B107" s="219"/>
      <c r="C107" s="228"/>
      <c r="D107" s="233" t="s">
        <v>261</v>
      </c>
      <c r="E107" s="230"/>
      <c r="F107" s="231"/>
      <c r="G107" s="230"/>
      <c r="H107" s="231"/>
      <c r="I107" s="231"/>
      <c r="J107" s="232"/>
    </row>
    <row r="108" spans="1:10" s="2" customFormat="1" x14ac:dyDescent="0.25">
      <c r="A108" s="218"/>
      <c r="B108" s="219"/>
      <c r="C108" s="228"/>
      <c r="D108" s="234" t="s">
        <v>101</v>
      </c>
      <c r="E108" s="230">
        <v>1803960912</v>
      </c>
      <c r="F108" s="235">
        <f>G108/E108*100%</f>
        <v>0.70144491689518385</v>
      </c>
      <c r="G108" s="230">
        <f>898853212+366526000</f>
        <v>1265379212</v>
      </c>
      <c r="H108" s="235">
        <f>G108/E108*100%</f>
        <v>0.70144491689518385</v>
      </c>
      <c r="I108" s="236"/>
      <c r="J108" s="232"/>
    </row>
    <row r="109" spans="1:10" s="2" customFormat="1" x14ac:dyDescent="0.25">
      <c r="A109" s="218"/>
      <c r="B109" s="219"/>
      <c r="C109" s="224" t="s">
        <v>36</v>
      </c>
      <c r="D109" s="225"/>
      <c r="E109" s="237"/>
      <c r="F109" s="238"/>
      <c r="G109" s="237"/>
      <c r="H109" s="238"/>
      <c r="I109" s="226"/>
      <c r="J109" s="227"/>
    </row>
    <row r="110" spans="1:10" s="2" customFormat="1" ht="25.5" x14ac:dyDescent="0.25">
      <c r="A110" s="218"/>
      <c r="B110" s="219"/>
      <c r="C110" s="228"/>
      <c r="D110" s="229" t="s">
        <v>99</v>
      </c>
      <c r="E110" s="230"/>
      <c r="F110" s="239"/>
      <c r="G110" s="230"/>
      <c r="H110" s="240"/>
      <c r="I110" s="236"/>
      <c r="J110" s="232"/>
    </row>
    <row r="111" spans="1:10" s="2" customFormat="1" x14ac:dyDescent="0.25">
      <c r="A111" s="218"/>
      <c r="B111" s="219"/>
      <c r="C111" s="228"/>
      <c r="D111" s="233" t="s">
        <v>261</v>
      </c>
      <c r="E111" s="230"/>
      <c r="F111" s="239"/>
      <c r="G111" s="230"/>
      <c r="H111" s="240"/>
      <c r="I111" s="236"/>
      <c r="J111" s="232"/>
    </row>
    <row r="112" spans="1:10" s="2" customFormat="1" x14ac:dyDescent="0.25">
      <c r="A112" s="218"/>
      <c r="B112" s="219"/>
      <c r="C112" s="228"/>
      <c r="D112" s="234" t="s">
        <v>101</v>
      </c>
      <c r="E112" s="230">
        <v>1635097968</v>
      </c>
      <c r="F112" s="235">
        <f>G112/E112*100%</f>
        <v>0.4954269308956783</v>
      </c>
      <c r="G112" s="230">
        <f>810071568</f>
        <v>810071568</v>
      </c>
      <c r="H112" s="235">
        <f t="shared" ref="H112" si="21">G112/E112*100%</f>
        <v>0.4954269308956783</v>
      </c>
      <c r="I112" s="236"/>
      <c r="J112" s="232"/>
    </row>
    <row r="113" spans="1:10" s="2" customFormat="1" x14ac:dyDescent="0.25">
      <c r="A113" s="218"/>
      <c r="B113" s="219"/>
      <c r="C113" s="224" t="s">
        <v>37</v>
      </c>
      <c r="D113" s="225"/>
      <c r="E113" s="237"/>
      <c r="F113" s="238"/>
      <c r="G113" s="237"/>
      <c r="H113" s="238"/>
      <c r="I113" s="226"/>
      <c r="J113" s="227"/>
    </row>
    <row r="114" spans="1:10" s="2" customFormat="1" ht="25.5" x14ac:dyDescent="0.25">
      <c r="A114" s="218"/>
      <c r="B114" s="219"/>
      <c r="C114" s="228"/>
      <c r="D114" s="229" t="s">
        <v>99</v>
      </c>
      <c r="E114" s="230"/>
      <c r="F114" s="239"/>
      <c r="G114" s="230"/>
      <c r="H114" s="239"/>
      <c r="I114" s="231"/>
      <c r="J114" s="232"/>
    </row>
    <row r="115" spans="1:10" s="2" customFormat="1" x14ac:dyDescent="0.25">
      <c r="A115" s="218"/>
      <c r="B115" s="219"/>
      <c r="C115" s="228"/>
      <c r="D115" s="233" t="s">
        <v>261</v>
      </c>
      <c r="E115" s="230"/>
      <c r="F115" s="239"/>
      <c r="G115" s="230"/>
      <c r="H115" s="239"/>
      <c r="I115" s="231"/>
      <c r="J115" s="232"/>
    </row>
    <row r="116" spans="1:10" s="2" customFormat="1" x14ac:dyDescent="0.25">
      <c r="A116" s="218"/>
      <c r="B116" s="219"/>
      <c r="C116" s="228"/>
      <c r="D116" s="234" t="s">
        <v>101</v>
      </c>
      <c r="E116" s="230">
        <v>1761745176</v>
      </c>
      <c r="F116" s="235">
        <f>G116/E116*100%</f>
        <v>0.36368958276631036</v>
      </c>
      <c r="G116" s="230">
        <f>636728368+4000000</f>
        <v>640728368</v>
      </c>
      <c r="H116" s="235">
        <f t="shared" ref="H116" si="22">G116/E116*100%</f>
        <v>0.36368958276631036</v>
      </c>
      <c r="I116" s="236"/>
      <c r="J116" s="232"/>
    </row>
    <row r="117" spans="1:10" s="2" customFormat="1" x14ac:dyDescent="0.25">
      <c r="A117" s="218"/>
      <c r="B117" s="219"/>
      <c r="C117" s="224" t="s">
        <v>38</v>
      </c>
      <c r="D117" s="225"/>
      <c r="E117" s="237"/>
      <c r="F117" s="238"/>
      <c r="G117" s="237"/>
      <c r="H117" s="238"/>
      <c r="I117" s="226"/>
      <c r="J117" s="227"/>
    </row>
    <row r="118" spans="1:10" s="2" customFormat="1" ht="25.5" x14ac:dyDescent="0.25">
      <c r="A118" s="218"/>
      <c r="B118" s="219"/>
      <c r="C118" s="228"/>
      <c r="D118" s="229" t="s">
        <v>99</v>
      </c>
      <c r="E118" s="230"/>
      <c r="F118" s="239"/>
      <c r="G118" s="230"/>
      <c r="H118" s="240"/>
      <c r="I118" s="236"/>
      <c r="J118" s="232"/>
    </row>
    <row r="119" spans="1:10" s="2" customFormat="1" x14ac:dyDescent="0.25">
      <c r="A119" s="218"/>
      <c r="B119" s="219"/>
      <c r="C119" s="228"/>
      <c r="D119" s="233" t="s">
        <v>261</v>
      </c>
      <c r="E119" s="230"/>
      <c r="F119" s="239"/>
      <c r="G119" s="230"/>
      <c r="H119" s="240"/>
      <c r="I119" s="236"/>
      <c r="J119" s="232"/>
    </row>
    <row r="120" spans="1:10" s="2" customFormat="1" x14ac:dyDescent="0.25">
      <c r="A120" s="218"/>
      <c r="B120" s="219"/>
      <c r="C120" s="228"/>
      <c r="D120" s="234" t="s">
        <v>101</v>
      </c>
      <c r="E120" s="230">
        <v>1508450760</v>
      </c>
      <c r="F120" s="235">
        <f t="shared" ref="F120" si="23">G120/E120*100%</f>
        <v>0.56341328635745458</v>
      </c>
      <c r="G120" s="230">
        <f>812631200+37250000</f>
        <v>849881200</v>
      </c>
      <c r="H120" s="235">
        <f t="shared" ref="H120" si="24">G120/E120*100%</f>
        <v>0.56341328635745458</v>
      </c>
      <c r="I120" s="242"/>
      <c r="J120" s="232"/>
    </row>
    <row r="121" spans="1:10" s="2" customFormat="1" x14ac:dyDescent="0.25">
      <c r="A121" s="218"/>
      <c r="B121" s="219"/>
      <c r="C121" s="224" t="s">
        <v>39</v>
      </c>
      <c r="D121" s="225"/>
      <c r="E121" s="237"/>
      <c r="F121" s="238"/>
      <c r="G121" s="237"/>
      <c r="H121" s="238"/>
      <c r="I121" s="226"/>
      <c r="J121" s="227"/>
    </row>
    <row r="122" spans="1:10" s="2" customFormat="1" ht="25.5" x14ac:dyDescent="0.25">
      <c r="A122" s="218"/>
      <c r="B122" s="219"/>
      <c r="C122" s="228"/>
      <c r="D122" s="229" t="s">
        <v>99</v>
      </c>
      <c r="E122" s="230"/>
      <c r="F122" s="239"/>
      <c r="G122" s="230"/>
      <c r="H122" s="240"/>
      <c r="I122" s="236"/>
      <c r="J122" s="232"/>
    </row>
    <row r="123" spans="1:10" s="2" customFormat="1" x14ac:dyDescent="0.25">
      <c r="A123" s="218"/>
      <c r="B123" s="219"/>
      <c r="C123" s="228"/>
      <c r="D123" s="233" t="s">
        <v>261</v>
      </c>
      <c r="E123" s="230"/>
      <c r="F123" s="239"/>
      <c r="G123" s="230"/>
      <c r="H123" s="240"/>
      <c r="I123" s="236"/>
      <c r="J123" s="232"/>
    </row>
    <row r="124" spans="1:10" s="2" customFormat="1" x14ac:dyDescent="0.25">
      <c r="A124" s="218"/>
      <c r="B124" s="219"/>
      <c r="C124" s="228"/>
      <c r="D124" s="234" t="s">
        <v>101</v>
      </c>
      <c r="E124" s="230">
        <v>2057255328</v>
      </c>
      <c r="F124" s="235">
        <f t="shared" ref="F124" si="25">G124/E124*100%</f>
        <v>0.19785130822614158</v>
      </c>
      <c r="G124" s="230">
        <f>407030658</f>
        <v>407030658</v>
      </c>
      <c r="H124" s="235">
        <f t="shared" ref="H124" si="26">G124/E124*100%</f>
        <v>0.19785130822614158</v>
      </c>
      <c r="I124" s="236"/>
      <c r="J124" s="232"/>
    </row>
    <row r="125" spans="1:10" s="2" customFormat="1" x14ac:dyDescent="0.25">
      <c r="A125" s="218"/>
      <c r="B125" s="219"/>
      <c r="C125" s="224" t="s">
        <v>40</v>
      </c>
      <c r="D125" s="225"/>
      <c r="E125" s="237"/>
      <c r="F125" s="238"/>
      <c r="G125" s="237"/>
      <c r="H125" s="238"/>
      <c r="I125" s="243"/>
      <c r="J125" s="227"/>
    </row>
    <row r="126" spans="1:10" s="2" customFormat="1" ht="25.5" x14ac:dyDescent="0.25">
      <c r="A126" s="218"/>
      <c r="B126" s="219"/>
      <c r="C126" s="228"/>
      <c r="D126" s="229" t="s">
        <v>99</v>
      </c>
      <c r="E126" s="230"/>
      <c r="F126" s="239"/>
      <c r="G126" s="230"/>
      <c r="H126" s="239"/>
      <c r="I126" s="231"/>
      <c r="J126" s="232"/>
    </row>
    <row r="127" spans="1:10" s="2" customFormat="1" x14ac:dyDescent="0.25">
      <c r="A127" s="218"/>
      <c r="B127" s="219"/>
      <c r="C127" s="228"/>
      <c r="D127" s="233" t="s">
        <v>261</v>
      </c>
      <c r="E127" s="230"/>
      <c r="F127" s="239"/>
      <c r="G127" s="230"/>
      <c r="H127" s="239"/>
      <c r="I127" s="231"/>
      <c r="J127" s="232"/>
    </row>
    <row r="128" spans="1:10" s="2" customFormat="1" x14ac:dyDescent="0.25">
      <c r="A128" s="218"/>
      <c r="B128" s="219"/>
      <c r="C128" s="228"/>
      <c r="D128" s="234" t="s">
        <v>101</v>
      </c>
      <c r="E128" s="230">
        <v>870474720</v>
      </c>
      <c r="F128" s="235">
        <f t="shared" ref="F128" si="27">G128/E128*100%</f>
        <v>0.58539060157887179</v>
      </c>
      <c r="G128" s="230">
        <f>509567720</f>
        <v>509567720</v>
      </c>
      <c r="H128" s="235">
        <f t="shared" ref="H128" si="28">G128/E128*100%</f>
        <v>0.58539060157887179</v>
      </c>
      <c r="I128" s="236"/>
      <c r="J128" s="232"/>
    </row>
    <row r="129" spans="1:10" s="2" customFormat="1" x14ac:dyDescent="0.25">
      <c r="A129" s="218"/>
      <c r="B129" s="219"/>
      <c r="C129" s="224" t="s">
        <v>41</v>
      </c>
      <c r="D129" s="225"/>
      <c r="E129" s="237"/>
      <c r="F129" s="238"/>
      <c r="G129" s="237"/>
      <c r="H129" s="238"/>
      <c r="I129" s="226"/>
      <c r="J129" s="227"/>
    </row>
    <row r="130" spans="1:10" s="2" customFormat="1" ht="25.5" x14ac:dyDescent="0.25">
      <c r="A130" s="218"/>
      <c r="B130" s="219"/>
      <c r="C130" s="228"/>
      <c r="D130" s="229" t="s">
        <v>99</v>
      </c>
      <c r="E130" s="230"/>
      <c r="F130" s="239"/>
      <c r="G130" s="230"/>
      <c r="H130" s="240"/>
      <c r="I130" s="236"/>
      <c r="J130" s="232"/>
    </row>
    <row r="131" spans="1:10" s="2" customFormat="1" x14ac:dyDescent="0.25">
      <c r="A131" s="218"/>
      <c r="B131" s="219"/>
      <c r="C131" s="228"/>
      <c r="D131" s="233" t="s">
        <v>261</v>
      </c>
      <c r="E131" s="230"/>
      <c r="F131" s="239"/>
      <c r="G131" s="230"/>
      <c r="H131" s="240"/>
      <c r="I131" s="236"/>
      <c r="J131" s="232"/>
    </row>
    <row r="132" spans="1:10" s="2" customFormat="1" x14ac:dyDescent="0.25">
      <c r="A132" s="218"/>
      <c r="B132" s="219"/>
      <c r="C132" s="228"/>
      <c r="D132" s="234" t="s">
        <v>101</v>
      </c>
      <c r="E132" s="230">
        <v>3539546088</v>
      </c>
      <c r="F132" s="235">
        <f t="shared" ref="F132" si="29">G132/E132*100%</f>
        <v>0.60094578093257478</v>
      </c>
      <c r="G132" s="230">
        <f>2127075288</f>
        <v>2127075288</v>
      </c>
      <c r="H132" s="235">
        <f t="shared" ref="H132" si="30">G132/E132*100%</f>
        <v>0.60094578093257478</v>
      </c>
      <c r="I132" s="236"/>
      <c r="J132" s="232"/>
    </row>
    <row r="133" spans="1:10" s="2" customFormat="1" x14ac:dyDescent="0.25">
      <c r="A133" s="195"/>
      <c r="B133" s="195"/>
      <c r="C133" s="195"/>
      <c r="D133" s="195"/>
      <c r="E133" s="195"/>
      <c r="F133" s="195"/>
      <c r="G133" s="195"/>
      <c r="H133" s="195"/>
      <c r="I133" s="195"/>
      <c r="J133" s="196"/>
    </row>
    <row r="134" spans="1:10" s="2" customFormat="1" x14ac:dyDescent="0.25">
      <c r="A134" s="195"/>
      <c r="B134" s="195"/>
      <c r="C134" s="195"/>
      <c r="D134" s="195"/>
      <c r="E134" s="195"/>
      <c r="F134" s="195"/>
      <c r="G134" s="195"/>
      <c r="H134" s="195"/>
      <c r="I134" s="195"/>
      <c r="J134" s="196"/>
    </row>
    <row r="135" spans="1:10" s="2" customFormat="1" x14ac:dyDescent="0.25">
      <c r="A135" s="195"/>
      <c r="B135" s="195"/>
      <c r="C135" s="195"/>
      <c r="D135" s="195"/>
      <c r="E135" s="195"/>
      <c r="F135" s="195"/>
      <c r="G135" s="195"/>
      <c r="H135" s="195"/>
      <c r="I135" s="195"/>
      <c r="J135" s="196"/>
    </row>
    <row r="136" spans="1:10" s="2" customFormat="1" x14ac:dyDescent="0.25">
      <c r="A136" s="195"/>
      <c r="B136" s="195"/>
      <c r="C136" s="195"/>
      <c r="D136" s="195"/>
      <c r="E136" s="195"/>
      <c r="F136" s="195"/>
      <c r="G136" s="195"/>
      <c r="H136" s="195"/>
      <c r="I136" s="195"/>
      <c r="J136" s="196"/>
    </row>
    <row r="137" spans="1:10" s="2" customFormat="1" x14ac:dyDescent="0.25">
      <c r="A137" s="195"/>
      <c r="B137" s="195"/>
      <c r="C137" s="195"/>
      <c r="D137" s="195"/>
      <c r="E137" s="195"/>
      <c r="F137" s="195"/>
      <c r="G137" s="195"/>
      <c r="H137" s="195"/>
      <c r="I137" s="195"/>
      <c r="J137" s="196"/>
    </row>
  </sheetData>
  <mergeCells count="38">
    <mergeCell ref="G99:H99"/>
    <mergeCell ref="A102:D102"/>
    <mergeCell ref="A95:J95"/>
    <mergeCell ref="A96:J96"/>
    <mergeCell ref="A98:A100"/>
    <mergeCell ref="B98:B100"/>
    <mergeCell ref="C98:C100"/>
    <mergeCell ref="D98:D100"/>
    <mergeCell ref="E98:E100"/>
    <mergeCell ref="F98:H98"/>
    <mergeCell ref="I98:I100"/>
    <mergeCell ref="J98:J100"/>
    <mergeCell ref="A94:J94"/>
    <mergeCell ref="G7:H7"/>
    <mergeCell ref="A10:D10"/>
    <mergeCell ref="A52:J52"/>
    <mergeCell ref="A53:J53"/>
    <mergeCell ref="A54:J54"/>
    <mergeCell ref="A56:A58"/>
    <mergeCell ref="B56:B58"/>
    <mergeCell ref="C56:C58"/>
    <mergeCell ref="D56:D58"/>
    <mergeCell ref="E56:E58"/>
    <mergeCell ref="F56:H56"/>
    <mergeCell ref="I56:I58"/>
    <mergeCell ref="J56:J58"/>
    <mergeCell ref="G57:H57"/>
    <mergeCell ref="A60:D60"/>
    <mergeCell ref="A2:J2"/>
    <mergeCell ref="A3:J3"/>
    <mergeCell ref="A6:A8"/>
    <mergeCell ref="B6:B8"/>
    <mergeCell ref="C6:C8"/>
    <mergeCell ref="D6:D8"/>
    <mergeCell ref="E6:E8"/>
    <mergeCell ref="F6:H6"/>
    <mergeCell ref="I6:I8"/>
    <mergeCell ref="J6:J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138"/>
  <sheetViews>
    <sheetView zoomScaleNormal="100" workbookViewId="0">
      <selection sqref="A1:XFD1048576"/>
    </sheetView>
  </sheetViews>
  <sheetFormatPr defaultColWidth="8.7109375" defaultRowHeight="15" x14ac:dyDescent="0.25"/>
  <cols>
    <col min="1" max="1" width="4" style="2" customWidth="1"/>
    <col min="2" max="2" width="22.85546875" style="2" customWidth="1"/>
    <col min="3" max="3" width="21.85546875" style="2" customWidth="1"/>
    <col min="4" max="4" width="39.140625" style="2" bestFit="1" customWidth="1"/>
    <col min="5" max="5" width="16" style="2" customWidth="1"/>
    <col min="6" max="6" width="7" style="2" customWidth="1"/>
    <col min="7" max="7" width="15.85546875" style="2" bestFit="1" customWidth="1"/>
    <col min="8" max="8" width="6.5703125" style="2" customWidth="1"/>
    <col min="9" max="9" width="8.5703125" style="2" bestFit="1" customWidth="1"/>
    <col min="10" max="10" width="9.85546875" style="51" customWidth="1"/>
    <col min="11" max="11" width="17" style="1" customWidth="1"/>
    <col min="12" max="16" width="8.7109375" style="2"/>
    <col min="17" max="17" width="18" style="2" bestFit="1" customWidth="1"/>
    <col min="18" max="16384" width="8.7109375" style="2"/>
  </cols>
  <sheetData>
    <row r="1" spans="1:17" x14ac:dyDescent="0.25">
      <c r="A1" s="195"/>
      <c r="B1" s="195"/>
      <c r="C1" s="195"/>
      <c r="D1" s="195"/>
      <c r="E1" s="195"/>
      <c r="F1" s="195"/>
      <c r="G1" s="195"/>
      <c r="H1" s="195"/>
      <c r="I1" s="195"/>
      <c r="J1" s="196"/>
    </row>
    <row r="2" spans="1:17" x14ac:dyDescent="0.25">
      <c r="A2" s="273" t="s">
        <v>362</v>
      </c>
      <c r="B2" s="273"/>
      <c r="C2" s="273"/>
      <c r="D2" s="273"/>
      <c r="E2" s="273"/>
      <c r="F2" s="273"/>
      <c r="G2" s="273"/>
      <c r="H2" s="273"/>
      <c r="I2" s="273"/>
      <c r="J2" s="273"/>
    </row>
    <row r="3" spans="1:17" x14ac:dyDescent="0.25">
      <c r="A3" s="273" t="s">
        <v>117</v>
      </c>
      <c r="B3" s="273"/>
      <c r="C3" s="273"/>
      <c r="D3" s="273"/>
      <c r="E3" s="273"/>
      <c r="F3" s="273"/>
      <c r="G3" s="273"/>
      <c r="H3" s="273"/>
      <c r="I3" s="273"/>
      <c r="J3" s="273"/>
    </row>
    <row r="4" spans="1:17" x14ac:dyDescent="0.25">
      <c r="A4" s="204" t="s">
        <v>375</v>
      </c>
      <c r="B4" s="195"/>
      <c r="C4" s="195"/>
      <c r="D4" s="205"/>
      <c r="E4" s="199"/>
      <c r="F4" s="197"/>
      <c r="G4" s="201"/>
      <c r="H4" s="202"/>
      <c r="I4" s="202"/>
      <c r="J4" s="203"/>
    </row>
    <row r="5" spans="1:17" ht="22.5" customHeight="1" x14ac:dyDescent="0.25">
      <c r="A5" s="274" t="s">
        <v>109</v>
      </c>
      <c r="B5" s="274" t="s">
        <v>118</v>
      </c>
      <c r="C5" s="274" t="s">
        <v>119</v>
      </c>
      <c r="D5" s="274" t="s">
        <v>107</v>
      </c>
      <c r="E5" s="277" t="s">
        <v>108</v>
      </c>
      <c r="F5" s="278" t="s">
        <v>102</v>
      </c>
      <c r="G5" s="279"/>
      <c r="H5" s="280"/>
      <c r="I5" s="281" t="s">
        <v>358</v>
      </c>
      <c r="J5" s="281" t="s">
        <v>1</v>
      </c>
    </row>
    <row r="6" spans="1:17" ht="23.25" customHeight="1" x14ac:dyDescent="0.25">
      <c r="A6" s="275"/>
      <c r="B6" s="275"/>
      <c r="C6" s="275"/>
      <c r="D6" s="275"/>
      <c r="E6" s="275"/>
      <c r="F6" s="246" t="s">
        <v>103</v>
      </c>
      <c r="G6" s="278" t="s">
        <v>104</v>
      </c>
      <c r="H6" s="280"/>
      <c r="I6" s="281"/>
      <c r="J6" s="281"/>
    </row>
    <row r="7" spans="1:17" x14ac:dyDescent="0.25">
      <c r="A7" s="276"/>
      <c r="B7" s="276"/>
      <c r="C7" s="276"/>
      <c r="D7" s="276"/>
      <c r="E7" s="276"/>
      <c r="F7" s="246" t="s">
        <v>105</v>
      </c>
      <c r="G7" s="246" t="s">
        <v>106</v>
      </c>
      <c r="H7" s="207" t="s">
        <v>105</v>
      </c>
      <c r="I7" s="281"/>
      <c r="J7" s="281"/>
    </row>
    <row r="8" spans="1:17" ht="19.5" customHeight="1" x14ac:dyDescent="0.25">
      <c r="A8" s="208">
        <v>1</v>
      </c>
      <c r="B8" s="208">
        <v>2</v>
      </c>
      <c r="C8" s="208">
        <v>3</v>
      </c>
      <c r="D8" s="208">
        <v>4</v>
      </c>
      <c r="E8" s="208">
        <v>5</v>
      </c>
      <c r="F8" s="208">
        <v>7</v>
      </c>
      <c r="G8" s="208">
        <v>8</v>
      </c>
      <c r="H8" s="208">
        <v>9</v>
      </c>
      <c r="I8" s="208">
        <v>10</v>
      </c>
      <c r="J8" s="208">
        <v>11</v>
      </c>
      <c r="Q8" s="190"/>
    </row>
    <row r="9" spans="1:17" ht="30.75" customHeight="1" x14ac:dyDescent="0.25">
      <c r="A9" s="282" t="s">
        <v>120</v>
      </c>
      <c r="B9" s="283"/>
      <c r="C9" s="283"/>
      <c r="D9" s="284"/>
      <c r="E9" s="209" t="e">
        <f>E10+#REF!+#REF!+#REF!+#REF!+#REF!+#REF!+#REF!+#REF!+#REF!</f>
        <v>#REF!</v>
      </c>
      <c r="F9" s="210" t="e">
        <f>K9/E9*100%</f>
        <v>#REF!</v>
      </c>
      <c r="G9" s="209" t="e">
        <f>G10+#REF!+#REF!+#REF!+#REF!+#REF!+#REF!+#REF!+#REF!+#REF!</f>
        <v>#REF!</v>
      </c>
      <c r="H9" s="210" t="e">
        <f>G9/E9*100%</f>
        <v>#REF!</v>
      </c>
      <c r="I9" s="210"/>
      <c r="J9" s="211"/>
      <c r="K9" s="14" t="e">
        <f>K10+#REF!+#REF!+#REF!+#REF!+#REF!+#REF!+#REF!+#REF!+#REF!</f>
        <v>#REF!</v>
      </c>
      <c r="Q9" s="190">
        <v>1213208971484</v>
      </c>
    </row>
    <row r="10" spans="1:17" ht="56.25" customHeight="1" x14ac:dyDescent="0.25">
      <c r="A10" s="212">
        <v>1</v>
      </c>
      <c r="B10" s="213" t="s">
        <v>121</v>
      </c>
      <c r="C10" s="214"/>
      <c r="D10" s="214"/>
      <c r="E10" s="215">
        <f>SUM(E11:E46)</f>
        <v>34911330952</v>
      </c>
      <c r="F10" s="216">
        <f>G10/E10*100%</f>
        <v>0.75989924046365243</v>
      </c>
      <c r="G10" s="215">
        <f>SUM(G11:G46)</f>
        <v>26529093874</v>
      </c>
      <c r="H10" s="216">
        <f>G10/E10*100%</f>
        <v>0.75989924046365243</v>
      </c>
      <c r="I10" s="216"/>
      <c r="J10" s="217"/>
      <c r="K10" s="1">
        <f>K15+K16+K20+K21+K25+K26+K30+K31+K35+K36+K40+K41+K45+K46</f>
        <v>0</v>
      </c>
      <c r="Q10" s="191" t="e">
        <f>E9-Q9</f>
        <v>#REF!</v>
      </c>
    </row>
    <row r="11" spans="1:17" x14ac:dyDescent="0.25">
      <c r="A11" s="218"/>
      <c r="B11" s="219"/>
      <c r="C11" s="220" t="s">
        <v>35</v>
      </c>
      <c r="D11" s="221"/>
      <c r="E11" s="222"/>
      <c r="F11" s="222"/>
      <c r="G11" s="222"/>
      <c r="H11" s="222"/>
      <c r="I11" s="222"/>
      <c r="J11" s="223"/>
    </row>
    <row r="12" spans="1:17" x14ac:dyDescent="0.25">
      <c r="A12" s="218"/>
      <c r="B12" s="219"/>
      <c r="C12" s="224" t="s">
        <v>129</v>
      </c>
      <c r="D12" s="225"/>
      <c r="E12" s="226"/>
      <c r="F12" s="226"/>
      <c r="G12" s="226"/>
      <c r="H12" s="226"/>
      <c r="I12" s="226"/>
      <c r="J12" s="227"/>
    </row>
    <row r="13" spans="1:17" ht="25.5" x14ac:dyDescent="0.25">
      <c r="A13" s="218"/>
      <c r="B13" s="219"/>
      <c r="C13" s="228"/>
      <c r="D13" s="229" t="s">
        <v>99</v>
      </c>
      <c r="E13" s="230"/>
      <c r="F13" s="231"/>
      <c r="G13" s="230"/>
      <c r="H13" s="231"/>
      <c r="I13" s="231"/>
      <c r="J13" s="232"/>
    </row>
    <row r="14" spans="1:17" x14ac:dyDescent="0.25">
      <c r="A14" s="218"/>
      <c r="B14" s="219"/>
      <c r="C14" s="228"/>
      <c r="D14" s="233" t="s">
        <v>261</v>
      </c>
      <c r="E14" s="230"/>
      <c r="F14" s="231"/>
      <c r="G14" s="230"/>
      <c r="H14" s="231"/>
      <c r="I14" s="231"/>
      <c r="J14" s="232"/>
    </row>
    <row r="15" spans="1:17" ht="25.5" x14ac:dyDescent="0.25">
      <c r="A15" s="218"/>
      <c r="B15" s="219"/>
      <c r="C15" s="228"/>
      <c r="D15" s="234" t="s">
        <v>100</v>
      </c>
      <c r="E15" s="230">
        <v>2975640000</v>
      </c>
      <c r="F15" s="235">
        <f>G15/E15*100%</f>
        <v>0.99600758156228575</v>
      </c>
      <c r="G15" s="230">
        <f>962815000+2000945000</f>
        <v>2963760000</v>
      </c>
      <c r="H15" s="235">
        <f>G15/E15*100%</f>
        <v>0.99600758156228575</v>
      </c>
      <c r="I15" s="236"/>
      <c r="J15" s="232"/>
    </row>
    <row r="16" spans="1:17" x14ac:dyDescent="0.25">
      <c r="A16" s="218"/>
      <c r="B16" s="219"/>
      <c r="C16" s="228"/>
      <c r="D16" s="234" t="s">
        <v>101</v>
      </c>
      <c r="E16" s="230">
        <v>1803960912</v>
      </c>
      <c r="F16" s="235">
        <f>G16/E16*100%</f>
        <v>0.70740956941532662</v>
      </c>
      <c r="G16" s="230">
        <f>909613212+366526000</f>
        <v>1276139212</v>
      </c>
      <c r="H16" s="235">
        <f t="shared" ref="H16" si="0">G16/E16*100%</f>
        <v>0.70740956941532662</v>
      </c>
      <c r="I16" s="236"/>
      <c r="J16" s="232"/>
    </row>
    <row r="17" spans="1:10" s="2" customFormat="1" x14ac:dyDescent="0.25">
      <c r="A17" s="218"/>
      <c r="B17" s="219"/>
      <c r="C17" s="224" t="s">
        <v>36</v>
      </c>
      <c r="D17" s="225"/>
      <c r="E17" s="237"/>
      <c r="F17" s="238"/>
      <c r="G17" s="237"/>
      <c r="H17" s="238"/>
      <c r="I17" s="226"/>
      <c r="J17" s="227"/>
    </row>
    <row r="18" spans="1:10" s="2" customFormat="1" ht="25.5" x14ac:dyDescent="0.25">
      <c r="A18" s="218"/>
      <c r="B18" s="219"/>
      <c r="C18" s="228"/>
      <c r="D18" s="229" t="s">
        <v>99</v>
      </c>
      <c r="E18" s="230"/>
      <c r="F18" s="239"/>
      <c r="G18" s="230"/>
      <c r="H18" s="240"/>
      <c r="I18" s="236"/>
      <c r="J18" s="232"/>
    </row>
    <row r="19" spans="1:10" s="2" customFormat="1" x14ac:dyDescent="0.25">
      <c r="A19" s="218"/>
      <c r="B19" s="219"/>
      <c r="C19" s="228"/>
      <c r="D19" s="233" t="s">
        <v>261</v>
      </c>
      <c r="E19" s="230"/>
      <c r="F19" s="239"/>
      <c r="G19" s="230"/>
      <c r="H19" s="240"/>
      <c r="I19" s="236"/>
      <c r="J19" s="232"/>
    </row>
    <row r="20" spans="1:10" s="2" customFormat="1" ht="25.5" x14ac:dyDescent="0.25">
      <c r="A20" s="218"/>
      <c r="B20" s="219"/>
      <c r="C20" s="228"/>
      <c r="D20" s="234" t="s">
        <v>100</v>
      </c>
      <c r="E20" s="230">
        <v>2695640000</v>
      </c>
      <c r="F20" s="235">
        <f>G20/E20*100%</f>
        <v>0.81182947277826412</v>
      </c>
      <c r="G20" s="230">
        <f>244500000+1943900000</f>
        <v>2188400000</v>
      </c>
      <c r="H20" s="235">
        <f t="shared" ref="H20:H21" si="1">G20/E20*100%</f>
        <v>0.81182947277826412</v>
      </c>
      <c r="I20" s="236"/>
      <c r="J20" s="232"/>
    </row>
    <row r="21" spans="1:10" s="2" customFormat="1" x14ac:dyDescent="0.25">
      <c r="A21" s="218"/>
      <c r="B21" s="219"/>
      <c r="C21" s="228"/>
      <c r="D21" s="234" t="s">
        <v>101</v>
      </c>
      <c r="E21" s="230">
        <v>1635097968</v>
      </c>
      <c r="F21" s="235">
        <f>G21/E21*100%</f>
        <v>0.62283605504425654</v>
      </c>
      <c r="G21" s="230">
        <f>810071568+208326400</f>
        <v>1018397968</v>
      </c>
      <c r="H21" s="235">
        <f t="shared" si="1"/>
        <v>0.62283605504425654</v>
      </c>
      <c r="I21" s="236"/>
      <c r="J21" s="232"/>
    </row>
    <row r="22" spans="1:10" s="2" customFormat="1" x14ac:dyDescent="0.25">
      <c r="A22" s="218"/>
      <c r="B22" s="219"/>
      <c r="C22" s="224" t="s">
        <v>37</v>
      </c>
      <c r="D22" s="225"/>
      <c r="E22" s="237"/>
      <c r="F22" s="238"/>
      <c r="G22" s="237"/>
      <c r="H22" s="238"/>
      <c r="I22" s="226"/>
      <c r="J22" s="227"/>
    </row>
    <row r="23" spans="1:10" s="2" customFormat="1" ht="25.5" x14ac:dyDescent="0.25">
      <c r="A23" s="218"/>
      <c r="B23" s="219"/>
      <c r="C23" s="228"/>
      <c r="D23" s="229" t="s">
        <v>99</v>
      </c>
      <c r="E23" s="230"/>
      <c r="F23" s="239"/>
      <c r="G23" s="230"/>
      <c r="H23" s="239"/>
      <c r="I23" s="231"/>
      <c r="J23" s="232"/>
    </row>
    <row r="24" spans="1:10" s="2" customFormat="1" x14ac:dyDescent="0.25">
      <c r="A24" s="218"/>
      <c r="B24" s="219"/>
      <c r="C24" s="228"/>
      <c r="D24" s="233" t="s">
        <v>261</v>
      </c>
      <c r="E24" s="230"/>
      <c r="F24" s="239"/>
      <c r="G24" s="230"/>
      <c r="H24" s="239"/>
      <c r="I24" s="231"/>
      <c r="J24" s="232"/>
    </row>
    <row r="25" spans="1:10" s="2" customFormat="1" ht="25.5" x14ac:dyDescent="0.25">
      <c r="A25" s="218"/>
      <c r="B25" s="219"/>
      <c r="C25" s="228"/>
      <c r="D25" s="234" t="s">
        <v>100</v>
      </c>
      <c r="E25" s="230">
        <v>2905640000</v>
      </c>
      <c r="F25" s="235">
        <f>G25/E25*100%</f>
        <v>0.37318700871408711</v>
      </c>
      <c r="G25" s="230">
        <f>1084347100</f>
        <v>1084347100</v>
      </c>
      <c r="H25" s="235">
        <f t="shared" ref="H25:H26" si="2">G25/E25*100%</f>
        <v>0.37318700871408711</v>
      </c>
      <c r="I25" s="241"/>
      <c r="J25" s="232"/>
    </row>
    <row r="26" spans="1:10" s="2" customFormat="1" x14ac:dyDescent="0.25">
      <c r="A26" s="218"/>
      <c r="B26" s="219"/>
      <c r="C26" s="228"/>
      <c r="D26" s="234" t="s">
        <v>101</v>
      </c>
      <c r="E26" s="230">
        <v>1761745176</v>
      </c>
      <c r="F26" s="235">
        <f>G26/E26*100%</f>
        <v>0.43315025259930101</v>
      </c>
      <c r="G26" s="230">
        <f>763100368</f>
        <v>763100368</v>
      </c>
      <c r="H26" s="235">
        <f t="shared" si="2"/>
        <v>0.43315025259930101</v>
      </c>
      <c r="I26" s="236"/>
      <c r="J26" s="232"/>
    </row>
    <row r="27" spans="1:10" s="2" customFormat="1" x14ac:dyDescent="0.25">
      <c r="A27" s="218"/>
      <c r="B27" s="219"/>
      <c r="C27" s="224" t="s">
        <v>38</v>
      </c>
      <c r="D27" s="225"/>
      <c r="E27" s="237"/>
      <c r="F27" s="238"/>
      <c r="G27" s="237"/>
      <c r="H27" s="238"/>
      <c r="I27" s="226"/>
      <c r="J27" s="227"/>
    </row>
    <row r="28" spans="1:10" s="2" customFormat="1" ht="25.5" x14ac:dyDescent="0.25">
      <c r="A28" s="218"/>
      <c r="B28" s="219"/>
      <c r="C28" s="228"/>
      <c r="D28" s="229" t="s">
        <v>99</v>
      </c>
      <c r="E28" s="230"/>
      <c r="F28" s="239"/>
      <c r="G28" s="230"/>
      <c r="H28" s="240"/>
      <c r="I28" s="236"/>
      <c r="J28" s="232"/>
    </row>
    <row r="29" spans="1:10" s="2" customFormat="1" x14ac:dyDescent="0.25">
      <c r="A29" s="218"/>
      <c r="B29" s="219"/>
      <c r="C29" s="228"/>
      <c r="D29" s="233" t="s">
        <v>261</v>
      </c>
      <c r="E29" s="230"/>
      <c r="F29" s="239"/>
      <c r="G29" s="230"/>
      <c r="H29" s="240"/>
      <c r="I29" s="236"/>
      <c r="J29" s="232"/>
    </row>
    <row r="30" spans="1:10" s="2" customFormat="1" ht="25.5" x14ac:dyDescent="0.25">
      <c r="A30" s="218"/>
      <c r="B30" s="219"/>
      <c r="C30" s="228"/>
      <c r="D30" s="234" t="s">
        <v>100</v>
      </c>
      <c r="E30" s="230">
        <v>2480900000</v>
      </c>
      <c r="F30" s="235">
        <f t="shared" ref="F30:F31" si="3">G30/E30*100%</f>
        <v>0.94033415292837275</v>
      </c>
      <c r="G30" s="230">
        <f>2332875000</f>
        <v>2332875000</v>
      </c>
      <c r="H30" s="235">
        <f t="shared" ref="H30:H31" si="4">G30/E30*100%</f>
        <v>0.94033415292837275</v>
      </c>
      <c r="I30" s="241"/>
      <c r="J30" s="232"/>
    </row>
    <row r="31" spans="1:10" s="2" customFormat="1" x14ac:dyDescent="0.25">
      <c r="A31" s="218"/>
      <c r="B31" s="219"/>
      <c r="C31" s="228"/>
      <c r="D31" s="234" t="s">
        <v>101</v>
      </c>
      <c r="E31" s="230">
        <v>1508450760</v>
      </c>
      <c r="F31" s="235">
        <f t="shared" si="3"/>
        <v>0.84754610087504612</v>
      </c>
      <c r="G31" s="230">
        <f>1278481560</f>
        <v>1278481560</v>
      </c>
      <c r="H31" s="235">
        <f t="shared" si="4"/>
        <v>0.84754610087504612</v>
      </c>
      <c r="I31" s="242"/>
      <c r="J31" s="232"/>
    </row>
    <row r="32" spans="1:10" s="2" customFormat="1" x14ac:dyDescent="0.25">
      <c r="A32" s="218"/>
      <c r="B32" s="219"/>
      <c r="C32" s="224" t="s">
        <v>39</v>
      </c>
      <c r="D32" s="225"/>
      <c r="E32" s="237"/>
      <c r="F32" s="238"/>
      <c r="G32" s="237"/>
      <c r="H32" s="238"/>
      <c r="I32" s="226"/>
      <c r="J32" s="227"/>
    </row>
    <row r="33" spans="1:11" ht="25.5" x14ac:dyDescent="0.25">
      <c r="A33" s="218"/>
      <c r="B33" s="219"/>
      <c r="C33" s="228"/>
      <c r="D33" s="229" t="s">
        <v>99</v>
      </c>
      <c r="E33" s="230"/>
      <c r="F33" s="239"/>
      <c r="G33" s="230"/>
      <c r="H33" s="240"/>
      <c r="I33" s="236"/>
      <c r="J33" s="232"/>
    </row>
    <row r="34" spans="1:11" x14ac:dyDescent="0.25">
      <c r="A34" s="218"/>
      <c r="B34" s="219"/>
      <c r="C34" s="228"/>
      <c r="D34" s="233" t="s">
        <v>261</v>
      </c>
      <c r="E34" s="230"/>
      <c r="F34" s="239"/>
      <c r="G34" s="230"/>
      <c r="H34" s="240"/>
      <c r="I34" s="236"/>
      <c r="J34" s="232"/>
    </row>
    <row r="35" spans="1:11" ht="25.5" x14ac:dyDescent="0.25">
      <c r="A35" s="218"/>
      <c r="B35" s="219"/>
      <c r="C35" s="228"/>
      <c r="D35" s="234" t="s">
        <v>100</v>
      </c>
      <c r="E35" s="230">
        <v>3395640000</v>
      </c>
      <c r="F35" s="235">
        <f t="shared" ref="F35:F36" si="5">G35/E35*100%</f>
        <v>0.99650139590769338</v>
      </c>
      <c r="G35" s="230">
        <f>3383760000</f>
        <v>3383760000</v>
      </c>
      <c r="H35" s="235">
        <f t="shared" ref="H35:H36" si="6">G35/E35*100%</f>
        <v>0.99650139590769338</v>
      </c>
      <c r="I35" s="236"/>
      <c r="J35" s="232"/>
    </row>
    <row r="36" spans="1:11" x14ac:dyDescent="0.25">
      <c r="A36" s="218"/>
      <c r="B36" s="219"/>
      <c r="C36" s="228"/>
      <c r="D36" s="234" t="s">
        <v>101</v>
      </c>
      <c r="E36" s="230">
        <v>2057255328</v>
      </c>
      <c r="F36" s="235">
        <f t="shared" si="5"/>
        <v>0.38669028932513716</v>
      </c>
      <c r="G36" s="230">
        <f>795520658</f>
        <v>795520658</v>
      </c>
      <c r="H36" s="235">
        <f t="shared" si="6"/>
        <v>0.38669028932513716</v>
      </c>
      <c r="I36" s="236"/>
      <c r="J36" s="232"/>
    </row>
    <row r="37" spans="1:11" x14ac:dyDescent="0.25">
      <c r="A37" s="218"/>
      <c r="B37" s="219"/>
      <c r="C37" s="224" t="s">
        <v>40</v>
      </c>
      <c r="D37" s="225"/>
      <c r="E37" s="237"/>
      <c r="F37" s="238"/>
      <c r="G37" s="237"/>
      <c r="H37" s="238"/>
      <c r="I37" s="243"/>
      <c r="J37" s="227"/>
    </row>
    <row r="38" spans="1:11" ht="25.5" x14ac:dyDescent="0.25">
      <c r="A38" s="218"/>
      <c r="B38" s="219"/>
      <c r="C38" s="228"/>
      <c r="D38" s="229" t="s">
        <v>99</v>
      </c>
      <c r="E38" s="230"/>
      <c r="F38" s="239"/>
      <c r="G38" s="230"/>
      <c r="H38" s="239"/>
      <c r="I38" s="231"/>
      <c r="J38" s="232"/>
    </row>
    <row r="39" spans="1:11" x14ac:dyDescent="0.25">
      <c r="A39" s="218"/>
      <c r="B39" s="219"/>
      <c r="C39" s="228"/>
      <c r="D39" s="233" t="s">
        <v>261</v>
      </c>
      <c r="E39" s="230"/>
      <c r="F39" s="239"/>
      <c r="G39" s="230"/>
      <c r="H39" s="239"/>
      <c r="I39" s="231"/>
      <c r="J39" s="232"/>
    </row>
    <row r="40" spans="1:11" ht="25.5" x14ac:dyDescent="0.25">
      <c r="A40" s="218"/>
      <c r="B40" s="219"/>
      <c r="C40" s="228"/>
      <c r="D40" s="234" t="s">
        <v>100</v>
      </c>
      <c r="E40" s="230">
        <v>1430900000</v>
      </c>
      <c r="F40" s="235">
        <f t="shared" ref="F40:F41" si="7">G40/E40*100%</f>
        <v>0.98484869662450203</v>
      </c>
      <c r="G40" s="230">
        <f>1409220000</f>
        <v>1409220000</v>
      </c>
      <c r="H40" s="235">
        <f t="shared" ref="H40:H41" si="8">G40/E40*100%</f>
        <v>0.98484869662450203</v>
      </c>
      <c r="I40" s="236"/>
      <c r="J40" s="232"/>
    </row>
    <row r="41" spans="1:11" x14ac:dyDescent="0.25">
      <c r="A41" s="218"/>
      <c r="B41" s="219"/>
      <c r="C41" s="228"/>
      <c r="D41" s="234" t="s">
        <v>101</v>
      </c>
      <c r="E41" s="230">
        <v>870474720</v>
      </c>
      <c r="F41" s="235">
        <f t="shared" si="7"/>
        <v>0.73682429284103734</v>
      </c>
      <c r="G41" s="230">
        <f>641386920</f>
        <v>641386920</v>
      </c>
      <c r="H41" s="235">
        <f t="shared" si="8"/>
        <v>0.73682429284103734</v>
      </c>
      <c r="I41" s="236"/>
      <c r="J41" s="232"/>
    </row>
    <row r="42" spans="1:11" x14ac:dyDescent="0.25">
      <c r="A42" s="218"/>
      <c r="B42" s="219"/>
      <c r="C42" s="224" t="s">
        <v>41</v>
      </c>
      <c r="D42" s="225"/>
      <c r="E42" s="237"/>
      <c r="F42" s="238"/>
      <c r="G42" s="237"/>
      <c r="H42" s="238"/>
      <c r="I42" s="226"/>
      <c r="J42" s="227"/>
    </row>
    <row r="43" spans="1:11" ht="25.5" x14ac:dyDescent="0.25">
      <c r="A43" s="218"/>
      <c r="B43" s="219"/>
      <c r="C43" s="228"/>
      <c r="D43" s="229" t="s">
        <v>99</v>
      </c>
      <c r="E43" s="230"/>
      <c r="F43" s="239"/>
      <c r="G43" s="230"/>
      <c r="H43" s="240"/>
      <c r="I43" s="236"/>
      <c r="J43" s="232"/>
    </row>
    <row r="44" spans="1:11" x14ac:dyDescent="0.25">
      <c r="A44" s="218"/>
      <c r="B44" s="219"/>
      <c r="C44" s="228"/>
      <c r="D44" s="233" t="s">
        <v>261</v>
      </c>
      <c r="E44" s="230"/>
      <c r="F44" s="239"/>
      <c r="G44" s="230"/>
      <c r="H44" s="240"/>
      <c r="I44" s="236"/>
      <c r="J44" s="232"/>
    </row>
    <row r="45" spans="1:11" ht="25.5" x14ac:dyDescent="0.25">
      <c r="A45" s="218"/>
      <c r="B45" s="219"/>
      <c r="C45" s="228"/>
      <c r="D45" s="234" t="s">
        <v>100</v>
      </c>
      <c r="E45" s="230">
        <v>5850440000</v>
      </c>
      <c r="F45" s="235">
        <f t="shared" ref="F45:F46" si="9">G45/E45*100%</f>
        <v>0.82826590820519486</v>
      </c>
      <c r="G45" s="230">
        <f>1348650000+3497070000</f>
        <v>4845720000</v>
      </c>
      <c r="H45" s="235">
        <f t="shared" ref="H45:H46" si="10">G45/E45*100%</f>
        <v>0.82826590820519486</v>
      </c>
      <c r="I45" s="236"/>
      <c r="J45" s="232"/>
    </row>
    <row r="46" spans="1:11" x14ac:dyDescent="0.25">
      <c r="A46" s="218"/>
      <c r="B46" s="219"/>
      <c r="C46" s="228"/>
      <c r="D46" s="234" t="s">
        <v>101</v>
      </c>
      <c r="E46" s="230">
        <v>3539546088</v>
      </c>
      <c r="F46" s="235">
        <f t="shared" si="9"/>
        <v>0.71986210227304148</v>
      </c>
      <c r="G46" s="230">
        <f>1583115888+964869200</f>
        <v>2547985088</v>
      </c>
      <c r="H46" s="235">
        <f t="shared" si="10"/>
        <v>0.71986210227304148</v>
      </c>
      <c r="I46" s="236"/>
      <c r="J46" s="232"/>
    </row>
    <row r="47" spans="1:11" x14ac:dyDescent="0.25">
      <c r="A47" s="195"/>
      <c r="B47" s="195"/>
      <c r="C47" s="195"/>
      <c r="D47" s="195"/>
      <c r="E47" s="195"/>
      <c r="F47" s="195"/>
      <c r="G47" s="195"/>
      <c r="H47" s="195"/>
      <c r="I47" s="195"/>
      <c r="J47" s="196"/>
    </row>
    <row r="48" spans="1:11" x14ac:dyDescent="0.25">
      <c r="A48" s="195"/>
      <c r="B48" s="195"/>
      <c r="C48" s="195"/>
      <c r="D48" s="195"/>
      <c r="E48" s="195"/>
      <c r="F48" s="195"/>
      <c r="G48" s="195"/>
      <c r="H48" s="195"/>
      <c r="I48" s="195"/>
      <c r="J48" s="196"/>
      <c r="K48" s="2"/>
    </row>
    <row r="49" spans="1:11" x14ac:dyDescent="0.25">
      <c r="A49" s="195"/>
      <c r="B49" s="195"/>
      <c r="C49" s="195"/>
      <c r="D49" s="195"/>
      <c r="E49" s="195"/>
      <c r="F49" s="195"/>
      <c r="G49" s="195"/>
      <c r="H49" s="195"/>
      <c r="I49" s="195"/>
      <c r="J49" s="196"/>
      <c r="K49" s="2"/>
    </row>
    <row r="50" spans="1:11" x14ac:dyDescent="0.25">
      <c r="A50" s="195"/>
      <c r="B50" s="195"/>
      <c r="C50" s="195"/>
      <c r="D50" s="195"/>
      <c r="E50" s="195"/>
      <c r="F50" s="195"/>
      <c r="G50" s="195"/>
      <c r="H50" s="195"/>
      <c r="I50" s="195"/>
      <c r="J50" s="196"/>
      <c r="K50" s="2"/>
    </row>
    <row r="51" spans="1:11" x14ac:dyDescent="0.25">
      <c r="A51" s="273" t="s">
        <v>362</v>
      </c>
      <c r="B51" s="273"/>
      <c r="C51" s="273"/>
      <c r="D51" s="273"/>
      <c r="E51" s="273"/>
      <c r="F51" s="273"/>
      <c r="G51" s="273"/>
      <c r="H51" s="273"/>
      <c r="I51" s="273"/>
      <c r="J51" s="273"/>
      <c r="K51" s="2"/>
    </row>
    <row r="52" spans="1:11" x14ac:dyDescent="0.25">
      <c r="A52" s="273" t="s">
        <v>117</v>
      </c>
      <c r="B52" s="273"/>
      <c r="C52" s="273"/>
      <c r="D52" s="273"/>
      <c r="E52" s="273"/>
      <c r="F52" s="273"/>
      <c r="G52" s="273"/>
      <c r="H52" s="273"/>
      <c r="I52" s="273"/>
      <c r="J52" s="273"/>
      <c r="K52" s="2"/>
    </row>
    <row r="53" spans="1:11" x14ac:dyDescent="0.25">
      <c r="A53" s="285" t="s">
        <v>370</v>
      </c>
      <c r="B53" s="285"/>
      <c r="C53" s="285"/>
      <c r="D53" s="285"/>
      <c r="E53" s="285"/>
      <c r="F53" s="285"/>
      <c r="G53" s="285"/>
      <c r="H53" s="285"/>
      <c r="I53" s="285"/>
      <c r="J53" s="285"/>
      <c r="K53" s="2"/>
    </row>
    <row r="54" spans="1:11" x14ac:dyDescent="0.25">
      <c r="A54" s="247"/>
      <c r="B54" s="247"/>
      <c r="C54" s="247"/>
      <c r="D54" s="247"/>
      <c r="E54" s="247"/>
      <c r="F54" s="247"/>
      <c r="G54" s="247"/>
      <c r="H54" s="247"/>
      <c r="I54" s="247"/>
      <c r="J54" s="247"/>
      <c r="K54" s="2"/>
    </row>
    <row r="55" spans="1:11" x14ac:dyDescent="0.25">
      <c r="A55" s="247"/>
      <c r="B55" s="247"/>
      <c r="C55" s="247"/>
      <c r="D55" s="247"/>
      <c r="E55" s="247"/>
      <c r="F55" s="247"/>
      <c r="G55" s="247"/>
      <c r="H55" s="247"/>
      <c r="I55" s="247"/>
      <c r="J55" s="247"/>
      <c r="K55" s="2"/>
    </row>
    <row r="56" spans="1:11" x14ac:dyDescent="0.25">
      <c r="A56" s="204" t="s">
        <v>375</v>
      </c>
      <c r="B56" s="195"/>
      <c r="C56" s="195"/>
      <c r="D56" s="205"/>
      <c r="E56" s="199"/>
      <c r="F56" s="197"/>
      <c r="G56" s="201"/>
      <c r="H56" s="202"/>
      <c r="I56" s="202"/>
      <c r="J56" s="203"/>
      <c r="K56" s="2"/>
    </row>
    <row r="57" spans="1:11" x14ac:dyDescent="0.25">
      <c r="A57" s="274" t="s">
        <v>109</v>
      </c>
      <c r="B57" s="274" t="s">
        <v>118</v>
      </c>
      <c r="C57" s="274" t="s">
        <v>119</v>
      </c>
      <c r="D57" s="274" t="s">
        <v>107</v>
      </c>
      <c r="E57" s="277" t="s">
        <v>108</v>
      </c>
      <c r="F57" s="278" t="s">
        <v>102</v>
      </c>
      <c r="G57" s="279"/>
      <c r="H57" s="280"/>
      <c r="I57" s="281" t="s">
        <v>358</v>
      </c>
      <c r="J57" s="281" t="s">
        <v>1</v>
      </c>
      <c r="K57" s="2"/>
    </row>
    <row r="58" spans="1:11" x14ac:dyDescent="0.25">
      <c r="A58" s="275"/>
      <c r="B58" s="275"/>
      <c r="C58" s="275"/>
      <c r="D58" s="275"/>
      <c r="E58" s="275"/>
      <c r="F58" s="246" t="s">
        <v>103</v>
      </c>
      <c r="G58" s="278" t="s">
        <v>104</v>
      </c>
      <c r="H58" s="280"/>
      <c r="I58" s="281"/>
      <c r="J58" s="281"/>
      <c r="K58" s="2"/>
    </row>
    <row r="59" spans="1:11" x14ac:dyDescent="0.25">
      <c r="A59" s="276"/>
      <c r="B59" s="276"/>
      <c r="C59" s="276"/>
      <c r="D59" s="276"/>
      <c r="E59" s="276"/>
      <c r="F59" s="246" t="s">
        <v>105</v>
      </c>
      <c r="G59" s="246" t="s">
        <v>106</v>
      </c>
      <c r="H59" s="207" t="s">
        <v>105</v>
      </c>
      <c r="I59" s="281"/>
      <c r="J59" s="281"/>
      <c r="K59" s="2"/>
    </row>
    <row r="60" spans="1:11" x14ac:dyDescent="0.25">
      <c r="A60" s="208">
        <v>1</v>
      </c>
      <c r="B60" s="208">
        <v>2</v>
      </c>
      <c r="C60" s="208">
        <v>3</v>
      </c>
      <c r="D60" s="208">
        <v>4</v>
      </c>
      <c r="E60" s="208">
        <v>5</v>
      </c>
      <c r="F60" s="208">
        <v>7</v>
      </c>
      <c r="G60" s="208">
        <v>8</v>
      </c>
      <c r="H60" s="208">
        <v>9</v>
      </c>
      <c r="I60" s="208">
        <v>10</v>
      </c>
      <c r="J60" s="208">
        <v>11</v>
      </c>
      <c r="K60" s="2"/>
    </row>
    <row r="61" spans="1:11" x14ac:dyDescent="0.25">
      <c r="A61" s="282" t="s">
        <v>120</v>
      </c>
      <c r="B61" s="283"/>
      <c r="C61" s="283"/>
      <c r="D61" s="284"/>
      <c r="E61" s="209" t="e">
        <f>E62+#REF!+#REF!+#REF!+#REF!+#REF!+#REF!+#REF!+#REF!+#REF!</f>
        <v>#REF!</v>
      </c>
      <c r="F61" s="210" t="e">
        <f>K61/E61*100%</f>
        <v>#REF!</v>
      </c>
      <c r="G61" s="209" t="e">
        <f>G62+#REF!+#REF!+#REF!+#REF!+#REF!+#REF!+#REF!+#REF!+#REF!</f>
        <v>#REF!</v>
      </c>
      <c r="H61" s="210" t="e">
        <f>G61/E61*100%</f>
        <v>#REF!</v>
      </c>
      <c r="I61" s="210"/>
      <c r="J61" s="211"/>
      <c r="K61" s="2"/>
    </row>
    <row r="62" spans="1:11" ht="38.25" x14ac:dyDescent="0.25">
      <c r="A62" s="212">
        <v>1</v>
      </c>
      <c r="B62" s="213" t="s">
        <v>121</v>
      </c>
      <c r="C62" s="214"/>
      <c r="D62" s="214"/>
      <c r="E62" s="215">
        <f>SUM(E63:E91)</f>
        <v>21734800000</v>
      </c>
      <c r="F62" s="216">
        <f>G62/E62*100%</f>
        <v>0.83773865413990467</v>
      </c>
      <c r="G62" s="215">
        <f>SUM(G63:G91)</f>
        <v>18208082100</v>
      </c>
      <c r="H62" s="216">
        <f>G62/E62*100%</f>
        <v>0.83773865413990467</v>
      </c>
      <c r="I62" s="216"/>
      <c r="J62" s="217"/>
      <c r="K62" s="2"/>
    </row>
    <row r="63" spans="1:11" x14ac:dyDescent="0.25">
      <c r="A63" s="218"/>
      <c r="B63" s="219"/>
      <c r="C63" s="220" t="s">
        <v>35</v>
      </c>
      <c r="D63" s="221"/>
      <c r="E63" s="222"/>
      <c r="F63" s="222"/>
      <c r="G63" s="222"/>
      <c r="H63" s="222"/>
      <c r="I63" s="222"/>
      <c r="J63" s="223"/>
      <c r="K63" s="2"/>
    </row>
    <row r="64" spans="1:11" x14ac:dyDescent="0.25">
      <c r="A64" s="218"/>
      <c r="B64" s="219"/>
      <c r="C64" s="224" t="s">
        <v>129</v>
      </c>
      <c r="D64" s="225"/>
      <c r="E64" s="226"/>
      <c r="F64" s="226"/>
      <c r="G64" s="226"/>
      <c r="H64" s="226"/>
      <c r="I64" s="226"/>
      <c r="J64" s="227"/>
      <c r="K64" s="2"/>
    </row>
    <row r="65" spans="1:11" ht="25.5" x14ac:dyDescent="0.25">
      <c r="A65" s="218"/>
      <c r="B65" s="219"/>
      <c r="C65" s="228"/>
      <c r="D65" s="229" t="s">
        <v>99</v>
      </c>
      <c r="E65" s="230"/>
      <c r="F65" s="231"/>
      <c r="G65" s="230"/>
      <c r="H65" s="231"/>
      <c r="I65" s="231"/>
      <c r="J65" s="232"/>
      <c r="K65" s="2"/>
    </row>
    <row r="66" spans="1:11" x14ac:dyDescent="0.25">
      <c r="A66" s="218"/>
      <c r="B66" s="219"/>
      <c r="C66" s="228"/>
      <c r="D66" s="233" t="s">
        <v>261</v>
      </c>
      <c r="E66" s="230"/>
      <c r="F66" s="231"/>
      <c r="G66" s="230"/>
      <c r="H66" s="231"/>
      <c r="I66" s="231"/>
      <c r="J66" s="232"/>
      <c r="K66" s="2"/>
    </row>
    <row r="67" spans="1:11" ht="25.5" x14ac:dyDescent="0.25">
      <c r="A67" s="218"/>
      <c r="B67" s="219"/>
      <c r="C67" s="228"/>
      <c r="D67" s="234" t="s">
        <v>100</v>
      </c>
      <c r="E67" s="230">
        <v>2975640000</v>
      </c>
      <c r="F67" s="235">
        <f>G67/E67*100%</f>
        <v>0.99600758156228575</v>
      </c>
      <c r="G67" s="230">
        <f>2963760000</f>
        <v>2963760000</v>
      </c>
      <c r="H67" s="235">
        <f>G67/E67*100%</f>
        <v>0.99600758156228575</v>
      </c>
      <c r="I67" s="236"/>
      <c r="J67" s="232"/>
      <c r="K67" s="2"/>
    </row>
    <row r="68" spans="1:11" x14ac:dyDescent="0.25">
      <c r="A68" s="218"/>
      <c r="B68" s="219"/>
      <c r="C68" s="224" t="s">
        <v>36</v>
      </c>
      <c r="D68" s="225"/>
      <c r="E68" s="237"/>
      <c r="F68" s="238"/>
      <c r="G68" s="237"/>
      <c r="H68" s="238"/>
      <c r="I68" s="226"/>
      <c r="J68" s="227"/>
      <c r="K68" s="2"/>
    </row>
    <row r="69" spans="1:11" ht="25.5" x14ac:dyDescent="0.25">
      <c r="A69" s="218"/>
      <c r="B69" s="219"/>
      <c r="C69" s="228"/>
      <c r="D69" s="229" t="s">
        <v>99</v>
      </c>
      <c r="E69" s="230"/>
      <c r="F69" s="239"/>
      <c r="G69" s="230"/>
      <c r="H69" s="240"/>
      <c r="I69" s="236"/>
      <c r="J69" s="232"/>
      <c r="K69" s="2"/>
    </row>
    <row r="70" spans="1:11" x14ac:dyDescent="0.25">
      <c r="A70" s="218"/>
      <c r="B70" s="219"/>
      <c r="C70" s="228"/>
      <c r="D70" s="233" t="s">
        <v>261</v>
      </c>
      <c r="E70" s="230"/>
      <c r="F70" s="239"/>
      <c r="G70" s="230"/>
      <c r="H70" s="240"/>
      <c r="I70" s="236"/>
      <c r="J70" s="232"/>
      <c r="K70" s="2"/>
    </row>
    <row r="71" spans="1:11" ht="25.5" x14ac:dyDescent="0.25">
      <c r="A71" s="218"/>
      <c r="B71" s="219"/>
      <c r="C71" s="228"/>
      <c r="D71" s="234" t="s">
        <v>100</v>
      </c>
      <c r="E71" s="230">
        <v>2695640000</v>
      </c>
      <c r="F71" s="235">
        <f>G71/E71*100%</f>
        <v>0.81182947277826412</v>
      </c>
      <c r="G71" s="230">
        <f>2188400000</f>
        <v>2188400000</v>
      </c>
      <c r="H71" s="235">
        <f t="shared" ref="H71" si="11">G71/E71*100%</f>
        <v>0.81182947277826412</v>
      </c>
      <c r="I71" s="236"/>
      <c r="J71" s="232"/>
      <c r="K71" s="2"/>
    </row>
    <row r="72" spans="1:11" x14ac:dyDescent="0.25">
      <c r="A72" s="218"/>
      <c r="B72" s="219"/>
      <c r="C72" s="224" t="s">
        <v>37</v>
      </c>
      <c r="D72" s="225"/>
      <c r="E72" s="237"/>
      <c r="F72" s="238"/>
      <c r="G72" s="237"/>
      <c r="H72" s="238"/>
      <c r="I72" s="226"/>
      <c r="J72" s="227"/>
      <c r="K72" s="2"/>
    </row>
    <row r="73" spans="1:11" ht="25.5" x14ac:dyDescent="0.25">
      <c r="A73" s="218"/>
      <c r="B73" s="219"/>
      <c r="C73" s="228"/>
      <c r="D73" s="229" t="s">
        <v>99</v>
      </c>
      <c r="E73" s="230"/>
      <c r="F73" s="239"/>
      <c r="G73" s="230"/>
      <c r="H73" s="239"/>
      <c r="I73" s="231"/>
      <c r="J73" s="232"/>
      <c r="K73" s="2"/>
    </row>
    <row r="74" spans="1:11" x14ac:dyDescent="0.25">
      <c r="A74" s="218"/>
      <c r="B74" s="219"/>
      <c r="C74" s="228"/>
      <c r="D74" s="233" t="s">
        <v>261</v>
      </c>
      <c r="E74" s="230"/>
      <c r="F74" s="239"/>
      <c r="G74" s="230"/>
      <c r="H74" s="239"/>
      <c r="I74" s="231"/>
      <c r="J74" s="232"/>
      <c r="K74" s="2"/>
    </row>
    <row r="75" spans="1:11" ht="25.5" x14ac:dyDescent="0.25">
      <c r="A75" s="218"/>
      <c r="B75" s="219"/>
      <c r="C75" s="228"/>
      <c r="D75" s="234" t="s">
        <v>100</v>
      </c>
      <c r="E75" s="230">
        <v>2905640000</v>
      </c>
      <c r="F75" s="235">
        <f>G75/E75*100%</f>
        <v>0.37318700871408711</v>
      </c>
      <c r="G75" s="230">
        <f>1084347100</f>
        <v>1084347100</v>
      </c>
      <c r="H75" s="235">
        <f t="shared" ref="H75" si="12">G75/E75*100%</f>
        <v>0.37318700871408711</v>
      </c>
      <c r="I75" s="241"/>
      <c r="J75" s="232"/>
      <c r="K75" s="2"/>
    </row>
    <row r="76" spans="1:11" x14ac:dyDescent="0.25">
      <c r="A76" s="218"/>
      <c r="B76" s="219"/>
      <c r="C76" s="224" t="s">
        <v>38</v>
      </c>
      <c r="D76" s="225"/>
      <c r="E76" s="237"/>
      <c r="F76" s="238"/>
      <c r="G76" s="237"/>
      <c r="H76" s="238"/>
      <c r="I76" s="226"/>
      <c r="J76" s="227"/>
      <c r="K76" s="2"/>
    </row>
    <row r="77" spans="1:11" ht="25.5" x14ac:dyDescent="0.25">
      <c r="A77" s="218"/>
      <c r="B77" s="219"/>
      <c r="C77" s="228"/>
      <c r="D77" s="229" t="s">
        <v>99</v>
      </c>
      <c r="E77" s="230"/>
      <c r="F77" s="239"/>
      <c r="G77" s="230"/>
      <c r="H77" s="240"/>
      <c r="I77" s="236"/>
      <c r="J77" s="232"/>
      <c r="K77" s="2"/>
    </row>
    <row r="78" spans="1:11" x14ac:dyDescent="0.25">
      <c r="A78" s="218"/>
      <c r="B78" s="219"/>
      <c r="C78" s="228"/>
      <c r="D78" s="233" t="s">
        <v>261</v>
      </c>
      <c r="E78" s="230"/>
      <c r="F78" s="239"/>
      <c r="G78" s="230"/>
      <c r="H78" s="240"/>
      <c r="I78" s="236"/>
      <c r="J78" s="232"/>
      <c r="K78" s="2"/>
    </row>
    <row r="79" spans="1:11" ht="25.5" x14ac:dyDescent="0.25">
      <c r="A79" s="218"/>
      <c r="B79" s="219"/>
      <c r="C79" s="228"/>
      <c r="D79" s="234" t="s">
        <v>100</v>
      </c>
      <c r="E79" s="230">
        <v>2480900000</v>
      </c>
      <c r="F79" s="235">
        <f t="shared" ref="F79" si="13">G79/E79*100%</f>
        <v>0.94033415292837275</v>
      </c>
      <c r="G79" s="230">
        <f>2332875000</f>
        <v>2332875000</v>
      </c>
      <c r="H79" s="235">
        <f t="shared" ref="H79" si="14">G79/E79*100%</f>
        <v>0.94033415292837275</v>
      </c>
      <c r="I79" s="241"/>
      <c r="J79" s="232"/>
      <c r="K79" s="2"/>
    </row>
    <row r="80" spans="1:11" x14ac:dyDescent="0.25">
      <c r="A80" s="218"/>
      <c r="B80" s="219"/>
      <c r="C80" s="224" t="s">
        <v>39</v>
      </c>
      <c r="D80" s="225"/>
      <c r="E80" s="237"/>
      <c r="F80" s="238"/>
      <c r="G80" s="237"/>
      <c r="H80" s="238"/>
      <c r="I80" s="226"/>
      <c r="J80" s="227"/>
      <c r="K80" s="2"/>
    </row>
    <row r="81" spans="1:11" ht="25.5" x14ac:dyDescent="0.25">
      <c r="A81" s="218"/>
      <c r="B81" s="219"/>
      <c r="C81" s="228"/>
      <c r="D81" s="229" t="s">
        <v>99</v>
      </c>
      <c r="E81" s="230"/>
      <c r="F81" s="239"/>
      <c r="G81" s="230"/>
      <c r="H81" s="240"/>
      <c r="I81" s="236"/>
      <c r="J81" s="232"/>
      <c r="K81" s="2"/>
    </row>
    <row r="82" spans="1:11" x14ac:dyDescent="0.25">
      <c r="A82" s="218"/>
      <c r="B82" s="219"/>
      <c r="C82" s="228"/>
      <c r="D82" s="233" t="s">
        <v>261</v>
      </c>
      <c r="E82" s="230"/>
      <c r="F82" s="239"/>
      <c r="G82" s="230"/>
      <c r="H82" s="240"/>
      <c r="I82" s="236"/>
      <c r="J82" s="232"/>
      <c r="K82" s="2"/>
    </row>
    <row r="83" spans="1:11" ht="25.5" x14ac:dyDescent="0.25">
      <c r="A83" s="218"/>
      <c r="B83" s="219"/>
      <c r="C83" s="228"/>
      <c r="D83" s="234" t="s">
        <v>100</v>
      </c>
      <c r="E83" s="230">
        <v>3395640000</v>
      </c>
      <c r="F83" s="235">
        <f t="shared" ref="F83" si="15">G83/E83*100%</f>
        <v>0.99650139590769338</v>
      </c>
      <c r="G83" s="230">
        <f>3383760000</f>
        <v>3383760000</v>
      </c>
      <c r="H83" s="235">
        <f t="shared" ref="H83" si="16">G83/E83*100%</f>
        <v>0.99650139590769338</v>
      </c>
      <c r="I83" s="236"/>
      <c r="J83" s="232"/>
      <c r="K83" s="2"/>
    </row>
    <row r="84" spans="1:11" x14ac:dyDescent="0.25">
      <c r="A84" s="218"/>
      <c r="B84" s="219"/>
      <c r="C84" s="224" t="s">
        <v>40</v>
      </c>
      <c r="D84" s="225"/>
      <c r="E84" s="237"/>
      <c r="F84" s="238"/>
      <c r="G84" s="237"/>
      <c r="H84" s="238"/>
      <c r="I84" s="243"/>
      <c r="J84" s="227"/>
      <c r="K84" s="2"/>
    </row>
    <row r="85" spans="1:11" ht="25.5" x14ac:dyDescent="0.25">
      <c r="A85" s="218"/>
      <c r="B85" s="219"/>
      <c r="C85" s="228"/>
      <c r="D85" s="229" t="s">
        <v>99</v>
      </c>
      <c r="E85" s="230"/>
      <c r="F85" s="239"/>
      <c r="G85" s="230"/>
      <c r="H85" s="239"/>
      <c r="I85" s="231"/>
      <c r="J85" s="232"/>
      <c r="K85" s="2"/>
    </row>
    <row r="86" spans="1:11" x14ac:dyDescent="0.25">
      <c r="A86" s="218"/>
      <c r="B86" s="219"/>
      <c r="C86" s="228"/>
      <c r="D86" s="233" t="s">
        <v>261</v>
      </c>
      <c r="E86" s="230"/>
      <c r="F86" s="239"/>
      <c r="G86" s="230"/>
      <c r="H86" s="239"/>
      <c r="I86" s="231"/>
      <c r="J86" s="232"/>
      <c r="K86" s="2"/>
    </row>
    <row r="87" spans="1:11" ht="25.5" x14ac:dyDescent="0.25">
      <c r="A87" s="218"/>
      <c r="B87" s="219"/>
      <c r="C87" s="228"/>
      <c r="D87" s="234" t="s">
        <v>100</v>
      </c>
      <c r="E87" s="230">
        <v>1430900000</v>
      </c>
      <c r="F87" s="235">
        <f t="shared" ref="F87" si="17">G87/E87*100%</f>
        <v>0.98484869662450203</v>
      </c>
      <c r="G87" s="230">
        <f>1409220000</f>
        <v>1409220000</v>
      </c>
      <c r="H87" s="235">
        <f t="shared" ref="H87" si="18">G87/E87*100%</f>
        <v>0.98484869662450203</v>
      </c>
      <c r="I87" s="236"/>
      <c r="J87" s="232"/>
      <c r="K87" s="2"/>
    </row>
    <row r="88" spans="1:11" x14ac:dyDescent="0.25">
      <c r="A88" s="218"/>
      <c r="B88" s="219"/>
      <c r="C88" s="224" t="s">
        <v>41</v>
      </c>
      <c r="D88" s="225"/>
      <c r="E88" s="237"/>
      <c r="F88" s="238"/>
      <c r="G88" s="237"/>
      <c r="H88" s="238"/>
      <c r="I88" s="226"/>
      <c r="J88" s="227"/>
      <c r="K88" s="2"/>
    </row>
    <row r="89" spans="1:11" ht="25.5" x14ac:dyDescent="0.25">
      <c r="A89" s="218"/>
      <c r="B89" s="219"/>
      <c r="C89" s="228"/>
      <c r="D89" s="229" t="s">
        <v>99</v>
      </c>
      <c r="E89" s="230"/>
      <c r="F89" s="239"/>
      <c r="G89" s="230"/>
      <c r="H89" s="240"/>
      <c r="I89" s="236"/>
      <c r="J89" s="232"/>
      <c r="K89" s="2"/>
    </row>
    <row r="90" spans="1:11" x14ac:dyDescent="0.25">
      <c r="A90" s="218"/>
      <c r="B90" s="219"/>
      <c r="C90" s="228"/>
      <c r="D90" s="233" t="s">
        <v>261</v>
      </c>
      <c r="E90" s="230"/>
      <c r="F90" s="239"/>
      <c r="G90" s="230"/>
      <c r="H90" s="240"/>
      <c r="I90" s="236"/>
      <c r="J90" s="232"/>
      <c r="K90" s="2"/>
    </row>
    <row r="91" spans="1:11" ht="25.5" x14ac:dyDescent="0.25">
      <c r="A91" s="218"/>
      <c r="B91" s="219"/>
      <c r="C91" s="228"/>
      <c r="D91" s="234" t="s">
        <v>100</v>
      </c>
      <c r="E91" s="230">
        <v>5850440000</v>
      </c>
      <c r="F91" s="235">
        <f t="shared" ref="F91" si="19">G91/E91*100%</f>
        <v>0.82826590820519486</v>
      </c>
      <c r="G91" s="230">
        <f>4845720000</f>
        <v>4845720000</v>
      </c>
      <c r="H91" s="235">
        <f t="shared" ref="H91" si="20">G91/E91*100%</f>
        <v>0.82826590820519486</v>
      </c>
      <c r="I91" s="236"/>
      <c r="J91" s="232"/>
      <c r="K91" s="2"/>
    </row>
    <row r="92" spans="1:11" x14ac:dyDescent="0.25">
      <c r="A92" s="195"/>
      <c r="B92" s="195"/>
      <c r="C92" s="195"/>
      <c r="D92" s="195"/>
      <c r="E92" s="195"/>
      <c r="F92" s="195"/>
      <c r="G92" s="195"/>
      <c r="H92" s="195"/>
      <c r="I92" s="195"/>
      <c r="J92" s="196"/>
      <c r="K92" s="2"/>
    </row>
    <row r="93" spans="1:11" x14ac:dyDescent="0.25">
      <c r="A93" s="195"/>
      <c r="B93" s="195"/>
      <c r="C93" s="195"/>
      <c r="D93" s="195"/>
      <c r="E93" s="195"/>
      <c r="F93" s="195"/>
      <c r="G93" s="195"/>
      <c r="H93" s="195"/>
      <c r="I93" s="195"/>
      <c r="J93" s="196"/>
      <c r="K93" s="2"/>
    </row>
    <row r="94" spans="1:11" x14ac:dyDescent="0.25">
      <c r="A94" s="195"/>
      <c r="B94" s="195"/>
      <c r="C94" s="195"/>
      <c r="D94" s="195"/>
      <c r="E94" s="195"/>
      <c r="F94" s="195"/>
      <c r="G94" s="195"/>
      <c r="H94" s="195"/>
      <c r="I94" s="195"/>
      <c r="J94" s="196"/>
      <c r="K94" s="2"/>
    </row>
    <row r="95" spans="1:11" x14ac:dyDescent="0.25">
      <c r="A95" s="273" t="s">
        <v>362</v>
      </c>
      <c r="B95" s="273"/>
      <c r="C95" s="273"/>
      <c r="D95" s="273"/>
      <c r="E95" s="273"/>
      <c r="F95" s="273"/>
      <c r="G95" s="273"/>
      <c r="H95" s="273"/>
      <c r="I95" s="273"/>
      <c r="J95" s="273"/>
      <c r="K95" s="2"/>
    </row>
    <row r="96" spans="1:11" x14ac:dyDescent="0.25">
      <c r="A96" s="273" t="s">
        <v>117</v>
      </c>
      <c r="B96" s="273"/>
      <c r="C96" s="273"/>
      <c r="D96" s="273"/>
      <c r="E96" s="273"/>
      <c r="F96" s="273"/>
      <c r="G96" s="273"/>
      <c r="H96" s="273"/>
      <c r="I96" s="273"/>
      <c r="J96" s="273"/>
      <c r="K96" s="2"/>
    </row>
    <row r="97" spans="1:11" x14ac:dyDescent="0.25">
      <c r="A97" s="285" t="s">
        <v>371</v>
      </c>
      <c r="B97" s="285"/>
      <c r="C97" s="285"/>
      <c r="D97" s="285"/>
      <c r="E97" s="285"/>
      <c r="F97" s="285"/>
      <c r="G97" s="285"/>
      <c r="H97" s="285"/>
      <c r="I97" s="285"/>
      <c r="J97" s="285"/>
      <c r="K97" s="2"/>
    </row>
    <row r="98" spans="1:11" x14ac:dyDescent="0.25">
      <c r="A98" s="204" t="s">
        <v>375</v>
      </c>
      <c r="B98" s="195"/>
      <c r="C98" s="195"/>
      <c r="D98" s="205"/>
      <c r="E98" s="199"/>
      <c r="F98" s="197"/>
      <c r="G98" s="201"/>
      <c r="H98" s="202"/>
      <c r="I98" s="202"/>
      <c r="J98" s="203"/>
      <c r="K98" s="2"/>
    </row>
    <row r="99" spans="1:11" x14ac:dyDescent="0.25">
      <c r="A99" s="274" t="s">
        <v>109</v>
      </c>
      <c r="B99" s="274" t="s">
        <v>118</v>
      </c>
      <c r="C99" s="274" t="s">
        <v>119</v>
      </c>
      <c r="D99" s="274" t="s">
        <v>107</v>
      </c>
      <c r="E99" s="277" t="s">
        <v>108</v>
      </c>
      <c r="F99" s="278" t="s">
        <v>102</v>
      </c>
      <c r="G99" s="279"/>
      <c r="H99" s="280"/>
      <c r="I99" s="281" t="s">
        <v>358</v>
      </c>
      <c r="J99" s="281" t="s">
        <v>1</v>
      </c>
      <c r="K99" s="2"/>
    </row>
    <row r="100" spans="1:11" x14ac:dyDescent="0.25">
      <c r="A100" s="275"/>
      <c r="B100" s="275"/>
      <c r="C100" s="275"/>
      <c r="D100" s="275"/>
      <c r="E100" s="275"/>
      <c r="F100" s="246" t="s">
        <v>103</v>
      </c>
      <c r="G100" s="278" t="s">
        <v>104</v>
      </c>
      <c r="H100" s="280"/>
      <c r="I100" s="281"/>
      <c r="J100" s="281"/>
      <c r="K100" s="2"/>
    </row>
    <row r="101" spans="1:11" x14ac:dyDescent="0.25">
      <c r="A101" s="276"/>
      <c r="B101" s="276"/>
      <c r="C101" s="276"/>
      <c r="D101" s="276"/>
      <c r="E101" s="276"/>
      <c r="F101" s="246" t="s">
        <v>105</v>
      </c>
      <c r="G101" s="246" t="s">
        <v>106</v>
      </c>
      <c r="H101" s="207" t="s">
        <v>105</v>
      </c>
      <c r="I101" s="281"/>
      <c r="J101" s="281"/>
      <c r="K101" s="2"/>
    </row>
    <row r="102" spans="1:11" x14ac:dyDescent="0.25">
      <c r="A102" s="208">
        <v>1</v>
      </c>
      <c r="B102" s="208">
        <v>2</v>
      </c>
      <c r="C102" s="208">
        <v>3</v>
      </c>
      <c r="D102" s="208">
        <v>4</v>
      </c>
      <c r="E102" s="208">
        <v>5</v>
      </c>
      <c r="F102" s="208">
        <v>7</v>
      </c>
      <c r="G102" s="208">
        <v>8</v>
      </c>
      <c r="H102" s="208">
        <v>9</v>
      </c>
      <c r="I102" s="208">
        <v>10</v>
      </c>
      <c r="J102" s="208">
        <v>11</v>
      </c>
      <c r="K102" s="2"/>
    </row>
    <row r="103" spans="1:11" x14ac:dyDescent="0.25">
      <c r="A103" s="282" t="s">
        <v>120</v>
      </c>
      <c r="B103" s="283"/>
      <c r="C103" s="283"/>
      <c r="D103" s="284"/>
      <c r="E103" s="209" t="e">
        <f>E104+#REF!+#REF!+#REF!+#REF!+#REF!+#REF!+#REF!+#REF!+#REF!</f>
        <v>#REF!</v>
      </c>
      <c r="F103" s="210" t="e">
        <f>K103/E103*100%</f>
        <v>#REF!</v>
      </c>
      <c r="G103" s="209" t="e">
        <f>G104+#REF!+#REF!+#REF!+#REF!+#REF!+#REF!+#REF!+#REF!+#REF!</f>
        <v>#REF!</v>
      </c>
      <c r="H103" s="210" t="e">
        <f>G103/E103*100%</f>
        <v>#REF!</v>
      </c>
      <c r="I103" s="210"/>
      <c r="J103" s="211"/>
      <c r="K103" s="2"/>
    </row>
    <row r="104" spans="1:11" ht="38.25" x14ac:dyDescent="0.25">
      <c r="A104" s="212">
        <v>1</v>
      </c>
      <c r="B104" s="213" t="s">
        <v>121</v>
      </c>
      <c r="C104" s="214"/>
      <c r="D104" s="214"/>
      <c r="E104" s="215">
        <f>SUM(E105:E133)</f>
        <v>13176530952</v>
      </c>
      <c r="F104" s="216">
        <f>G104/E104*100%</f>
        <v>0.6315024648226546</v>
      </c>
      <c r="G104" s="215">
        <f>SUM(G105:G133)</f>
        <v>8321011774</v>
      </c>
      <c r="H104" s="216">
        <f>G104/E104*100%</f>
        <v>0.6315024648226546</v>
      </c>
      <c r="I104" s="216"/>
      <c r="J104" s="217"/>
      <c r="K104" s="2"/>
    </row>
    <row r="105" spans="1:11" x14ac:dyDescent="0.25">
      <c r="A105" s="218"/>
      <c r="B105" s="219"/>
      <c r="C105" s="220" t="s">
        <v>35</v>
      </c>
      <c r="D105" s="221"/>
      <c r="E105" s="222"/>
      <c r="F105" s="222"/>
      <c r="G105" s="222"/>
      <c r="H105" s="222"/>
      <c r="I105" s="222"/>
      <c r="J105" s="223"/>
      <c r="K105" s="2"/>
    </row>
    <row r="106" spans="1:11" x14ac:dyDescent="0.25">
      <c r="A106" s="218"/>
      <c r="B106" s="219"/>
      <c r="C106" s="224" t="s">
        <v>129</v>
      </c>
      <c r="D106" s="225"/>
      <c r="E106" s="226"/>
      <c r="F106" s="226"/>
      <c r="G106" s="226"/>
      <c r="H106" s="226"/>
      <c r="I106" s="226"/>
      <c r="J106" s="227"/>
      <c r="K106" s="2"/>
    </row>
    <row r="107" spans="1:11" ht="25.5" x14ac:dyDescent="0.25">
      <c r="A107" s="218"/>
      <c r="B107" s="219"/>
      <c r="C107" s="228"/>
      <c r="D107" s="229" t="s">
        <v>99</v>
      </c>
      <c r="E107" s="230"/>
      <c r="F107" s="231"/>
      <c r="G107" s="230"/>
      <c r="H107" s="231"/>
      <c r="I107" s="231"/>
      <c r="J107" s="232"/>
      <c r="K107" s="2"/>
    </row>
    <row r="108" spans="1:11" x14ac:dyDescent="0.25">
      <c r="A108" s="218"/>
      <c r="B108" s="219"/>
      <c r="C108" s="228"/>
      <c r="D108" s="233" t="s">
        <v>261</v>
      </c>
      <c r="E108" s="230"/>
      <c r="F108" s="231"/>
      <c r="G108" s="230"/>
      <c r="H108" s="231"/>
      <c r="I108" s="231"/>
      <c r="J108" s="232"/>
      <c r="K108" s="2"/>
    </row>
    <row r="109" spans="1:11" x14ac:dyDescent="0.25">
      <c r="A109" s="218"/>
      <c r="B109" s="219"/>
      <c r="C109" s="228"/>
      <c r="D109" s="234" t="s">
        <v>101</v>
      </c>
      <c r="E109" s="230">
        <v>1803960912</v>
      </c>
      <c r="F109" s="235">
        <f>G109/E109*100%</f>
        <v>0.70740956941532662</v>
      </c>
      <c r="G109" s="230">
        <f>1276139212</f>
        <v>1276139212</v>
      </c>
      <c r="H109" s="235">
        <f>G109/E109*100%</f>
        <v>0.70740956941532662</v>
      </c>
      <c r="I109" s="236"/>
      <c r="J109" s="232"/>
      <c r="K109" s="2"/>
    </row>
    <row r="110" spans="1:11" x14ac:dyDescent="0.25">
      <c r="A110" s="218"/>
      <c r="B110" s="219"/>
      <c r="C110" s="224" t="s">
        <v>36</v>
      </c>
      <c r="D110" s="225"/>
      <c r="E110" s="237"/>
      <c r="F110" s="238"/>
      <c r="G110" s="237"/>
      <c r="H110" s="238"/>
      <c r="I110" s="226"/>
      <c r="J110" s="227"/>
      <c r="K110" s="2"/>
    </row>
    <row r="111" spans="1:11" ht="25.5" x14ac:dyDescent="0.25">
      <c r="A111" s="218"/>
      <c r="B111" s="219"/>
      <c r="C111" s="228"/>
      <c r="D111" s="229" t="s">
        <v>99</v>
      </c>
      <c r="E111" s="230"/>
      <c r="F111" s="239"/>
      <c r="G111" s="230"/>
      <c r="H111" s="240"/>
      <c r="I111" s="236"/>
      <c r="J111" s="232"/>
      <c r="K111" s="2"/>
    </row>
    <row r="112" spans="1:11" x14ac:dyDescent="0.25">
      <c r="A112" s="218"/>
      <c r="B112" s="219"/>
      <c r="C112" s="228"/>
      <c r="D112" s="233" t="s">
        <v>261</v>
      </c>
      <c r="E112" s="230"/>
      <c r="F112" s="239"/>
      <c r="G112" s="230"/>
      <c r="H112" s="240"/>
      <c r="I112" s="236"/>
      <c r="J112" s="232"/>
      <c r="K112" s="2"/>
    </row>
    <row r="113" spans="1:11" x14ac:dyDescent="0.25">
      <c r="A113" s="218"/>
      <c r="B113" s="219"/>
      <c r="C113" s="228"/>
      <c r="D113" s="234" t="s">
        <v>101</v>
      </c>
      <c r="E113" s="230">
        <v>1635097968</v>
      </c>
      <c r="F113" s="235">
        <f>G113/E113*100%</f>
        <v>0.62283605504425654</v>
      </c>
      <c r="G113" s="230">
        <f>1018397968</f>
        <v>1018397968</v>
      </c>
      <c r="H113" s="235">
        <f t="shared" ref="H113" si="21">G113/E113*100%</f>
        <v>0.62283605504425654</v>
      </c>
      <c r="I113" s="236"/>
      <c r="J113" s="232"/>
      <c r="K113" s="2"/>
    </row>
    <row r="114" spans="1:11" x14ac:dyDescent="0.25">
      <c r="A114" s="218"/>
      <c r="B114" s="219"/>
      <c r="C114" s="224" t="s">
        <v>37</v>
      </c>
      <c r="D114" s="225"/>
      <c r="E114" s="237"/>
      <c r="F114" s="238"/>
      <c r="G114" s="237"/>
      <c r="H114" s="238"/>
      <c r="I114" s="226"/>
      <c r="J114" s="227"/>
      <c r="K114" s="2"/>
    </row>
    <row r="115" spans="1:11" ht="25.5" x14ac:dyDescent="0.25">
      <c r="A115" s="218"/>
      <c r="B115" s="219"/>
      <c r="C115" s="228"/>
      <c r="D115" s="229" t="s">
        <v>99</v>
      </c>
      <c r="E115" s="230"/>
      <c r="F115" s="239"/>
      <c r="G115" s="230"/>
      <c r="H115" s="239"/>
      <c r="I115" s="231"/>
      <c r="J115" s="232"/>
      <c r="K115" s="2"/>
    </row>
    <row r="116" spans="1:11" x14ac:dyDescent="0.25">
      <c r="A116" s="218"/>
      <c r="B116" s="219"/>
      <c r="C116" s="228"/>
      <c r="D116" s="233" t="s">
        <v>261</v>
      </c>
      <c r="E116" s="230"/>
      <c r="F116" s="239"/>
      <c r="G116" s="230"/>
      <c r="H116" s="239"/>
      <c r="I116" s="231"/>
      <c r="J116" s="232"/>
      <c r="K116" s="2"/>
    </row>
    <row r="117" spans="1:11" x14ac:dyDescent="0.25">
      <c r="A117" s="218"/>
      <c r="B117" s="219"/>
      <c r="C117" s="228"/>
      <c r="D117" s="234" t="s">
        <v>101</v>
      </c>
      <c r="E117" s="230">
        <v>1761745176</v>
      </c>
      <c r="F117" s="235">
        <f>G117/E117*100%</f>
        <v>0.43315025259930101</v>
      </c>
      <c r="G117" s="230">
        <f>763100368</f>
        <v>763100368</v>
      </c>
      <c r="H117" s="235">
        <f t="shared" ref="H117" si="22">G117/E117*100%</f>
        <v>0.43315025259930101</v>
      </c>
      <c r="I117" s="236"/>
      <c r="J117" s="232"/>
      <c r="K117" s="2"/>
    </row>
    <row r="118" spans="1:11" x14ac:dyDescent="0.25">
      <c r="A118" s="218"/>
      <c r="B118" s="219"/>
      <c r="C118" s="224" t="s">
        <v>38</v>
      </c>
      <c r="D118" s="225"/>
      <c r="E118" s="237"/>
      <c r="F118" s="238"/>
      <c r="G118" s="237"/>
      <c r="H118" s="238"/>
      <c r="I118" s="226"/>
      <c r="J118" s="227"/>
      <c r="K118" s="2"/>
    </row>
    <row r="119" spans="1:11" ht="25.5" x14ac:dyDescent="0.25">
      <c r="A119" s="218"/>
      <c r="B119" s="219"/>
      <c r="C119" s="228"/>
      <c r="D119" s="229" t="s">
        <v>99</v>
      </c>
      <c r="E119" s="230"/>
      <c r="F119" s="239"/>
      <c r="G119" s="230"/>
      <c r="H119" s="240"/>
      <c r="I119" s="236"/>
      <c r="J119" s="232"/>
      <c r="K119" s="2"/>
    </row>
    <row r="120" spans="1:11" x14ac:dyDescent="0.25">
      <c r="A120" s="218"/>
      <c r="B120" s="219"/>
      <c r="C120" s="228"/>
      <c r="D120" s="233" t="s">
        <v>261</v>
      </c>
      <c r="E120" s="230"/>
      <c r="F120" s="239"/>
      <c r="G120" s="230"/>
      <c r="H120" s="240"/>
      <c r="I120" s="236"/>
      <c r="J120" s="232"/>
      <c r="K120" s="2"/>
    </row>
    <row r="121" spans="1:11" x14ac:dyDescent="0.25">
      <c r="A121" s="218"/>
      <c r="B121" s="219"/>
      <c r="C121" s="228"/>
      <c r="D121" s="234" t="s">
        <v>101</v>
      </c>
      <c r="E121" s="230">
        <v>1508450760</v>
      </c>
      <c r="F121" s="235">
        <f t="shared" ref="F121" si="23">G121/E121*100%</f>
        <v>0.84754610087504612</v>
      </c>
      <c r="G121" s="230">
        <f>1278481560</f>
        <v>1278481560</v>
      </c>
      <c r="H121" s="235">
        <f t="shared" ref="H121" si="24">G121/E121*100%</f>
        <v>0.84754610087504612</v>
      </c>
      <c r="I121" s="242"/>
      <c r="J121" s="232"/>
      <c r="K121" s="2"/>
    </row>
    <row r="122" spans="1:11" x14ac:dyDescent="0.25">
      <c r="A122" s="218"/>
      <c r="B122" s="219"/>
      <c r="C122" s="224" t="s">
        <v>39</v>
      </c>
      <c r="D122" s="225"/>
      <c r="E122" s="237"/>
      <c r="F122" s="238"/>
      <c r="G122" s="237"/>
      <c r="H122" s="238"/>
      <c r="I122" s="226"/>
      <c r="J122" s="227"/>
      <c r="K122" s="2"/>
    </row>
    <row r="123" spans="1:11" ht="25.5" x14ac:dyDescent="0.25">
      <c r="A123" s="218"/>
      <c r="B123" s="219"/>
      <c r="C123" s="228"/>
      <c r="D123" s="229" t="s">
        <v>99</v>
      </c>
      <c r="E123" s="230"/>
      <c r="F123" s="239"/>
      <c r="G123" s="230"/>
      <c r="H123" s="240"/>
      <c r="I123" s="236"/>
      <c r="J123" s="232"/>
      <c r="K123" s="2"/>
    </row>
    <row r="124" spans="1:11" x14ac:dyDescent="0.25">
      <c r="A124" s="218"/>
      <c r="B124" s="219"/>
      <c r="C124" s="228"/>
      <c r="D124" s="233" t="s">
        <v>261</v>
      </c>
      <c r="E124" s="230"/>
      <c r="F124" s="239"/>
      <c r="G124" s="230"/>
      <c r="H124" s="240"/>
      <c r="I124" s="236"/>
      <c r="J124" s="232"/>
      <c r="K124" s="2"/>
    </row>
    <row r="125" spans="1:11" x14ac:dyDescent="0.25">
      <c r="A125" s="218"/>
      <c r="B125" s="219"/>
      <c r="C125" s="228"/>
      <c r="D125" s="234" t="s">
        <v>101</v>
      </c>
      <c r="E125" s="230">
        <v>2057255328</v>
      </c>
      <c r="F125" s="235">
        <f t="shared" ref="F125" si="25">G125/E125*100%</f>
        <v>0.38669028932513716</v>
      </c>
      <c r="G125" s="230">
        <f>795520658</f>
        <v>795520658</v>
      </c>
      <c r="H125" s="235">
        <f t="shared" ref="H125" si="26">G125/E125*100%</f>
        <v>0.38669028932513716</v>
      </c>
      <c r="I125" s="236"/>
      <c r="J125" s="232"/>
      <c r="K125" s="2"/>
    </row>
    <row r="126" spans="1:11" x14ac:dyDescent="0.25">
      <c r="A126" s="218"/>
      <c r="B126" s="219"/>
      <c r="C126" s="224" t="s">
        <v>40</v>
      </c>
      <c r="D126" s="225"/>
      <c r="E126" s="237"/>
      <c r="F126" s="238"/>
      <c r="G126" s="237"/>
      <c r="H126" s="238"/>
      <c r="I126" s="243"/>
      <c r="J126" s="227"/>
      <c r="K126" s="2"/>
    </row>
    <row r="127" spans="1:11" ht="25.5" x14ac:dyDescent="0.25">
      <c r="A127" s="218"/>
      <c r="B127" s="219"/>
      <c r="C127" s="228"/>
      <c r="D127" s="229" t="s">
        <v>99</v>
      </c>
      <c r="E127" s="230"/>
      <c r="F127" s="239"/>
      <c r="G127" s="230"/>
      <c r="H127" s="239"/>
      <c r="I127" s="231"/>
      <c r="J127" s="232"/>
      <c r="K127" s="2"/>
    </row>
    <row r="128" spans="1:11" x14ac:dyDescent="0.25">
      <c r="A128" s="218"/>
      <c r="B128" s="219"/>
      <c r="C128" s="228"/>
      <c r="D128" s="233" t="s">
        <v>261</v>
      </c>
      <c r="E128" s="230"/>
      <c r="F128" s="239"/>
      <c r="G128" s="230"/>
      <c r="H128" s="239"/>
      <c r="I128" s="231"/>
      <c r="J128" s="232"/>
      <c r="K128" s="2"/>
    </row>
    <row r="129" spans="1:11" x14ac:dyDescent="0.25">
      <c r="A129" s="218"/>
      <c r="B129" s="219"/>
      <c r="C129" s="228"/>
      <c r="D129" s="234" t="s">
        <v>101</v>
      </c>
      <c r="E129" s="230">
        <v>870474720</v>
      </c>
      <c r="F129" s="235">
        <f t="shared" ref="F129" si="27">G129/E129*100%</f>
        <v>0.73682429284103734</v>
      </c>
      <c r="G129" s="230">
        <f>641386920</f>
        <v>641386920</v>
      </c>
      <c r="H129" s="235">
        <f t="shared" ref="H129" si="28">G129/E129*100%</f>
        <v>0.73682429284103734</v>
      </c>
      <c r="I129" s="236"/>
      <c r="J129" s="232"/>
      <c r="K129" s="2"/>
    </row>
    <row r="130" spans="1:11" x14ac:dyDescent="0.25">
      <c r="A130" s="218"/>
      <c r="B130" s="219"/>
      <c r="C130" s="224" t="s">
        <v>41</v>
      </c>
      <c r="D130" s="225"/>
      <c r="E130" s="237"/>
      <c r="F130" s="238"/>
      <c r="G130" s="237"/>
      <c r="H130" s="238"/>
      <c r="I130" s="226"/>
      <c r="J130" s="227"/>
      <c r="K130" s="2"/>
    </row>
    <row r="131" spans="1:11" ht="25.5" x14ac:dyDescent="0.25">
      <c r="A131" s="218"/>
      <c r="B131" s="219"/>
      <c r="C131" s="228"/>
      <c r="D131" s="229" t="s">
        <v>99</v>
      </c>
      <c r="E131" s="230"/>
      <c r="F131" s="239"/>
      <c r="G131" s="230"/>
      <c r="H131" s="240"/>
      <c r="I131" s="236"/>
      <c r="J131" s="232"/>
      <c r="K131" s="2"/>
    </row>
    <row r="132" spans="1:11" x14ac:dyDescent="0.25">
      <c r="A132" s="218"/>
      <c r="B132" s="219"/>
      <c r="C132" s="228"/>
      <c r="D132" s="233" t="s">
        <v>261</v>
      </c>
      <c r="E132" s="230"/>
      <c r="F132" s="239"/>
      <c r="G132" s="230"/>
      <c r="H132" s="240"/>
      <c r="I132" s="236"/>
      <c r="J132" s="232"/>
      <c r="K132" s="2"/>
    </row>
    <row r="133" spans="1:11" x14ac:dyDescent="0.25">
      <c r="A133" s="218"/>
      <c r="B133" s="219"/>
      <c r="C133" s="228"/>
      <c r="D133" s="234" t="s">
        <v>101</v>
      </c>
      <c r="E133" s="230">
        <v>3539546088</v>
      </c>
      <c r="F133" s="235">
        <f t="shared" ref="F133" si="29">G133/E133*100%</f>
        <v>0.71986210227304148</v>
      </c>
      <c r="G133" s="230">
        <f>2547985088</f>
        <v>2547985088</v>
      </c>
      <c r="H133" s="235">
        <f t="shared" ref="H133" si="30">G133/E133*100%</f>
        <v>0.71986210227304148</v>
      </c>
      <c r="I133" s="236"/>
      <c r="J133" s="232"/>
      <c r="K133" s="2"/>
    </row>
    <row r="134" spans="1:11" x14ac:dyDescent="0.25">
      <c r="A134" s="195"/>
      <c r="B134" s="195"/>
      <c r="C134" s="195"/>
      <c r="D134" s="195"/>
      <c r="E134" s="195"/>
      <c r="F134" s="195"/>
      <c r="G134" s="195"/>
      <c r="H134" s="195"/>
      <c r="I134" s="195"/>
      <c r="J134" s="196"/>
      <c r="K134" s="2"/>
    </row>
    <row r="135" spans="1:11" x14ac:dyDescent="0.25">
      <c r="A135" s="195"/>
      <c r="B135" s="195"/>
      <c r="C135" s="195"/>
      <c r="D135" s="195"/>
      <c r="E135" s="195"/>
      <c r="F135" s="195"/>
      <c r="G135" s="195"/>
      <c r="H135" s="195"/>
      <c r="I135" s="195"/>
      <c r="J135" s="196"/>
      <c r="K135" s="2"/>
    </row>
    <row r="136" spans="1:11" x14ac:dyDescent="0.25">
      <c r="A136" s="195"/>
      <c r="B136" s="195"/>
      <c r="C136" s="195"/>
      <c r="D136" s="195"/>
      <c r="E136" s="195"/>
      <c r="F136" s="195"/>
      <c r="G136" s="195"/>
      <c r="H136" s="195"/>
      <c r="I136" s="195"/>
      <c r="J136" s="196"/>
      <c r="K136" s="2"/>
    </row>
    <row r="137" spans="1:11" x14ac:dyDescent="0.25">
      <c r="A137" s="195"/>
      <c r="B137" s="195"/>
      <c r="C137" s="195"/>
      <c r="D137" s="195"/>
      <c r="E137" s="195"/>
      <c r="F137" s="195"/>
      <c r="G137" s="195"/>
      <c r="H137" s="195"/>
      <c r="I137" s="195"/>
      <c r="J137" s="196"/>
      <c r="K137" s="2"/>
    </row>
    <row r="138" spans="1:11" x14ac:dyDescent="0.25">
      <c r="A138" s="195"/>
      <c r="B138" s="195"/>
      <c r="C138" s="195"/>
      <c r="D138" s="195"/>
      <c r="E138" s="195"/>
      <c r="F138" s="195"/>
      <c r="G138" s="195"/>
      <c r="H138" s="195"/>
      <c r="I138" s="195"/>
      <c r="J138" s="196"/>
      <c r="K138" s="2"/>
    </row>
  </sheetData>
  <mergeCells count="38">
    <mergeCell ref="G100:H100"/>
    <mergeCell ref="A103:D103"/>
    <mergeCell ref="A96:J96"/>
    <mergeCell ref="A97:J97"/>
    <mergeCell ref="A99:A101"/>
    <mergeCell ref="B99:B101"/>
    <mergeCell ref="C99:C101"/>
    <mergeCell ref="D99:D101"/>
    <mergeCell ref="E99:E101"/>
    <mergeCell ref="F99:H99"/>
    <mergeCell ref="I99:I101"/>
    <mergeCell ref="J99:J101"/>
    <mergeCell ref="A95:J95"/>
    <mergeCell ref="G6:H6"/>
    <mergeCell ref="A9:D9"/>
    <mergeCell ref="A51:J51"/>
    <mergeCell ref="A52:J52"/>
    <mergeCell ref="A53:J53"/>
    <mergeCell ref="A57:A59"/>
    <mergeCell ref="B57:B59"/>
    <mergeCell ref="C57:C59"/>
    <mergeCell ref="D57:D59"/>
    <mergeCell ref="E57:E59"/>
    <mergeCell ref="F57:H57"/>
    <mergeCell ref="I57:I59"/>
    <mergeCell ref="J57:J59"/>
    <mergeCell ref="G58:H58"/>
    <mergeCell ref="A61:D61"/>
    <mergeCell ref="A2:J2"/>
    <mergeCell ref="A3:J3"/>
    <mergeCell ref="A5:A7"/>
    <mergeCell ref="B5:B7"/>
    <mergeCell ref="C5:C7"/>
    <mergeCell ref="D5:D7"/>
    <mergeCell ref="E5:E7"/>
    <mergeCell ref="F5:H5"/>
    <mergeCell ref="I5:I7"/>
    <mergeCell ref="J5:J7"/>
  </mergeCells>
  <printOptions horizontalCentered="1"/>
  <pageMargins left="0" right="0.7" top="0.5" bottom="0.75" header="0.3" footer="0.3"/>
  <pageSetup paperSize="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138"/>
  <sheetViews>
    <sheetView topLeftCell="A10" workbookViewId="0">
      <selection activeCell="I22" sqref="I22"/>
    </sheetView>
  </sheetViews>
  <sheetFormatPr defaultColWidth="8.7109375" defaultRowHeight="15" x14ac:dyDescent="0.25"/>
  <cols>
    <col min="1" max="1" width="4" style="2" customWidth="1"/>
    <col min="2" max="2" width="22.85546875" style="2" customWidth="1"/>
    <col min="3" max="3" width="21.85546875" style="2" customWidth="1"/>
    <col min="4" max="4" width="39.140625" style="2" bestFit="1" customWidth="1"/>
    <col min="5" max="5" width="16" style="2" customWidth="1"/>
    <col min="6" max="6" width="7" style="2" customWidth="1"/>
    <col min="7" max="7" width="15.85546875" style="2" bestFit="1" customWidth="1"/>
    <col min="8" max="8" width="6.5703125" style="2" customWidth="1"/>
    <col min="9" max="9" width="8.5703125" style="2" bestFit="1" customWidth="1"/>
    <col min="10" max="10" width="9.85546875" style="51" customWidth="1"/>
    <col min="11" max="11" width="17" style="1" customWidth="1"/>
    <col min="12" max="16" width="8.7109375" style="2"/>
    <col min="17" max="17" width="18" style="2" bestFit="1" customWidth="1"/>
    <col min="18" max="16384" width="8.7109375" style="2"/>
  </cols>
  <sheetData>
    <row r="1" spans="1:17" x14ac:dyDescent="0.25">
      <c r="A1" s="195"/>
      <c r="B1" s="195"/>
      <c r="C1" s="195"/>
      <c r="D1" s="195"/>
      <c r="E1" s="195"/>
      <c r="F1" s="195"/>
      <c r="G1" s="195"/>
      <c r="H1" s="195"/>
      <c r="I1" s="195"/>
      <c r="J1" s="196"/>
    </row>
    <row r="2" spans="1:17" x14ac:dyDescent="0.25">
      <c r="A2" s="273" t="s">
        <v>362</v>
      </c>
      <c r="B2" s="273"/>
      <c r="C2" s="273"/>
      <c r="D2" s="273"/>
      <c r="E2" s="273"/>
      <c r="F2" s="273"/>
      <c r="G2" s="273"/>
      <c r="H2" s="273"/>
      <c r="I2" s="273"/>
      <c r="J2" s="273"/>
    </row>
    <row r="3" spans="1:17" x14ac:dyDescent="0.25">
      <c r="A3" s="273" t="s">
        <v>117</v>
      </c>
      <c r="B3" s="273"/>
      <c r="C3" s="273"/>
      <c r="D3" s="273"/>
      <c r="E3" s="273"/>
      <c r="F3" s="273"/>
      <c r="G3" s="273"/>
      <c r="H3" s="273"/>
      <c r="I3" s="273"/>
      <c r="J3" s="273"/>
    </row>
    <row r="4" spans="1:17" x14ac:dyDescent="0.25">
      <c r="A4" s="204" t="s">
        <v>376</v>
      </c>
      <c r="B4" s="195"/>
      <c r="C4" s="195"/>
      <c r="D4" s="205"/>
      <c r="E4" s="199"/>
      <c r="F4" s="197"/>
      <c r="G4" s="201"/>
      <c r="H4" s="202"/>
      <c r="I4" s="202"/>
      <c r="J4" s="203"/>
    </row>
    <row r="5" spans="1:17" ht="22.5" customHeight="1" x14ac:dyDescent="0.25">
      <c r="A5" s="274" t="s">
        <v>109</v>
      </c>
      <c r="B5" s="274" t="s">
        <v>118</v>
      </c>
      <c r="C5" s="274" t="s">
        <v>119</v>
      </c>
      <c r="D5" s="274" t="s">
        <v>107</v>
      </c>
      <c r="E5" s="277" t="s">
        <v>108</v>
      </c>
      <c r="F5" s="278" t="s">
        <v>102</v>
      </c>
      <c r="G5" s="279"/>
      <c r="H5" s="280"/>
      <c r="I5" s="281" t="s">
        <v>358</v>
      </c>
      <c r="J5" s="281" t="s">
        <v>1</v>
      </c>
    </row>
    <row r="6" spans="1:17" ht="23.25" customHeight="1" x14ac:dyDescent="0.25">
      <c r="A6" s="275"/>
      <c r="B6" s="275"/>
      <c r="C6" s="275"/>
      <c r="D6" s="275"/>
      <c r="E6" s="275"/>
      <c r="F6" s="248" t="s">
        <v>103</v>
      </c>
      <c r="G6" s="278" t="s">
        <v>104</v>
      </c>
      <c r="H6" s="280"/>
      <c r="I6" s="281"/>
      <c r="J6" s="281"/>
    </row>
    <row r="7" spans="1:17" x14ac:dyDescent="0.25">
      <c r="A7" s="276"/>
      <c r="B7" s="276"/>
      <c r="C7" s="276"/>
      <c r="D7" s="276"/>
      <c r="E7" s="276"/>
      <c r="F7" s="248" t="s">
        <v>105</v>
      </c>
      <c r="G7" s="248" t="s">
        <v>106</v>
      </c>
      <c r="H7" s="207" t="s">
        <v>105</v>
      </c>
      <c r="I7" s="281"/>
      <c r="J7" s="281"/>
    </row>
    <row r="8" spans="1:17" ht="19.5" customHeight="1" x14ac:dyDescent="0.25">
      <c r="A8" s="208">
        <v>1</v>
      </c>
      <c r="B8" s="208">
        <v>2</v>
      </c>
      <c r="C8" s="208">
        <v>3</v>
      </c>
      <c r="D8" s="208">
        <v>4</v>
      </c>
      <c r="E8" s="208">
        <v>5</v>
      </c>
      <c r="F8" s="208">
        <v>7</v>
      </c>
      <c r="G8" s="208">
        <v>8</v>
      </c>
      <c r="H8" s="208">
        <v>9</v>
      </c>
      <c r="I8" s="208">
        <v>10</v>
      </c>
      <c r="J8" s="208">
        <v>11</v>
      </c>
      <c r="Q8" s="190"/>
    </row>
    <row r="9" spans="1:17" ht="30.75" customHeight="1" x14ac:dyDescent="0.25">
      <c r="A9" s="282" t="s">
        <v>120</v>
      </c>
      <c r="B9" s="283"/>
      <c r="C9" s="283"/>
      <c r="D9" s="284"/>
      <c r="E9" s="209" t="e">
        <f>E10+#REF!+#REF!+#REF!+#REF!+#REF!+#REF!+#REF!+#REF!+#REF!</f>
        <v>#REF!</v>
      </c>
      <c r="F9" s="210" t="e">
        <f>K9/E9*100%</f>
        <v>#REF!</v>
      </c>
      <c r="G9" s="209" t="e">
        <f>G10+#REF!+#REF!+#REF!+#REF!+#REF!+#REF!+#REF!+#REF!+#REF!</f>
        <v>#REF!</v>
      </c>
      <c r="H9" s="210" t="e">
        <f>G9/E9*100%</f>
        <v>#REF!</v>
      </c>
      <c r="I9" s="210"/>
      <c r="J9" s="211"/>
      <c r="K9" s="14" t="e">
        <f>K10+#REF!+#REF!+#REF!+#REF!+#REF!+#REF!+#REF!+#REF!+#REF!</f>
        <v>#REF!</v>
      </c>
      <c r="Q9" s="190">
        <v>1213208971484</v>
      </c>
    </row>
    <row r="10" spans="1:17" ht="56.25" customHeight="1" x14ac:dyDescent="0.25">
      <c r="A10" s="212">
        <v>1</v>
      </c>
      <c r="B10" s="213" t="s">
        <v>121</v>
      </c>
      <c r="C10" s="214"/>
      <c r="D10" s="214"/>
      <c r="E10" s="215">
        <f>SUM(E11:E46)</f>
        <v>34998122752</v>
      </c>
      <c r="F10" s="216">
        <f>G10/E10*100%</f>
        <v>0.88415099127657348</v>
      </c>
      <c r="G10" s="215">
        <f>SUM(G11:G46)</f>
        <v>30943624924</v>
      </c>
      <c r="H10" s="216">
        <f>G10/E10*100%</f>
        <v>0.88415099127657348</v>
      </c>
      <c r="I10" s="216"/>
      <c r="J10" s="217"/>
      <c r="K10" s="1">
        <f>K15+K16+K20+K21+K25+K26+K30+K31+K35+K36+K40+K41+K45+K46</f>
        <v>0</v>
      </c>
      <c r="Q10" s="191" t="e">
        <f>E9-Q9</f>
        <v>#REF!</v>
      </c>
    </row>
    <row r="11" spans="1:17" x14ac:dyDescent="0.25">
      <c r="A11" s="218"/>
      <c r="B11" s="219"/>
      <c r="C11" s="220" t="s">
        <v>35</v>
      </c>
      <c r="D11" s="221"/>
      <c r="E11" s="222"/>
      <c r="F11" s="222"/>
      <c r="G11" s="222"/>
      <c r="H11" s="222"/>
      <c r="I11" s="222"/>
      <c r="J11" s="223"/>
    </row>
    <row r="12" spans="1:17" x14ac:dyDescent="0.25">
      <c r="A12" s="218"/>
      <c r="B12" s="219"/>
      <c r="C12" s="224" t="s">
        <v>129</v>
      </c>
      <c r="D12" s="225"/>
      <c r="E12" s="226"/>
      <c r="F12" s="226"/>
      <c r="G12" s="226"/>
      <c r="H12" s="226"/>
      <c r="I12" s="226"/>
      <c r="J12" s="227"/>
    </row>
    <row r="13" spans="1:17" ht="25.5" x14ac:dyDescent="0.25">
      <c r="A13" s="218"/>
      <c r="B13" s="219"/>
      <c r="C13" s="228"/>
      <c r="D13" s="229" t="s">
        <v>99</v>
      </c>
      <c r="E13" s="230"/>
      <c r="F13" s="231"/>
      <c r="G13" s="230"/>
      <c r="H13" s="231"/>
      <c r="I13" s="231"/>
      <c r="J13" s="232"/>
    </row>
    <row r="14" spans="1:17" x14ac:dyDescent="0.25">
      <c r="A14" s="218"/>
      <c r="B14" s="219"/>
      <c r="C14" s="228"/>
      <c r="D14" s="233" t="s">
        <v>261</v>
      </c>
      <c r="E14" s="230"/>
      <c r="F14" s="231"/>
      <c r="G14" s="230"/>
      <c r="H14" s="231"/>
      <c r="I14" s="231"/>
      <c r="J14" s="232"/>
    </row>
    <row r="15" spans="1:17" ht="25.5" x14ac:dyDescent="0.25">
      <c r="A15" s="218"/>
      <c r="B15" s="219"/>
      <c r="C15" s="228"/>
      <c r="D15" s="234" t="s">
        <v>100</v>
      </c>
      <c r="E15" s="230">
        <v>2975640000</v>
      </c>
      <c r="F15" s="235">
        <f>G15/E15*100%</f>
        <v>0.99600758156228575</v>
      </c>
      <c r="G15" s="230">
        <f>962815000+2000945000</f>
        <v>2963760000</v>
      </c>
      <c r="H15" s="235">
        <f>G15/E15*100%</f>
        <v>0.99600758156228575</v>
      </c>
      <c r="I15" s="236"/>
      <c r="J15" s="232"/>
    </row>
    <row r="16" spans="1:17" x14ac:dyDescent="0.25">
      <c r="A16" s="218"/>
      <c r="B16" s="219"/>
      <c r="C16" s="228"/>
      <c r="D16" s="234" t="s">
        <v>101</v>
      </c>
      <c r="E16" s="230">
        <v>1803960912</v>
      </c>
      <c r="F16" s="235">
        <f>G16/E16*100%</f>
        <v>0.90491440315642491</v>
      </c>
      <c r="G16" s="230">
        <f>1265904212+366526000</f>
        <v>1632430212</v>
      </c>
      <c r="H16" s="235">
        <f t="shared" ref="H16" si="0">G16/E16*100%</f>
        <v>0.90491440315642491</v>
      </c>
      <c r="I16" s="236"/>
      <c r="J16" s="232"/>
    </row>
    <row r="17" spans="1:10" s="2" customFormat="1" x14ac:dyDescent="0.25">
      <c r="A17" s="218"/>
      <c r="B17" s="219"/>
      <c r="C17" s="224" t="s">
        <v>36</v>
      </c>
      <c r="D17" s="225"/>
      <c r="E17" s="237"/>
      <c r="F17" s="238"/>
      <c r="G17" s="237"/>
      <c r="H17" s="238"/>
      <c r="I17" s="226"/>
      <c r="J17" s="227"/>
    </row>
    <row r="18" spans="1:10" s="2" customFormat="1" ht="25.5" x14ac:dyDescent="0.25">
      <c r="A18" s="218"/>
      <c r="B18" s="219"/>
      <c r="C18" s="228"/>
      <c r="D18" s="229" t="s">
        <v>99</v>
      </c>
      <c r="E18" s="230"/>
      <c r="F18" s="239"/>
      <c r="G18" s="230"/>
      <c r="H18" s="240"/>
      <c r="I18" s="236"/>
      <c r="J18" s="232"/>
    </row>
    <row r="19" spans="1:10" s="2" customFormat="1" x14ac:dyDescent="0.25">
      <c r="A19" s="218"/>
      <c r="B19" s="219"/>
      <c r="C19" s="228"/>
      <c r="D19" s="233" t="s">
        <v>261</v>
      </c>
      <c r="E19" s="230"/>
      <c r="F19" s="239"/>
      <c r="G19" s="230"/>
      <c r="H19" s="240"/>
      <c r="I19" s="236"/>
      <c r="J19" s="232"/>
    </row>
    <row r="20" spans="1:10" s="2" customFormat="1" ht="25.5" x14ac:dyDescent="0.25">
      <c r="A20" s="218"/>
      <c r="B20" s="219"/>
      <c r="C20" s="228"/>
      <c r="D20" s="234" t="s">
        <v>100</v>
      </c>
      <c r="E20" s="230">
        <v>2695640000</v>
      </c>
      <c r="F20" s="235">
        <f>G20/E20*100%</f>
        <v>0.91319315635619003</v>
      </c>
      <c r="G20" s="230">
        <f>517740000+1943900000</f>
        <v>2461640000</v>
      </c>
      <c r="H20" s="235">
        <f t="shared" ref="H20:H21" si="1">G20/E20*100%</f>
        <v>0.91319315635619003</v>
      </c>
      <c r="I20" s="236"/>
      <c r="J20" s="232"/>
    </row>
    <row r="21" spans="1:10" s="2" customFormat="1" x14ac:dyDescent="0.25">
      <c r="A21" s="218"/>
      <c r="B21" s="219"/>
      <c r="C21" s="228"/>
      <c r="D21" s="234" t="s">
        <v>101</v>
      </c>
      <c r="E21" s="230">
        <v>1635097968</v>
      </c>
      <c r="F21" s="235">
        <f>G21/E21*100%</f>
        <v>0.69255664807969475</v>
      </c>
      <c r="G21" s="230">
        <f>924071568+208326400</f>
        <v>1132397968</v>
      </c>
      <c r="H21" s="235">
        <f t="shared" si="1"/>
        <v>0.69255664807969475</v>
      </c>
      <c r="I21" s="236"/>
      <c r="J21" s="232"/>
    </row>
    <row r="22" spans="1:10" s="2" customFormat="1" x14ac:dyDescent="0.25">
      <c r="A22" s="218"/>
      <c r="B22" s="219"/>
      <c r="C22" s="224" t="s">
        <v>37</v>
      </c>
      <c r="D22" s="225"/>
      <c r="E22" s="237"/>
      <c r="F22" s="238"/>
      <c r="G22" s="237"/>
      <c r="H22" s="238"/>
      <c r="I22" s="226"/>
      <c r="J22" s="227"/>
    </row>
    <row r="23" spans="1:10" s="2" customFormat="1" ht="25.5" x14ac:dyDescent="0.25">
      <c r="A23" s="218"/>
      <c r="B23" s="219"/>
      <c r="C23" s="228"/>
      <c r="D23" s="229" t="s">
        <v>99</v>
      </c>
      <c r="E23" s="230"/>
      <c r="F23" s="239"/>
      <c r="G23" s="230"/>
      <c r="H23" s="239"/>
      <c r="I23" s="231"/>
      <c r="J23" s="232"/>
    </row>
    <row r="24" spans="1:10" s="2" customFormat="1" x14ac:dyDescent="0.25">
      <c r="A24" s="218"/>
      <c r="B24" s="219"/>
      <c r="C24" s="228"/>
      <c r="D24" s="233" t="s">
        <v>261</v>
      </c>
      <c r="E24" s="230"/>
      <c r="F24" s="239"/>
      <c r="G24" s="230"/>
      <c r="H24" s="239"/>
      <c r="I24" s="231"/>
      <c r="J24" s="232"/>
    </row>
    <row r="25" spans="1:10" s="2" customFormat="1" ht="25.5" x14ac:dyDescent="0.25">
      <c r="A25" s="218"/>
      <c r="B25" s="219"/>
      <c r="C25" s="228"/>
      <c r="D25" s="234" t="s">
        <v>100</v>
      </c>
      <c r="E25" s="230">
        <v>2930640000</v>
      </c>
      <c r="F25" s="235">
        <f>G25/E25*100%</f>
        <v>0.86808603240247861</v>
      </c>
      <c r="G25" s="230">
        <f>1299897100+1244150550</f>
        <v>2544047650</v>
      </c>
      <c r="H25" s="235">
        <f t="shared" ref="H25:H26" si="2">G25/E25*100%</f>
        <v>0.86808603240247861</v>
      </c>
      <c r="I25" s="241"/>
      <c r="J25" s="232"/>
    </row>
    <row r="26" spans="1:10" s="2" customFormat="1" x14ac:dyDescent="0.25">
      <c r="A26" s="218"/>
      <c r="B26" s="219"/>
      <c r="C26" s="228"/>
      <c r="D26" s="234" t="s">
        <v>101</v>
      </c>
      <c r="E26" s="230">
        <v>1769445176</v>
      </c>
      <c r="F26" s="235">
        <f>G26/E26*100%</f>
        <v>0.6440436151721719</v>
      </c>
      <c r="G26" s="230">
        <f>930600368+208999500</f>
        <v>1139599868</v>
      </c>
      <c r="H26" s="235">
        <f t="shared" si="2"/>
        <v>0.6440436151721719</v>
      </c>
      <c r="I26" s="236"/>
      <c r="J26" s="232"/>
    </row>
    <row r="27" spans="1:10" s="2" customFormat="1" x14ac:dyDescent="0.25">
      <c r="A27" s="218"/>
      <c r="B27" s="219"/>
      <c r="C27" s="224" t="s">
        <v>38</v>
      </c>
      <c r="D27" s="225"/>
      <c r="E27" s="237"/>
      <c r="F27" s="238"/>
      <c r="G27" s="237"/>
      <c r="H27" s="238"/>
      <c r="I27" s="226"/>
      <c r="J27" s="227"/>
    </row>
    <row r="28" spans="1:10" s="2" customFormat="1" ht="25.5" x14ac:dyDescent="0.25">
      <c r="A28" s="218"/>
      <c r="B28" s="219"/>
      <c r="C28" s="228"/>
      <c r="D28" s="229" t="s">
        <v>99</v>
      </c>
      <c r="E28" s="230"/>
      <c r="F28" s="239"/>
      <c r="G28" s="230"/>
      <c r="H28" s="240"/>
      <c r="I28" s="236"/>
      <c r="J28" s="232"/>
    </row>
    <row r="29" spans="1:10" s="2" customFormat="1" x14ac:dyDescent="0.25">
      <c r="A29" s="218"/>
      <c r="B29" s="219"/>
      <c r="C29" s="228"/>
      <c r="D29" s="233" t="s">
        <v>261</v>
      </c>
      <c r="E29" s="230"/>
      <c r="F29" s="239"/>
      <c r="G29" s="230"/>
      <c r="H29" s="240"/>
      <c r="I29" s="236"/>
      <c r="J29" s="232"/>
    </row>
    <row r="30" spans="1:10" s="2" customFormat="1" ht="25.5" x14ac:dyDescent="0.25">
      <c r="A30" s="218"/>
      <c r="B30" s="219"/>
      <c r="C30" s="228"/>
      <c r="D30" s="234" t="s">
        <v>100</v>
      </c>
      <c r="E30" s="230">
        <v>2480900000</v>
      </c>
      <c r="F30" s="235">
        <f t="shared" ref="F30:F31" si="3">G30/E30*100%</f>
        <v>0.95686041355959528</v>
      </c>
      <c r="G30" s="230">
        <f>708125000+1665750000</f>
        <v>2373875000</v>
      </c>
      <c r="H30" s="235">
        <f t="shared" ref="H30:H31" si="4">G30/E30*100%</f>
        <v>0.95686041355959528</v>
      </c>
      <c r="I30" s="241"/>
      <c r="J30" s="232"/>
    </row>
    <row r="31" spans="1:10" s="2" customFormat="1" x14ac:dyDescent="0.25">
      <c r="A31" s="218"/>
      <c r="B31" s="219"/>
      <c r="C31" s="228"/>
      <c r="D31" s="234" t="s">
        <v>101</v>
      </c>
      <c r="E31" s="230">
        <v>1508450760</v>
      </c>
      <c r="F31" s="235">
        <f t="shared" si="3"/>
        <v>0.85976685112346662</v>
      </c>
      <c r="G31" s="230">
        <f>1241231560+55684400</f>
        <v>1296915960</v>
      </c>
      <c r="H31" s="235">
        <f t="shared" si="4"/>
        <v>0.85976685112346662</v>
      </c>
      <c r="I31" s="242"/>
      <c r="J31" s="232"/>
    </row>
    <row r="32" spans="1:10" s="2" customFormat="1" x14ac:dyDescent="0.25">
      <c r="A32" s="218"/>
      <c r="B32" s="219"/>
      <c r="C32" s="224" t="s">
        <v>39</v>
      </c>
      <c r="D32" s="225"/>
      <c r="E32" s="237"/>
      <c r="F32" s="238"/>
      <c r="G32" s="237"/>
      <c r="H32" s="238"/>
      <c r="I32" s="226"/>
      <c r="J32" s="227"/>
    </row>
    <row r="33" spans="1:11" ht="25.5" x14ac:dyDescent="0.25">
      <c r="A33" s="218"/>
      <c r="B33" s="219"/>
      <c r="C33" s="228"/>
      <c r="D33" s="229" t="s">
        <v>99</v>
      </c>
      <c r="E33" s="230"/>
      <c r="F33" s="239"/>
      <c r="G33" s="230"/>
      <c r="H33" s="240"/>
      <c r="I33" s="236"/>
      <c r="J33" s="232"/>
    </row>
    <row r="34" spans="1:11" x14ac:dyDescent="0.25">
      <c r="A34" s="218"/>
      <c r="B34" s="219"/>
      <c r="C34" s="228"/>
      <c r="D34" s="233" t="s">
        <v>261</v>
      </c>
      <c r="E34" s="230"/>
      <c r="F34" s="239"/>
      <c r="G34" s="230"/>
      <c r="H34" s="240"/>
      <c r="I34" s="236"/>
      <c r="J34" s="232"/>
    </row>
    <row r="35" spans="1:11" ht="25.5" x14ac:dyDescent="0.25">
      <c r="A35" s="218"/>
      <c r="B35" s="219"/>
      <c r="C35" s="228"/>
      <c r="D35" s="234" t="s">
        <v>100</v>
      </c>
      <c r="E35" s="230">
        <v>3395640000</v>
      </c>
      <c r="F35" s="235">
        <f t="shared" ref="F35:F36" si="5">G35/E35*100%</f>
        <v>0.99650139590769338</v>
      </c>
      <c r="G35" s="230">
        <f>2244317000+1139443000</f>
        <v>3383760000</v>
      </c>
      <c r="H35" s="235">
        <f t="shared" ref="H35:H36" si="6">G35/E35*100%</f>
        <v>0.99650139590769338</v>
      </c>
      <c r="I35" s="236"/>
      <c r="J35" s="232"/>
    </row>
    <row r="36" spans="1:11" x14ac:dyDescent="0.25">
      <c r="A36" s="218"/>
      <c r="B36" s="219"/>
      <c r="C36" s="228"/>
      <c r="D36" s="234" t="s">
        <v>101</v>
      </c>
      <c r="E36" s="230">
        <v>2057255328</v>
      </c>
      <c r="F36" s="235">
        <f t="shared" si="5"/>
        <v>0.58825282478500407</v>
      </c>
      <c r="G36" s="230">
        <f>1098186258+112000000</f>
        <v>1210186258</v>
      </c>
      <c r="H36" s="235">
        <f t="shared" si="6"/>
        <v>0.58825282478500407</v>
      </c>
      <c r="I36" s="236"/>
      <c r="J36" s="232"/>
    </row>
    <row r="37" spans="1:11" x14ac:dyDescent="0.25">
      <c r="A37" s="218"/>
      <c r="B37" s="219"/>
      <c r="C37" s="224" t="s">
        <v>40</v>
      </c>
      <c r="D37" s="225"/>
      <c r="E37" s="237"/>
      <c r="F37" s="238"/>
      <c r="G37" s="237"/>
      <c r="H37" s="238"/>
      <c r="I37" s="243"/>
      <c r="J37" s="227"/>
    </row>
    <row r="38" spans="1:11" ht="25.5" x14ac:dyDescent="0.25">
      <c r="A38" s="218"/>
      <c r="B38" s="219"/>
      <c r="C38" s="228"/>
      <c r="D38" s="229" t="s">
        <v>99</v>
      </c>
      <c r="E38" s="230"/>
      <c r="F38" s="239"/>
      <c r="G38" s="230"/>
      <c r="H38" s="239"/>
      <c r="I38" s="231"/>
      <c r="J38" s="232"/>
    </row>
    <row r="39" spans="1:11" x14ac:dyDescent="0.25">
      <c r="A39" s="218"/>
      <c r="B39" s="219"/>
      <c r="C39" s="228"/>
      <c r="D39" s="233" t="s">
        <v>261</v>
      </c>
      <c r="E39" s="230"/>
      <c r="F39" s="239"/>
      <c r="G39" s="230"/>
      <c r="H39" s="239"/>
      <c r="I39" s="231"/>
      <c r="J39" s="232"/>
    </row>
    <row r="40" spans="1:11" ht="25.5" x14ac:dyDescent="0.25">
      <c r="A40" s="218"/>
      <c r="B40" s="219"/>
      <c r="C40" s="228"/>
      <c r="D40" s="234" t="s">
        <v>100</v>
      </c>
      <c r="E40" s="230">
        <v>1430900000</v>
      </c>
      <c r="F40" s="235">
        <f t="shared" ref="F40:F41" si="7">G40/E40*100%</f>
        <v>0.98818226291145428</v>
      </c>
      <c r="G40" s="230">
        <f>445779463+968210537</f>
        <v>1413990000</v>
      </c>
      <c r="H40" s="235">
        <f t="shared" ref="H40:H41" si="8">G40/E40*100%</f>
        <v>0.98818226291145428</v>
      </c>
      <c r="I40" s="236"/>
      <c r="J40" s="232"/>
    </row>
    <row r="41" spans="1:11" x14ac:dyDescent="0.25">
      <c r="A41" s="218"/>
      <c r="B41" s="219"/>
      <c r="C41" s="228"/>
      <c r="D41" s="234" t="s">
        <v>101</v>
      </c>
      <c r="E41" s="230">
        <v>870474720</v>
      </c>
      <c r="F41" s="235">
        <f t="shared" si="7"/>
        <v>0.81040483289394094</v>
      </c>
      <c r="G41" s="230">
        <f>693186920+12250000</f>
        <v>705436920</v>
      </c>
      <c r="H41" s="235">
        <f t="shared" si="8"/>
        <v>0.81040483289394094</v>
      </c>
      <c r="I41" s="236"/>
      <c r="J41" s="232"/>
    </row>
    <row r="42" spans="1:11" x14ac:dyDescent="0.25">
      <c r="A42" s="218"/>
      <c r="B42" s="219"/>
      <c r="C42" s="224" t="s">
        <v>41</v>
      </c>
      <c r="D42" s="225"/>
      <c r="E42" s="237"/>
      <c r="F42" s="238"/>
      <c r="G42" s="237"/>
      <c r="H42" s="238"/>
      <c r="I42" s="226"/>
      <c r="J42" s="227"/>
    </row>
    <row r="43" spans="1:11" ht="25.5" x14ac:dyDescent="0.25">
      <c r="A43" s="218"/>
      <c r="B43" s="219"/>
      <c r="C43" s="228"/>
      <c r="D43" s="229" t="s">
        <v>99</v>
      </c>
      <c r="E43" s="230"/>
      <c r="F43" s="239"/>
      <c r="G43" s="230"/>
      <c r="H43" s="240"/>
      <c r="I43" s="236"/>
      <c r="J43" s="232"/>
    </row>
    <row r="44" spans="1:11" x14ac:dyDescent="0.25">
      <c r="A44" s="218"/>
      <c r="B44" s="219"/>
      <c r="C44" s="228"/>
      <c r="D44" s="233" t="s">
        <v>261</v>
      </c>
      <c r="E44" s="230"/>
      <c r="F44" s="239"/>
      <c r="G44" s="230"/>
      <c r="H44" s="240"/>
      <c r="I44" s="236"/>
      <c r="J44" s="232"/>
    </row>
    <row r="45" spans="1:11" ht="25.5" x14ac:dyDescent="0.25">
      <c r="A45" s="218"/>
      <c r="B45" s="219"/>
      <c r="C45" s="228"/>
      <c r="D45" s="234" t="s">
        <v>100</v>
      </c>
      <c r="E45" s="230">
        <v>5850440000</v>
      </c>
      <c r="F45" s="235">
        <f t="shared" ref="F45:F46" si="9">G45/E45*100%</f>
        <v>0.98669501781062618</v>
      </c>
      <c r="G45" s="230">
        <f>2135530000+3637070000</f>
        <v>5772600000</v>
      </c>
      <c r="H45" s="235">
        <f t="shared" ref="H45:H46" si="10">G45/E45*100%</f>
        <v>0.98669501781062618</v>
      </c>
      <c r="I45" s="236"/>
      <c r="J45" s="232"/>
    </row>
    <row r="46" spans="1:11" x14ac:dyDescent="0.25">
      <c r="A46" s="218"/>
      <c r="B46" s="219"/>
      <c r="C46" s="228"/>
      <c r="D46" s="234" t="s">
        <v>101</v>
      </c>
      <c r="E46" s="230">
        <v>3593637888</v>
      </c>
      <c r="F46" s="235">
        <f t="shared" si="9"/>
        <v>0.81059505125075082</v>
      </c>
      <c r="G46" s="230">
        <f>1948115888+964869200</f>
        <v>2912985088</v>
      </c>
      <c r="H46" s="235">
        <f t="shared" si="10"/>
        <v>0.81059505125075082</v>
      </c>
      <c r="I46" s="236"/>
      <c r="J46" s="232"/>
    </row>
    <row r="47" spans="1:11" x14ac:dyDescent="0.25">
      <c r="A47" s="195"/>
      <c r="B47" s="195"/>
      <c r="C47" s="195"/>
      <c r="D47" s="195"/>
      <c r="E47" s="195"/>
      <c r="F47" s="195"/>
      <c r="G47" s="195"/>
      <c r="H47" s="195"/>
      <c r="I47" s="195"/>
      <c r="J47" s="196"/>
    </row>
    <row r="48" spans="1:11" x14ac:dyDescent="0.25">
      <c r="A48" s="195"/>
      <c r="B48" s="195"/>
      <c r="C48" s="195"/>
      <c r="D48" s="195"/>
      <c r="E48" s="195"/>
      <c r="F48" s="195"/>
      <c r="G48" s="195"/>
      <c r="H48" s="195"/>
      <c r="I48" s="195"/>
      <c r="J48" s="196"/>
      <c r="K48" s="2"/>
    </row>
    <row r="49" spans="1:11" x14ac:dyDescent="0.25">
      <c r="A49" s="195"/>
      <c r="B49" s="195"/>
      <c r="C49" s="195"/>
      <c r="D49" s="195"/>
      <c r="E49" s="195"/>
      <c r="F49" s="195"/>
      <c r="G49" s="195"/>
      <c r="H49" s="195"/>
      <c r="I49" s="195"/>
      <c r="J49" s="196"/>
      <c r="K49" s="2"/>
    </row>
    <row r="50" spans="1:11" x14ac:dyDescent="0.25">
      <c r="A50" s="195"/>
      <c r="B50" s="195"/>
      <c r="C50" s="195"/>
      <c r="D50" s="195"/>
      <c r="E50" s="195"/>
      <c r="F50" s="195"/>
      <c r="G50" s="195"/>
      <c r="H50" s="195"/>
      <c r="I50" s="195"/>
      <c r="J50" s="196"/>
      <c r="K50" s="2"/>
    </row>
    <row r="51" spans="1:11" x14ac:dyDescent="0.25">
      <c r="A51" s="273" t="s">
        <v>362</v>
      </c>
      <c r="B51" s="273"/>
      <c r="C51" s="273"/>
      <c r="D51" s="273"/>
      <c r="E51" s="273"/>
      <c r="F51" s="273"/>
      <c r="G51" s="273"/>
      <c r="H51" s="273"/>
      <c r="I51" s="273"/>
      <c r="J51" s="273"/>
      <c r="K51" s="2"/>
    </row>
    <row r="52" spans="1:11" x14ac:dyDescent="0.25">
      <c r="A52" s="273" t="s">
        <v>117</v>
      </c>
      <c r="B52" s="273"/>
      <c r="C52" s="273"/>
      <c r="D52" s="273"/>
      <c r="E52" s="273"/>
      <c r="F52" s="273"/>
      <c r="G52" s="273"/>
      <c r="H52" s="273"/>
      <c r="I52" s="273"/>
      <c r="J52" s="273"/>
      <c r="K52" s="2"/>
    </row>
    <row r="53" spans="1:11" x14ac:dyDescent="0.25">
      <c r="A53" s="285" t="s">
        <v>370</v>
      </c>
      <c r="B53" s="285"/>
      <c r="C53" s="285"/>
      <c r="D53" s="285"/>
      <c r="E53" s="285"/>
      <c r="F53" s="285"/>
      <c r="G53" s="285"/>
      <c r="H53" s="285"/>
      <c r="I53" s="285"/>
      <c r="J53" s="285"/>
      <c r="K53" s="2"/>
    </row>
    <row r="54" spans="1:11" x14ac:dyDescent="0.25">
      <c r="A54" s="249"/>
      <c r="B54" s="249"/>
      <c r="C54" s="249"/>
      <c r="D54" s="249"/>
      <c r="E54" s="249"/>
      <c r="F54" s="249"/>
      <c r="G54" s="249"/>
      <c r="H54" s="249"/>
      <c r="I54" s="249"/>
      <c r="J54" s="249"/>
      <c r="K54" s="2"/>
    </row>
    <row r="55" spans="1:11" x14ac:dyDescent="0.25">
      <c r="A55" s="249"/>
      <c r="B55" s="249"/>
      <c r="C55" s="249"/>
      <c r="D55" s="249"/>
      <c r="E55" s="249"/>
      <c r="F55" s="249"/>
      <c r="G55" s="249"/>
      <c r="H55" s="249"/>
      <c r="I55" s="249"/>
      <c r="J55" s="249"/>
      <c r="K55" s="2"/>
    </row>
    <row r="56" spans="1:11" x14ac:dyDescent="0.25">
      <c r="A56" s="204" t="s">
        <v>376</v>
      </c>
      <c r="B56" s="195"/>
      <c r="C56" s="195"/>
      <c r="D56" s="205"/>
      <c r="E56" s="199"/>
      <c r="F56" s="197"/>
      <c r="G56" s="201"/>
      <c r="H56" s="202"/>
      <c r="I56" s="202"/>
      <c r="J56" s="203"/>
      <c r="K56" s="2"/>
    </row>
    <row r="57" spans="1:11" x14ac:dyDescent="0.25">
      <c r="A57" s="274" t="s">
        <v>109</v>
      </c>
      <c r="B57" s="274" t="s">
        <v>118</v>
      </c>
      <c r="C57" s="274" t="s">
        <v>119</v>
      </c>
      <c r="D57" s="274" t="s">
        <v>107</v>
      </c>
      <c r="E57" s="277" t="s">
        <v>108</v>
      </c>
      <c r="F57" s="278" t="s">
        <v>102</v>
      </c>
      <c r="G57" s="279"/>
      <c r="H57" s="280"/>
      <c r="I57" s="281" t="s">
        <v>358</v>
      </c>
      <c r="J57" s="281" t="s">
        <v>1</v>
      </c>
      <c r="K57" s="2"/>
    </row>
    <row r="58" spans="1:11" x14ac:dyDescent="0.25">
      <c r="A58" s="275"/>
      <c r="B58" s="275"/>
      <c r="C58" s="275"/>
      <c r="D58" s="275"/>
      <c r="E58" s="275"/>
      <c r="F58" s="248" t="s">
        <v>103</v>
      </c>
      <c r="G58" s="278" t="s">
        <v>104</v>
      </c>
      <c r="H58" s="280"/>
      <c r="I58" s="281"/>
      <c r="J58" s="281"/>
      <c r="K58" s="2"/>
    </row>
    <row r="59" spans="1:11" x14ac:dyDescent="0.25">
      <c r="A59" s="276"/>
      <c r="B59" s="276"/>
      <c r="C59" s="276"/>
      <c r="D59" s="276"/>
      <c r="E59" s="276"/>
      <c r="F59" s="248" t="s">
        <v>105</v>
      </c>
      <c r="G59" s="248" t="s">
        <v>106</v>
      </c>
      <c r="H59" s="207" t="s">
        <v>105</v>
      </c>
      <c r="I59" s="281"/>
      <c r="J59" s="281"/>
      <c r="K59" s="2"/>
    </row>
    <row r="60" spans="1:11" x14ac:dyDescent="0.25">
      <c r="A60" s="208">
        <v>1</v>
      </c>
      <c r="B60" s="208">
        <v>2</v>
      </c>
      <c r="C60" s="208">
        <v>3</v>
      </c>
      <c r="D60" s="208">
        <v>4</v>
      </c>
      <c r="E60" s="208">
        <v>5</v>
      </c>
      <c r="F60" s="208">
        <v>7</v>
      </c>
      <c r="G60" s="208">
        <v>8</v>
      </c>
      <c r="H60" s="208">
        <v>9</v>
      </c>
      <c r="I60" s="208">
        <v>10</v>
      </c>
      <c r="J60" s="208">
        <v>11</v>
      </c>
      <c r="K60" s="2"/>
    </row>
    <row r="61" spans="1:11" x14ac:dyDescent="0.25">
      <c r="A61" s="282" t="s">
        <v>120</v>
      </c>
      <c r="B61" s="283"/>
      <c r="C61" s="283"/>
      <c r="D61" s="284"/>
      <c r="E61" s="209" t="e">
        <f>E62+#REF!+#REF!+#REF!+#REF!+#REF!+#REF!+#REF!+#REF!+#REF!</f>
        <v>#REF!</v>
      </c>
      <c r="F61" s="210" t="e">
        <f>K61/E61*100%</f>
        <v>#REF!</v>
      </c>
      <c r="G61" s="209" t="e">
        <f>G62+#REF!+#REF!+#REF!+#REF!+#REF!+#REF!+#REF!+#REF!+#REF!</f>
        <v>#REF!</v>
      </c>
      <c r="H61" s="210" t="e">
        <f>G61/E61*100%</f>
        <v>#REF!</v>
      </c>
      <c r="I61" s="210"/>
      <c r="J61" s="211"/>
      <c r="K61" s="2"/>
    </row>
    <row r="62" spans="1:11" ht="38.25" x14ac:dyDescent="0.25">
      <c r="A62" s="212">
        <v>1</v>
      </c>
      <c r="B62" s="213" t="s">
        <v>121</v>
      </c>
      <c r="C62" s="214"/>
      <c r="D62" s="214"/>
      <c r="E62" s="215">
        <f>SUM(E63:E91)</f>
        <v>21759800000</v>
      </c>
      <c r="F62" s="216">
        <f>G62/E62*100%</f>
        <v>0.96111511364994162</v>
      </c>
      <c r="G62" s="215">
        <f>SUM(G63:G91)</f>
        <v>20913672650</v>
      </c>
      <c r="H62" s="216">
        <f>G62/E62*100%</f>
        <v>0.96111511364994162</v>
      </c>
      <c r="I62" s="216"/>
      <c r="J62" s="217"/>
      <c r="K62" s="2"/>
    </row>
    <row r="63" spans="1:11" x14ac:dyDescent="0.25">
      <c r="A63" s="218"/>
      <c r="B63" s="219"/>
      <c r="C63" s="220" t="s">
        <v>35</v>
      </c>
      <c r="D63" s="221"/>
      <c r="E63" s="222"/>
      <c r="F63" s="222"/>
      <c r="G63" s="222"/>
      <c r="H63" s="222"/>
      <c r="I63" s="222"/>
      <c r="J63" s="223"/>
      <c r="K63" s="2"/>
    </row>
    <row r="64" spans="1:11" x14ac:dyDescent="0.25">
      <c r="A64" s="218"/>
      <c r="B64" s="219"/>
      <c r="C64" s="224" t="s">
        <v>129</v>
      </c>
      <c r="D64" s="225"/>
      <c r="E64" s="226"/>
      <c r="F64" s="226"/>
      <c r="G64" s="226"/>
      <c r="H64" s="226"/>
      <c r="I64" s="226"/>
      <c r="J64" s="227"/>
      <c r="K64" s="2"/>
    </row>
    <row r="65" spans="1:11" ht="25.5" x14ac:dyDescent="0.25">
      <c r="A65" s="218"/>
      <c r="B65" s="219"/>
      <c r="C65" s="228"/>
      <c r="D65" s="229" t="s">
        <v>99</v>
      </c>
      <c r="E65" s="230"/>
      <c r="F65" s="231"/>
      <c r="G65" s="230"/>
      <c r="H65" s="231"/>
      <c r="I65" s="231"/>
      <c r="J65" s="232"/>
      <c r="K65" s="2"/>
    </row>
    <row r="66" spans="1:11" x14ac:dyDescent="0.25">
      <c r="A66" s="218"/>
      <c r="B66" s="219"/>
      <c r="C66" s="228"/>
      <c r="D66" s="233" t="s">
        <v>261</v>
      </c>
      <c r="E66" s="230"/>
      <c r="F66" s="231"/>
      <c r="G66" s="230"/>
      <c r="H66" s="231"/>
      <c r="I66" s="231"/>
      <c r="J66" s="232"/>
      <c r="K66" s="2"/>
    </row>
    <row r="67" spans="1:11" ht="25.5" x14ac:dyDescent="0.25">
      <c r="A67" s="218"/>
      <c r="B67" s="219"/>
      <c r="C67" s="228"/>
      <c r="D67" s="234" t="s">
        <v>100</v>
      </c>
      <c r="E67" s="230">
        <v>2975640000</v>
      </c>
      <c r="F67" s="235">
        <f>G67/E67*100%</f>
        <v>0.99600758156228575</v>
      </c>
      <c r="G67" s="230">
        <f>2963760000</f>
        <v>2963760000</v>
      </c>
      <c r="H67" s="235">
        <f>G67/E67*100%</f>
        <v>0.99600758156228575</v>
      </c>
      <c r="I67" s="236"/>
      <c r="J67" s="232"/>
      <c r="K67" s="2"/>
    </row>
    <row r="68" spans="1:11" x14ac:dyDescent="0.25">
      <c r="A68" s="218"/>
      <c r="B68" s="219"/>
      <c r="C68" s="224" t="s">
        <v>36</v>
      </c>
      <c r="D68" s="225"/>
      <c r="E68" s="237"/>
      <c r="F68" s="238"/>
      <c r="G68" s="237"/>
      <c r="H68" s="238"/>
      <c r="I68" s="226"/>
      <c r="J68" s="227"/>
      <c r="K68" s="2"/>
    </row>
    <row r="69" spans="1:11" ht="25.5" x14ac:dyDescent="0.25">
      <c r="A69" s="218"/>
      <c r="B69" s="219"/>
      <c r="C69" s="228"/>
      <c r="D69" s="229" t="s">
        <v>99</v>
      </c>
      <c r="E69" s="230"/>
      <c r="F69" s="239"/>
      <c r="G69" s="230"/>
      <c r="H69" s="240"/>
      <c r="I69" s="236"/>
      <c r="J69" s="232"/>
      <c r="K69" s="2"/>
    </row>
    <row r="70" spans="1:11" x14ac:dyDescent="0.25">
      <c r="A70" s="218"/>
      <c r="B70" s="219"/>
      <c r="C70" s="228"/>
      <c r="D70" s="233" t="s">
        <v>261</v>
      </c>
      <c r="E70" s="230"/>
      <c r="F70" s="239"/>
      <c r="G70" s="230"/>
      <c r="H70" s="240"/>
      <c r="I70" s="236"/>
      <c r="J70" s="232"/>
      <c r="K70" s="2"/>
    </row>
    <row r="71" spans="1:11" ht="25.5" x14ac:dyDescent="0.25">
      <c r="A71" s="218"/>
      <c r="B71" s="219"/>
      <c r="C71" s="228"/>
      <c r="D71" s="234" t="s">
        <v>100</v>
      </c>
      <c r="E71" s="230">
        <v>2695640000</v>
      </c>
      <c r="F71" s="235">
        <f>G71/E71*100%</f>
        <v>0.91319315635619003</v>
      </c>
      <c r="G71" s="230">
        <f>2461640000</f>
        <v>2461640000</v>
      </c>
      <c r="H71" s="235">
        <f t="shared" ref="H71" si="11">G71/E71*100%</f>
        <v>0.91319315635619003</v>
      </c>
      <c r="I71" s="236"/>
      <c r="J71" s="232"/>
      <c r="K71" s="2"/>
    </row>
    <row r="72" spans="1:11" x14ac:dyDescent="0.25">
      <c r="A72" s="218"/>
      <c r="B72" s="219"/>
      <c r="C72" s="224" t="s">
        <v>37</v>
      </c>
      <c r="D72" s="225"/>
      <c r="E72" s="237"/>
      <c r="F72" s="238"/>
      <c r="G72" s="237"/>
      <c r="H72" s="238"/>
      <c r="I72" s="226"/>
      <c r="J72" s="227"/>
      <c r="K72" s="2"/>
    </row>
    <row r="73" spans="1:11" ht="25.5" x14ac:dyDescent="0.25">
      <c r="A73" s="218"/>
      <c r="B73" s="219"/>
      <c r="C73" s="228"/>
      <c r="D73" s="229" t="s">
        <v>99</v>
      </c>
      <c r="E73" s="230"/>
      <c r="F73" s="239"/>
      <c r="G73" s="230"/>
      <c r="H73" s="239"/>
      <c r="I73" s="231"/>
      <c r="J73" s="232"/>
      <c r="K73" s="2"/>
    </row>
    <row r="74" spans="1:11" x14ac:dyDescent="0.25">
      <c r="A74" s="218"/>
      <c r="B74" s="219"/>
      <c r="C74" s="228"/>
      <c r="D74" s="233" t="s">
        <v>261</v>
      </c>
      <c r="E74" s="230"/>
      <c r="F74" s="239"/>
      <c r="G74" s="230"/>
      <c r="H74" s="239"/>
      <c r="I74" s="231"/>
      <c r="J74" s="232"/>
      <c r="K74" s="2"/>
    </row>
    <row r="75" spans="1:11" ht="25.5" x14ac:dyDescent="0.25">
      <c r="A75" s="218"/>
      <c r="B75" s="219"/>
      <c r="C75" s="228"/>
      <c r="D75" s="234" t="s">
        <v>100</v>
      </c>
      <c r="E75" s="230">
        <v>2930640000</v>
      </c>
      <c r="F75" s="235">
        <f>G75/E75*100%</f>
        <v>0.86808603240247861</v>
      </c>
      <c r="G75" s="230">
        <f>2544047650</f>
        <v>2544047650</v>
      </c>
      <c r="H75" s="235">
        <f t="shared" ref="H75" si="12">G75/E75*100%</f>
        <v>0.86808603240247861</v>
      </c>
      <c r="I75" s="241"/>
      <c r="J75" s="232"/>
      <c r="K75" s="2"/>
    </row>
    <row r="76" spans="1:11" x14ac:dyDescent="0.25">
      <c r="A76" s="218"/>
      <c r="B76" s="219"/>
      <c r="C76" s="224" t="s">
        <v>38</v>
      </c>
      <c r="D76" s="225"/>
      <c r="E76" s="237"/>
      <c r="F76" s="238"/>
      <c r="G76" s="237"/>
      <c r="H76" s="238"/>
      <c r="I76" s="226"/>
      <c r="J76" s="227"/>
      <c r="K76" s="2"/>
    </row>
    <row r="77" spans="1:11" ht="25.5" x14ac:dyDescent="0.25">
      <c r="A77" s="218"/>
      <c r="B77" s="219"/>
      <c r="C77" s="228"/>
      <c r="D77" s="229" t="s">
        <v>99</v>
      </c>
      <c r="E77" s="230"/>
      <c r="F77" s="239"/>
      <c r="G77" s="230"/>
      <c r="H77" s="240"/>
      <c r="I77" s="236"/>
      <c r="J77" s="232"/>
      <c r="K77" s="2"/>
    </row>
    <row r="78" spans="1:11" x14ac:dyDescent="0.25">
      <c r="A78" s="218"/>
      <c r="B78" s="219"/>
      <c r="C78" s="228"/>
      <c r="D78" s="233" t="s">
        <v>261</v>
      </c>
      <c r="E78" s="230"/>
      <c r="F78" s="239"/>
      <c r="G78" s="230"/>
      <c r="H78" s="240"/>
      <c r="I78" s="236"/>
      <c r="J78" s="232"/>
      <c r="K78" s="2"/>
    </row>
    <row r="79" spans="1:11" ht="25.5" x14ac:dyDescent="0.25">
      <c r="A79" s="218"/>
      <c r="B79" s="219"/>
      <c r="C79" s="228"/>
      <c r="D79" s="234" t="s">
        <v>100</v>
      </c>
      <c r="E79" s="230">
        <v>2480900000</v>
      </c>
      <c r="F79" s="235">
        <f t="shared" ref="F79" si="13">G79/E79*100%</f>
        <v>0.95686041355959528</v>
      </c>
      <c r="G79" s="230">
        <f>2373875000</f>
        <v>2373875000</v>
      </c>
      <c r="H79" s="235">
        <f t="shared" ref="H79" si="14">G79/E79*100%</f>
        <v>0.95686041355959528</v>
      </c>
      <c r="I79" s="241"/>
      <c r="J79" s="232"/>
      <c r="K79" s="2"/>
    </row>
    <row r="80" spans="1:11" x14ac:dyDescent="0.25">
      <c r="A80" s="218"/>
      <c r="B80" s="219"/>
      <c r="C80" s="224" t="s">
        <v>39</v>
      </c>
      <c r="D80" s="225"/>
      <c r="E80" s="237"/>
      <c r="F80" s="238"/>
      <c r="G80" s="237"/>
      <c r="H80" s="238"/>
      <c r="I80" s="226"/>
      <c r="J80" s="227"/>
      <c r="K80" s="2"/>
    </row>
    <row r="81" spans="1:11" ht="25.5" x14ac:dyDescent="0.25">
      <c r="A81" s="218"/>
      <c r="B81" s="219"/>
      <c r="C81" s="228"/>
      <c r="D81" s="229" t="s">
        <v>99</v>
      </c>
      <c r="E81" s="230"/>
      <c r="F81" s="239"/>
      <c r="G81" s="230"/>
      <c r="H81" s="240"/>
      <c r="I81" s="236"/>
      <c r="J81" s="232"/>
      <c r="K81" s="2"/>
    </row>
    <row r="82" spans="1:11" x14ac:dyDescent="0.25">
      <c r="A82" s="218"/>
      <c r="B82" s="219"/>
      <c r="C82" s="228"/>
      <c r="D82" s="233" t="s">
        <v>261</v>
      </c>
      <c r="E82" s="230"/>
      <c r="F82" s="239"/>
      <c r="G82" s="230"/>
      <c r="H82" s="240"/>
      <c r="I82" s="236"/>
      <c r="J82" s="232"/>
      <c r="K82" s="2"/>
    </row>
    <row r="83" spans="1:11" ht="25.5" x14ac:dyDescent="0.25">
      <c r="A83" s="218"/>
      <c r="B83" s="219"/>
      <c r="C83" s="228"/>
      <c r="D83" s="234" t="s">
        <v>100</v>
      </c>
      <c r="E83" s="230">
        <v>3395640000</v>
      </c>
      <c r="F83" s="235">
        <f t="shared" ref="F83" si="15">G83/E83*100%</f>
        <v>0.99650139590769338</v>
      </c>
      <c r="G83" s="230">
        <f>3383760000</f>
        <v>3383760000</v>
      </c>
      <c r="H83" s="235">
        <f t="shared" ref="H83" si="16">G83/E83*100%</f>
        <v>0.99650139590769338</v>
      </c>
      <c r="I83" s="236"/>
      <c r="J83" s="232"/>
      <c r="K83" s="2"/>
    </row>
    <row r="84" spans="1:11" x14ac:dyDescent="0.25">
      <c r="A84" s="218"/>
      <c r="B84" s="219"/>
      <c r="C84" s="224" t="s">
        <v>40</v>
      </c>
      <c r="D84" s="225"/>
      <c r="E84" s="237"/>
      <c r="F84" s="238"/>
      <c r="G84" s="237"/>
      <c r="H84" s="238"/>
      <c r="I84" s="243"/>
      <c r="J84" s="227"/>
      <c r="K84" s="2"/>
    </row>
    <row r="85" spans="1:11" ht="25.5" x14ac:dyDescent="0.25">
      <c r="A85" s="218"/>
      <c r="B85" s="219"/>
      <c r="C85" s="228"/>
      <c r="D85" s="229" t="s">
        <v>99</v>
      </c>
      <c r="E85" s="230"/>
      <c r="F85" s="239"/>
      <c r="G85" s="230"/>
      <c r="H85" s="239"/>
      <c r="I85" s="231"/>
      <c r="J85" s="232"/>
      <c r="K85" s="2"/>
    </row>
    <row r="86" spans="1:11" x14ac:dyDescent="0.25">
      <c r="A86" s="218"/>
      <c r="B86" s="219"/>
      <c r="C86" s="228"/>
      <c r="D86" s="233" t="s">
        <v>261</v>
      </c>
      <c r="E86" s="230"/>
      <c r="F86" s="239"/>
      <c r="G86" s="230"/>
      <c r="H86" s="239"/>
      <c r="I86" s="231"/>
      <c r="J86" s="232"/>
      <c r="K86" s="2"/>
    </row>
    <row r="87" spans="1:11" ht="25.5" x14ac:dyDescent="0.25">
      <c r="A87" s="218"/>
      <c r="B87" s="219"/>
      <c r="C87" s="228"/>
      <c r="D87" s="234" t="s">
        <v>100</v>
      </c>
      <c r="E87" s="230">
        <v>1430900000</v>
      </c>
      <c r="F87" s="235">
        <f t="shared" ref="F87" si="17">G87/E87*100%</f>
        <v>0.98818226291145428</v>
      </c>
      <c r="G87" s="230">
        <f>1413990000</f>
        <v>1413990000</v>
      </c>
      <c r="H87" s="235">
        <f t="shared" ref="H87" si="18">G87/E87*100%</f>
        <v>0.98818226291145428</v>
      </c>
      <c r="I87" s="236"/>
      <c r="J87" s="232"/>
      <c r="K87" s="2"/>
    </row>
    <row r="88" spans="1:11" x14ac:dyDescent="0.25">
      <c r="A88" s="218"/>
      <c r="B88" s="219"/>
      <c r="C88" s="224" t="s">
        <v>41</v>
      </c>
      <c r="D88" s="225"/>
      <c r="E88" s="237"/>
      <c r="F88" s="238"/>
      <c r="G88" s="237"/>
      <c r="H88" s="238"/>
      <c r="I88" s="226"/>
      <c r="J88" s="227"/>
      <c r="K88" s="2"/>
    </row>
    <row r="89" spans="1:11" ht="25.5" x14ac:dyDescent="0.25">
      <c r="A89" s="218"/>
      <c r="B89" s="219"/>
      <c r="C89" s="228"/>
      <c r="D89" s="229" t="s">
        <v>99</v>
      </c>
      <c r="E89" s="230"/>
      <c r="F89" s="239"/>
      <c r="G89" s="230"/>
      <c r="H89" s="240"/>
      <c r="I89" s="236"/>
      <c r="J89" s="232"/>
      <c r="K89" s="2"/>
    </row>
    <row r="90" spans="1:11" x14ac:dyDescent="0.25">
      <c r="A90" s="218"/>
      <c r="B90" s="219"/>
      <c r="C90" s="228"/>
      <c r="D90" s="233" t="s">
        <v>261</v>
      </c>
      <c r="E90" s="230"/>
      <c r="F90" s="239"/>
      <c r="G90" s="230"/>
      <c r="H90" s="240"/>
      <c r="I90" s="236"/>
      <c r="J90" s="232"/>
      <c r="K90" s="2"/>
    </row>
    <row r="91" spans="1:11" ht="25.5" x14ac:dyDescent="0.25">
      <c r="A91" s="218"/>
      <c r="B91" s="219"/>
      <c r="C91" s="228"/>
      <c r="D91" s="234" t="s">
        <v>100</v>
      </c>
      <c r="E91" s="230">
        <v>5850440000</v>
      </c>
      <c r="F91" s="235">
        <f t="shared" ref="F91" si="19">G91/E91*100%</f>
        <v>0.98669501781062618</v>
      </c>
      <c r="G91" s="230">
        <f>5772600000</f>
        <v>5772600000</v>
      </c>
      <c r="H91" s="235">
        <f t="shared" ref="H91" si="20">G91/E91*100%</f>
        <v>0.98669501781062618</v>
      </c>
      <c r="I91" s="236"/>
      <c r="J91" s="232"/>
      <c r="K91" s="2"/>
    </row>
    <row r="92" spans="1:11" x14ac:dyDescent="0.25">
      <c r="A92" s="195"/>
      <c r="B92" s="195"/>
      <c r="C92" s="195"/>
      <c r="D92" s="195"/>
      <c r="E92" s="195"/>
      <c r="F92" s="195"/>
      <c r="G92" s="195"/>
      <c r="H92" s="195"/>
      <c r="I92" s="195"/>
      <c r="J92" s="196"/>
      <c r="K92" s="2"/>
    </row>
    <row r="93" spans="1:11" x14ac:dyDescent="0.25">
      <c r="A93" s="195"/>
      <c r="B93" s="195"/>
      <c r="C93" s="195"/>
      <c r="D93" s="195"/>
      <c r="E93" s="195"/>
      <c r="F93" s="195"/>
      <c r="G93" s="195"/>
      <c r="H93" s="195"/>
      <c r="I93" s="195"/>
      <c r="J93" s="196"/>
      <c r="K93" s="2"/>
    </row>
    <row r="94" spans="1:11" x14ac:dyDescent="0.25">
      <c r="A94" s="195"/>
      <c r="B94" s="195"/>
      <c r="C94" s="195"/>
      <c r="D94" s="195"/>
      <c r="E94" s="195"/>
      <c r="F94" s="195"/>
      <c r="G94" s="195"/>
      <c r="H94" s="195"/>
      <c r="I94" s="195"/>
      <c r="J94" s="196"/>
      <c r="K94" s="2"/>
    </row>
    <row r="95" spans="1:11" x14ac:dyDescent="0.25">
      <c r="A95" s="273" t="s">
        <v>362</v>
      </c>
      <c r="B95" s="273"/>
      <c r="C95" s="273"/>
      <c r="D95" s="273"/>
      <c r="E95" s="273"/>
      <c r="F95" s="273"/>
      <c r="G95" s="273"/>
      <c r="H95" s="273"/>
      <c r="I95" s="273"/>
      <c r="J95" s="273"/>
      <c r="K95" s="2"/>
    </row>
    <row r="96" spans="1:11" x14ac:dyDescent="0.25">
      <c r="A96" s="273" t="s">
        <v>117</v>
      </c>
      <c r="B96" s="273"/>
      <c r="C96" s="273"/>
      <c r="D96" s="273"/>
      <c r="E96" s="273"/>
      <c r="F96" s="273"/>
      <c r="G96" s="273"/>
      <c r="H96" s="273"/>
      <c r="I96" s="273"/>
      <c r="J96" s="273"/>
      <c r="K96" s="2"/>
    </row>
    <row r="97" spans="1:11" x14ac:dyDescent="0.25">
      <c r="A97" s="285" t="s">
        <v>371</v>
      </c>
      <c r="B97" s="285"/>
      <c r="C97" s="285"/>
      <c r="D97" s="285"/>
      <c r="E97" s="285"/>
      <c r="F97" s="285"/>
      <c r="G97" s="285"/>
      <c r="H97" s="285"/>
      <c r="I97" s="285"/>
      <c r="J97" s="285"/>
      <c r="K97" s="2"/>
    </row>
    <row r="98" spans="1:11" x14ac:dyDescent="0.25">
      <c r="A98" s="204" t="s">
        <v>376</v>
      </c>
      <c r="B98" s="195"/>
      <c r="C98" s="195"/>
      <c r="D98" s="205"/>
      <c r="E98" s="199"/>
      <c r="F98" s="197"/>
      <c r="G98" s="201"/>
      <c r="H98" s="202"/>
      <c r="I98" s="202"/>
      <c r="J98" s="203"/>
      <c r="K98" s="2"/>
    </row>
    <row r="99" spans="1:11" x14ac:dyDescent="0.25">
      <c r="A99" s="274" t="s">
        <v>109</v>
      </c>
      <c r="B99" s="274" t="s">
        <v>118</v>
      </c>
      <c r="C99" s="274" t="s">
        <v>119</v>
      </c>
      <c r="D99" s="274" t="s">
        <v>107</v>
      </c>
      <c r="E99" s="277" t="s">
        <v>108</v>
      </c>
      <c r="F99" s="278" t="s">
        <v>102</v>
      </c>
      <c r="G99" s="279"/>
      <c r="H99" s="280"/>
      <c r="I99" s="281" t="s">
        <v>358</v>
      </c>
      <c r="J99" s="281" t="s">
        <v>1</v>
      </c>
      <c r="K99" s="2"/>
    </row>
    <row r="100" spans="1:11" x14ac:dyDescent="0.25">
      <c r="A100" s="275"/>
      <c r="B100" s="275"/>
      <c r="C100" s="275"/>
      <c r="D100" s="275"/>
      <c r="E100" s="275"/>
      <c r="F100" s="248" t="s">
        <v>103</v>
      </c>
      <c r="G100" s="278" t="s">
        <v>104</v>
      </c>
      <c r="H100" s="280"/>
      <c r="I100" s="281"/>
      <c r="J100" s="281"/>
      <c r="K100" s="2"/>
    </row>
    <row r="101" spans="1:11" x14ac:dyDescent="0.25">
      <c r="A101" s="276"/>
      <c r="B101" s="276"/>
      <c r="C101" s="276"/>
      <c r="D101" s="276"/>
      <c r="E101" s="276"/>
      <c r="F101" s="248" t="s">
        <v>105</v>
      </c>
      <c r="G101" s="248" t="s">
        <v>106</v>
      </c>
      <c r="H101" s="207" t="s">
        <v>105</v>
      </c>
      <c r="I101" s="281"/>
      <c r="J101" s="281"/>
      <c r="K101" s="2"/>
    </row>
    <row r="102" spans="1:11" x14ac:dyDescent="0.25">
      <c r="A102" s="208">
        <v>1</v>
      </c>
      <c r="B102" s="208">
        <v>2</v>
      </c>
      <c r="C102" s="208">
        <v>3</v>
      </c>
      <c r="D102" s="208">
        <v>4</v>
      </c>
      <c r="E102" s="208">
        <v>5</v>
      </c>
      <c r="F102" s="208">
        <v>7</v>
      </c>
      <c r="G102" s="208">
        <v>8</v>
      </c>
      <c r="H102" s="208">
        <v>9</v>
      </c>
      <c r="I102" s="208">
        <v>10</v>
      </c>
      <c r="J102" s="208">
        <v>11</v>
      </c>
      <c r="K102" s="2"/>
    </row>
    <row r="103" spans="1:11" x14ac:dyDescent="0.25">
      <c r="A103" s="282" t="s">
        <v>120</v>
      </c>
      <c r="B103" s="283"/>
      <c r="C103" s="283"/>
      <c r="D103" s="284"/>
      <c r="E103" s="209" t="e">
        <f>E104+#REF!+#REF!+#REF!+#REF!+#REF!+#REF!+#REF!+#REF!+#REF!</f>
        <v>#REF!</v>
      </c>
      <c r="F103" s="210" t="e">
        <f>K103/E103*100%</f>
        <v>#REF!</v>
      </c>
      <c r="G103" s="209" t="e">
        <f>G104+#REF!+#REF!+#REF!+#REF!+#REF!+#REF!+#REF!+#REF!+#REF!</f>
        <v>#REF!</v>
      </c>
      <c r="H103" s="210" t="e">
        <f>G103/E103*100%</f>
        <v>#REF!</v>
      </c>
      <c r="I103" s="210"/>
      <c r="J103" s="211"/>
      <c r="K103" s="2"/>
    </row>
    <row r="104" spans="1:11" ht="38.25" x14ac:dyDescent="0.25">
      <c r="A104" s="212">
        <v>1</v>
      </c>
      <c r="B104" s="213" t="s">
        <v>121</v>
      </c>
      <c r="C104" s="214"/>
      <c r="D104" s="214"/>
      <c r="E104" s="215">
        <f>SUM(E105:E133)</f>
        <v>13238322752</v>
      </c>
      <c r="F104" s="216">
        <f>G104/E104*100%</f>
        <v>0.75764524418206303</v>
      </c>
      <c r="G104" s="215">
        <f>SUM(G105:G133)</f>
        <v>10029952274</v>
      </c>
      <c r="H104" s="216">
        <f>G104/E104*100%</f>
        <v>0.75764524418206303</v>
      </c>
      <c r="I104" s="216"/>
      <c r="J104" s="217"/>
      <c r="K104" s="2"/>
    </row>
    <row r="105" spans="1:11" x14ac:dyDescent="0.25">
      <c r="A105" s="218"/>
      <c r="B105" s="219"/>
      <c r="C105" s="220" t="s">
        <v>35</v>
      </c>
      <c r="D105" s="221"/>
      <c r="E105" s="222"/>
      <c r="F105" s="222"/>
      <c r="G105" s="222"/>
      <c r="H105" s="222"/>
      <c r="I105" s="222"/>
      <c r="J105" s="223"/>
      <c r="K105" s="2"/>
    </row>
    <row r="106" spans="1:11" x14ac:dyDescent="0.25">
      <c r="A106" s="218"/>
      <c r="B106" s="219"/>
      <c r="C106" s="224" t="s">
        <v>129</v>
      </c>
      <c r="D106" s="225"/>
      <c r="E106" s="226"/>
      <c r="F106" s="226"/>
      <c r="G106" s="226"/>
      <c r="H106" s="226"/>
      <c r="I106" s="226"/>
      <c r="J106" s="227"/>
      <c r="K106" s="2"/>
    </row>
    <row r="107" spans="1:11" ht="25.5" x14ac:dyDescent="0.25">
      <c r="A107" s="218"/>
      <c r="B107" s="219"/>
      <c r="C107" s="228"/>
      <c r="D107" s="229" t="s">
        <v>99</v>
      </c>
      <c r="E107" s="230"/>
      <c r="F107" s="231"/>
      <c r="G107" s="230"/>
      <c r="H107" s="231"/>
      <c r="I107" s="231"/>
      <c r="J107" s="232"/>
      <c r="K107" s="2"/>
    </row>
    <row r="108" spans="1:11" x14ac:dyDescent="0.25">
      <c r="A108" s="218"/>
      <c r="B108" s="219"/>
      <c r="C108" s="228"/>
      <c r="D108" s="233" t="s">
        <v>261</v>
      </c>
      <c r="E108" s="230"/>
      <c r="F108" s="231"/>
      <c r="G108" s="230"/>
      <c r="H108" s="231"/>
      <c r="I108" s="231"/>
      <c r="J108" s="232"/>
      <c r="K108" s="2"/>
    </row>
    <row r="109" spans="1:11" x14ac:dyDescent="0.25">
      <c r="A109" s="218"/>
      <c r="B109" s="219"/>
      <c r="C109" s="228"/>
      <c r="D109" s="234" t="s">
        <v>101</v>
      </c>
      <c r="E109" s="230">
        <v>1803960912</v>
      </c>
      <c r="F109" s="235">
        <f>G109/E109*100%</f>
        <v>0.90491440315642491</v>
      </c>
      <c r="G109" s="230">
        <f>1632430212</f>
        <v>1632430212</v>
      </c>
      <c r="H109" s="235">
        <f>G109/E109*100%</f>
        <v>0.90491440315642491</v>
      </c>
      <c r="I109" s="236"/>
      <c r="J109" s="232"/>
      <c r="K109" s="2"/>
    </row>
    <row r="110" spans="1:11" x14ac:dyDescent="0.25">
      <c r="A110" s="218"/>
      <c r="B110" s="219"/>
      <c r="C110" s="224" t="s">
        <v>36</v>
      </c>
      <c r="D110" s="225"/>
      <c r="E110" s="237"/>
      <c r="F110" s="238"/>
      <c r="G110" s="237"/>
      <c r="H110" s="238"/>
      <c r="I110" s="226"/>
      <c r="J110" s="227"/>
      <c r="K110" s="2"/>
    </row>
    <row r="111" spans="1:11" ht="25.5" x14ac:dyDescent="0.25">
      <c r="A111" s="218"/>
      <c r="B111" s="219"/>
      <c r="C111" s="228"/>
      <c r="D111" s="229" t="s">
        <v>99</v>
      </c>
      <c r="E111" s="230"/>
      <c r="F111" s="239"/>
      <c r="G111" s="230"/>
      <c r="H111" s="240"/>
      <c r="I111" s="236"/>
      <c r="J111" s="232"/>
      <c r="K111" s="2"/>
    </row>
    <row r="112" spans="1:11" x14ac:dyDescent="0.25">
      <c r="A112" s="218"/>
      <c r="B112" s="219"/>
      <c r="C112" s="228"/>
      <c r="D112" s="233" t="s">
        <v>261</v>
      </c>
      <c r="E112" s="230"/>
      <c r="F112" s="239"/>
      <c r="G112" s="230"/>
      <c r="H112" s="240"/>
      <c r="I112" s="236"/>
      <c r="J112" s="232"/>
      <c r="K112" s="2"/>
    </row>
    <row r="113" spans="1:11" x14ac:dyDescent="0.25">
      <c r="A113" s="218"/>
      <c r="B113" s="219"/>
      <c r="C113" s="228"/>
      <c r="D113" s="234" t="s">
        <v>101</v>
      </c>
      <c r="E113" s="230">
        <v>1635097968</v>
      </c>
      <c r="F113" s="235">
        <f>G113/E113*100%</f>
        <v>0.69255664807969475</v>
      </c>
      <c r="G113" s="230">
        <f>1132397968</f>
        <v>1132397968</v>
      </c>
      <c r="H113" s="235">
        <f t="shared" ref="H113" si="21">G113/E113*100%</f>
        <v>0.69255664807969475</v>
      </c>
      <c r="I113" s="236"/>
      <c r="J113" s="232"/>
      <c r="K113" s="2"/>
    </row>
    <row r="114" spans="1:11" x14ac:dyDescent="0.25">
      <c r="A114" s="218"/>
      <c r="B114" s="219"/>
      <c r="C114" s="224" t="s">
        <v>37</v>
      </c>
      <c r="D114" s="225"/>
      <c r="E114" s="237"/>
      <c r="F114" s="238"/>
      <c r="G114" s="237"/>
      <c r="H114" s="238"/>
      <c r="I114" s="226"/>
      <c r="J114" s="227"/>
      <c r="K114" s="2"/>
    </row>
    <row r="115" spans="1:11" ht="25.5" x14ac:dyDescent="0.25">
      <c r="A115" s="218"/>
      <c r="B115" s="219"/>
      <c r="C115" s="228"/>
      <c r="D115" s="229" t="s">
        <v>99</v>
      </c>
      <c r="E115" s="230"/>
      <c r="F115" s="239"/>
      <c r="G115" s="230"/>
      <c r="H115" s="239"/>
      <c r="I115" s="231"/>
      <c r="J115" s="232"/>
      <c r="K115" s="2"/>
    </row>
    <row r="116" spans="1:11" x14ac:dyDescent="0.25">
      <c r="A116" s="218"/>
      <c r="B116" s="219"/>
      <c r="C116" s="228"/>
      <c r="D116" s="233" t="s">
        <v>261</v>
      </c>
      <c r="E116" s="230"/>
      <c r="F116" s="239"/>
      <c r="G116" s="230"/>
      <c r="H116" s="239"/>
      <c r="I116" s="231"/>
      <c r="J116" s="232"/>
      <c r="K116" s="2"/>
    </row>
    <row r="117" spans="1:11" x14ac:dyDescent="0.25">
      <c r="A117" s="218"/>
      <c r="B117" s="219"/>
      <c r="C117" s="228"/>
      <c r="D117" s="234" t="s">
        <v>101</v>
      </c>
      <c r="E117" s="230">
        <v>1769445176</v>
      </c>
      <c r="F117" s="235">
        <f>G117/E117*100%</f>
        <v>0.6440436151721719</v>
      </c>
      <c r="G117" s="230">
        <f>1139599868</f>
        <v>1139599868</v>
      </c>
      <c r="H117" s="235">
        <f t="shared" ref="H117" si="22">G117/E117*100%</f>
        <v>0.6440436151721719</v>
      </c>
      <c r="I117" s="236"/>
      <c r="J117" s="232"/>
      <c r="K117" s="2"/>
    </row>
    <row r="118" spans="1:11" x14ac:dyDescent="0.25">
      <c r="A118" s="218"/>
      <c r="B118" s="219"/>
      <c r="C118" s="224" t="s">
        <v>38</v>
      </c>
      <c r="D118" s="225"/>
      <c r="E118" s="237"/>
      <c r="F118" s="238"/>
      <c r="G118" s="237"/>
      <c r="H118" s="238"/>
      <c r="I118" s="226"/>
      <c r="J118" s="227"/>
      <c r="K118" s="2"/>
    </row>
    <row r="119" spans="1:11" ht="25.5" x14ac:dyDescent="0.25">
      <c r="A119" s="218"/>
      <c r="B119" s="219"/>
      <c r="C119" s="228"/>
      <c r="D119" s="229" t="s">
        <v>99</v>
      </c>
      <c r="E119" s="230"/>
      <c r="F119" s="239"/>
      <c r="G119" s="230"/>
      <c r="H119" s="240"/>
      <c r="I119" s="236"/>
      <c r="J119" s="232"/>
      <c r="K119" s="2"/>
    </row>
    <row r="120" spans="1:11" x14ac:dyDescent="0.25">
      <c r="A120" s="218"/>
      <c r="B120" s="219"/>
      <c r="C120" s="228"/>
      <c r="D120" s="233" t="s">
        <v>261</v>
      </c>
      <c r="E120" s="230"/>
      <c r="F120" s="239"/>
      <c r="G120" s="230"/>
      <c r="H120" s="240"/>
      <c r="I120" s="236"/>
      <c r="J120" s="232"/>
      <c r="K120" s="2"/>
    </row>
    <row r="121" spans="1:11" x14ac:dyDescent="0.25">
      <c r="A121" s="218"/>
      <c r="B121" s="219"/>
      <c r="C121" s="228"/>
      <c r="D121" s="234" t="s">
        <v>101</v>
      </c>
      <c r="E121" s="230">
        <v>1508450760</v>
      </c>
      <c r="F121" s="235">
        <f t="shared" ref="F121" si="23">G121/E121*100%</f>
        <v>0.85976685112346662</v>
      </c>
      <c r="G121" s="230">
        <f>1296915960</f>
        <v>1296915960</v>
      </c>
      <c r="H121" s="235">
        <f t="shared" ref="H121" si="24">G121/E121*100%</f>
        <v>0.85976685112346662</v>
      </c>
      <c r="I121" s="242"/>
      <c r="J121" s="232"/>
      <c r="K121" s="2"/>
    </row>
    <row r="122" spans="1:11" x14ac:dyDescent="0.25">
      <c r="A122" s="218"/>
      <c r="B122" s="219"/>
      <c r="C122" s="224" t="s">
        <v>39</v>
      </c>
      <c r="D122" s="225"/>
      <c r="E122" s="237"/>
      <c r="F122" s="238"/>
      <c r="G122" s="237"/>
      <c r="H122" s="238"/>
      <c r="I122" s="226"/>
      <c r="J122" s="227"/>
      <c r="K122" s="2"/>
    </row>
    <row r="123" spans="1:11" ht="25.5" x14ac:dyDescent="0.25">
      <c r="A123" s="218"/>
      <c r="B123" s="219"/>
      <c r="C123" s="228"/>
      <c r="D123" s="229" t="s">
        <v>99</v>
      </c>
      <c r="E123" s="230"/>
      <c r="F123" s="239"/>
      <c r="G123" s="230"/>
      <c r="H123" s="240"/>
      <c r="I123" s="236"/>
      <c r="J123" s="232"/>
      <c r="K123" s="2"/>
    </row>
    <row r="124" spans="1:11" x14ac:dyDescent="0.25">
      <c r="A124" s="218"/>
      <c r="B124" s="219"/>
      <c r="C124" s="228"/>
      <c r="D124" s="233" t="s">
        <v>261</v>
      </c>
      <c r="E124" s="230"/>
      <c r="F124" s="239"/>
      <c r="G124" s="230"/>
      <c r="H124" s="240"/>
      <c r="I124" s="236"/>
      <c r="J124" s="232"/>
      <c r="K124" s="2"/>
    </row>
    <row r="125" spans="1:11" x14ac:dyDescent="0.25">
      <c r="A125" s="218"/>
      <c r="B125" s="219"/>
      <c r="C125" s="228"/>
      <c r="D125" s="234" t="s">
        <v>101</v>
      </c>
      <c r="E125" s="230">
        <v>2057255328</v>
      </c>
      <c r="F125" s="235">
        <f t="shared" ref="F125" si="25">G125/E125*100%</f>
        <v>0.58825282478500407</v>
      </c>
      <c r="G125" s="230">
        <f>1210186258</f>
        <v>1210186258</v>
      </c>
      <c r="H125" s="235">
        <f t="shared" ref="H125" si="26">G125/E125*100%</f>
        <v>0.58825282478500407</v>
      </c>
      <c r="I125" s="236"/>
      <c r="J125" s="232"/>
      <c r="K125" s="2"/>
    </row>
    <row r="126" spans="1:11" x14ac:dyDescent="0.25">
      <c r="A126" s="218"/>
      <c r="B126" s="219"/>
      <c r="C126" s="224" t="s">
        <v>40</v>
      </c>
      <c r="D126" s="225"/>
      <c r="E126" s="237"/>
      <c r="F126" s="238"/>
      <c r="G126" s="237"/>
      <c r="H126" s="238"/>
      <c r="I126" s="243"/>
      <c r="J126" s="227"/>
      <c r="K126" s="2"/>
    </row>
    <row r="127" spans="1:11" ht="25.5" x14ac:dyDescent="0.25">
      <c r="A127" s="218"/>
      <c r="B127" s="219"/>
      <c r="C127" s="228"/>
      <c r="D127" s="229" t="s">
        <v>99</v>
      </c>
      <c r="E127" s="230"/>
      <c r="F127" s="239"/>
      <c r="G127" s="230"/>
      <c r="H127" s="239"/>
      <c r="I127" s="231"/>
      <c r="J127" s="232"/>
      <c r="K127" s="2"/>
    </row>
    <row r="128" spans="1:11" x14ac:dyDescent="0.25">
      <c r="A128" s="218"/>
      <c r="B128" s="219"/>
      <c r="C128" s="228"/>
      <c r="D128" s="233" t="s">
        <v>261</v>
      </c>
      <c r="E128" s="230"/>
      <c r="F128" s="239"/>
      <c r="G128" s="230"/>
      <c r="H128" s="239"/>
      <c r="I128" s="231"/>
      <c r="J128" s="232"/>
      <c r="K128" s="2"/>
    </row>
    <row r="129" spans="1:11" x14ac:dyDescent="0.25">
      <c r="A129" s="218"/>
      <c r="B129" s="219"/>
      <c r="C129" s="228"/>
      <c r="D129" s="234" t="s">
        <v>101</v>
      </c>
      <c r="E129" s="230">
        <v>870474720</v>
      </c>
      <c r="F129" s="235">
        <f t="shared" ref="F129" si="27">G129/E129*100%</f>
        <v>0.81040483289394094</v>
      </c>
      <c r="G129" s="230">
        <f>705436920</f>
        <v>705436920</v>
      </c>
      <c r="H129" s="235">
        <f t="shared" ref="H129" si="28">G129/E129*100%</f>
        <v>0.81040483289394094</v>
      </c>
      <c r="I129" s="236"/>
      <c r="J129" s="232"/>
      <c r="K129" s="2"/>
    </row>
    <row r="130" spans="1:11" x14ac:dyDescent="0.25">
      <c r="A130" s="218"/>
      <c r="B130" s="219"/>
      <c r="C130" s="224" t="s">
        <v>41</v>
      </c>
      <c r="D130" s="225"/>
      <c r="E130" s="237"/>
      <c r="F130" s="238"/>
      <c r="G130" s="237"/>
      <c r="H130" s="238"/>
      <c r="I130" s="226"/>
      <c r="J130" s="227"/>
      <c r="K130" s="2"/>
    </row>
    <row r="131" spans="1:11" ht="25.5" x14ac:dyDescent="0.25">
      <c r="A131" s="218"/>
      <c r="B131" s="219"/>
      <c r="C131" s="228"/>
      <c r="D131" s="229" t="s">
        <v>99</v>
      </c>
      <c r="E131" s="230"/>
      <c r="F131" s="239"/>
      <c r="G131" s="230"/>
      <c r="H131" s="240"/>
      <c r="I131" s="236"/>
      <c r="J131" s="232"/>
      <c r="K131" s="2"/>
    </row>
    <row r="132" spans="1:11" x14ac:dyDescent="0.25">
      <c r="A132" s="218"/>
      <c r="B132" s="219"/>
      <c r="C132" s="228"/>
      <c r="D132" s="233" t="s">
        <v>261</v>
      </c>
      <c r="E132" s="230"/>
      <c r="F132" s="239"/>
      <c r="G132" s="230"/>
      <c r="H132" s="240"/>
      <c r="I132" s="236"/>
      <c r="J132" s="232"/>
      <c r="K132" s="2"/>
    </row>
    <row r="133" spans="1:11" x14ac:dyDescent="0.25">
      <c r="A133" s="218"/>
      <c r="B133" s="219"/>
      <c r="C133" s="228"/>
      <c r="D133" s="234" t="s">
        <v>101</v>
      </c>
      <c r="E133" s="230">
        <v>3593637888</v>
      </c>
      <c r="F133" s="235">
        <f t="shared" ref="F133" si="29">G133/E133*100%</f>
        <v>0.81059505125075082</v>
      </c>
      <c r="G133" s="230">
        <f>2912985088</f>
        <v>2912985088</v>
      </c>
      <c r="H133" s="235">
        <f t="shared" ref="H133" si="30">G133/E133*100%</f>
        <v>0.81059505125075082</v>
      </c>
      <c r="I133" s="236"/>
      <c r="J133" s="232"/>
      <c r="K133" s="2"/>
    </row>
    <row r="134" spans="1:11" x14ac:dyDescent="0.25">
      <c r="A134" s="195"/>
      <c r="B134" s="195"/>
      <c r="C134" s="195"/>
      <c r="D134" s="195"/>
      <c r="E134" s="195"/>
      <c r="F134" s="195"/>
      <c r="G134" s="195"/>
      <c r="H134" s="195"/>
      <c r="I134" s="195"/>
      <c r="J134" s="196"/>
      <c r="K134" s="2"/>
    </row>
    <row r="135" spans="1:11" x14ac:dyDescent="0.25">
      <c r="A135" s="195"/>
      <c r="B135" s="195"/>
      <c r="C135" s="195"/>
      <c r="D135" s="195"/>
      <c r="E135" s="195"/>
      <c r="F135" s="195"/>
      <c r="G135" s="195"/>
      <c r="H135" s="195"/>
      <c r="I135" s="195"/>
      <c r="J135" s="196"/>
      <c r="K135" s="2"/>
    </row>
    <row r="136" spans="1:11" x14ac:dyDescent="0.25">
      <c r="A136" s="195"/>
      <c r="B136" s="195"/>
      <c r="C136" s="195"/>
      <c r="D136" s="195"/>
      <c r="E136" s="195"/>
      <c r="F136" s="195"/>
      <c r="G136" s="195"/>
      <c r="H136" s="195"/>
      <c r="I136" s="195"/>
      <c r="J136" s="196"/>
      <c r="K136" s="2"/>
    </row>
    <row r="137" spans="1:11" x14ac:dyDescent="0.25">
      <c r="A137" s="195"/>
      <c r="B137" s="195"/>
      <c r="C137" s="195"/>
      <c r="D137" s="195"/>
      <c r="E137" s="195"/>
      <c r="F137" s="195"/>
      <c r="G137" s="195"/>
      <c r="H137" s="195"/>
      <c r="I137" s="195"/>
      <c r="J137" s="196"/>
      <c r="K137" s="2"/>
    </row>
    <row r="138" spans="1:11" x14ac:dyDescent="0.25">
      <c r="A138" s="195"/>
      <c r="B138" s="195"/>
      <c r="C138" s="195"/>
      <c r="D138" s="195"/>
      <c r="E138" s="195"/>
      <c r="F138" s="195"/>
      <c r="G138" s="195"/>
      <c r="H138" s="195"/>
      <c r="I138" s="195"/>
      <c r="J138" s="196"/>
      <c r="K138" s="2"/>
    </row>
  </sheetData>
  <mergeCells count="38">
    <mergeCell ref="A2:J2"/>
    <mergeCell ref="A3:J3"/>
    <mergeCell ref="A5:A7"/>
    <mergeCell ref="B5:B7"/>
    <mergeCell ref="C5:C7"/>
    <mergeCell ref="D5:D7"/>
    <mergeCell ref="E5:E7"/>
    <mergeCell ref="F5:H5"/>
    <mergeCell ref="I5:I7"/>
    <mergeCell ref="J5:J7"/>
    <mergeCell ref="A95:J95"/>
    <mergeCell ref="G6:H6"/>
    <mergeCell ref="A9:D9"/>
    <mergeCell ref="A51:J51"/>
    <mergeCell ref="A52:J52"/>
    <mergeCell ref="A53:J53"/>
    <mergeCell ref="A57:A59"/>
    <mergeCell ref="B57:B59"/>
    <mergeCell ref="C57:C59"/>
    <mergeCell ref="D57:D59"/>
    <mergeCell ref="E57:E59"/>
    <mergeCell ref="F57:H57"/>
    <mergeCell ref="I57:I59"/>
    <mergeCell ref="J57:J59"/>
    <mergeCell ref="G58:H58"/>
    <mergeCell ref="A61:D61"/>
    <mergeCell ref="G100:H100"/>
    <mergeCell ref="A103:D103"/>
    <mergeCell ref="A96:J96"/>
    <mergeCell ref="A97:J97"/>
    <mergeCell ref="A99:A101"/>
    <mergeCell ref="B99:B101"/>
    <mergeCell ref="C99:C101"/>
    <mergeCell ref="D99:D101"/>
    <mergeCell ref="E99:E101"/>
    <mergeCell ref="F99:H99"/>
    <mergeCell ref="I99:I101"/>
    <mergeCell ref="J99:J101"/>
  </mergeCells>
  <printOptions horizontalCentered="1"/>
  <pageMargins left="0" right="0.2" top="1.5" bottom="0.75" header="0.3" footer="0.3"/>
  <pageSetup paperSize="1000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138"/>
  <sheetViews>
    <sheetView topLeftCell="A94" workbookViewId="0">
      <selection activeCell="L112" sqref="L112"/>
    </sheetView>
  </sheetViews>
  <sheetFormatPr defaultColWidth="8.7109375" defaultRowHeight="15" x14ac:dyDescent="0.25"/>
  <cols>
    <col min="1" max="1" width="4" style="2" customWidth="1"/>
    <col min="2" max="2" width="22.85546875" style="2" customWidth="1"/>
    <col min="3" max="3" width="21.85546875" style="2" customWidth="1"/>
    <col min="4" max="4" width="39.140625" style="2" bestFit="1" customWidth="1"/>
    <col min="5" max="5" width="16" style="2" customWidth="1"/>
    <col min="6" max="6" width="8" style="2" customWidth="1"/>
    <col min="7" max="7" width="15.85546875" style="2" bestFit="1" customWidth="1"/>
    <col min="8" max="8" width="7.5703125" style="2" customWidth="1"/>
    <col min="9" max="9" width="8.5703125" style="2" bestFit="1" customWidth="1"/>
    <col min="10" max="10" width="9.85546875" style="51" customWidth="1"/>
    <col min="11" max="11" width="17" style="1" customWidth="1"/>
    <col min="12" max="16" width="8.7109375" style="2"/>
    <col min="17" max="17" width="18" style="2" bestFit="1" customWidth="1"/>
    <col min="18" max="16384" width="8.7109375" style="2"/>
  </cols>
  <sheetData>
    <row r="1" spans="1:17" x14ac:dyDescent="0.25">
      <c r="A1" s="195"/>
      <c r="B1" s="195"/>
      <c r="C1" s="195"/>
      <c r="D1" s="195"/>
      <c r="E1" s="195"/>
      <c r="F1" s="195"/>
      <c r="G1" s="195"/>
      <c r="H1" s="195"/>
      <c r="I1" s="195"/>
      <c r="J1" s="196"/>
    </row>
    <row r="2" spans="1:17" x14ac:dyDescent="0.25">
      <c r="A2" s="273" t="s">
        <v>362</v>
      </c>
      <c r="B2" s="273"/>
      <c r="C2" s="273"/>
      <c r="D2" s="273"/>
      <c r="E2" s="273"/>
      <c r="F2" s="273"/>
      <c r="G2" s="273"/>
      <c r="H2" s="273"/>
      <c r="I2" s="273"/>
      <c r="J2" s="273"/>
    </row>
    <row r="3" spans="1:17" x14ac:dyDescent="0.25">
      <c r="A3" s="273" t="s">
        <v>117</v>
      </c>
      <c r="B3" s="273"/>
      <c r="C3" s="273"/>
      <c r="D3" s="273"/>
      <c r="E3" s="273"/>
      <c r="F3" s="273"/>
      <c r="G3" s="273"/>
      <c r="H3" s="273"/>
      <c r="I3" s="273"/>
      <c r="J3" s="273"/>
    </row>
    <row r="4" spans="1:17" x14ac:dyDescent="0.25">
      <c r="A4" s="204" t="s">
        <v>377</v>
      </c>
      <c r="B4" s="195"/>
      <c r="C4" s="195"/>
      <c r="D4" s="205"/>
      <c r="E4" s="199"/>
      <c r="F4" s="197"/>
      <c r="G4" s="201"/>
      <c r="H4" s="202"/>
      <c r="I4" s="202"/>
      <c r="J4" s="203"/>
    </row>
    <row r="5" spans="1:17" ht="22.5" customHeight="1" x14ac:dyDescent="0.25">
      <c r="A5" s="274" t="s">
        <v>109</v>
      </c>
      <c r="B5" s="274" t="s">
        <v>118</v>
      </c>
      <c r="C5" s="274" t="s">
        <v>119</v>
      </c>
      <c r="D5" s="274" t="s">
        <v>107</v>
      </c>
      <c r="E5" s="277" t="s">
        <v>108</v>
      </c>
      <c r="F5" s="278" t="s">
        <v>102</v>
      </c>
      <c r="G5" s="279"/>
      <c r="H5" s="280"/>
      <c r="I5" s="281" t="s">
        <v>358</v>
      </c>
      <c r="J5" s="281" t="s">
        <v>1</v>
      </c>
    </row>
    <row r="6" spans="1:17" ht="23.25" customHeight="1" x14ac:dyDescent="0.25">
      <c r="A6" s="275"/>
      <c r="B6" s="275"/>
      <c r="C6" s="275"/>
      <c r="D6" s="275"/>
      <c r="E6" s="275"/>
      <c r="F6" s="250" t="s">
        <v>103</v>
      </c>
      <c r="G6" s="278" t="s">
        <v>104</v>
      </c>
      <c r="H6" s="280"/>
      <c r="I6" s="281"/>
      <c r="J6" s="281"/>
    </row>
    <row r="7" spans="1:17" x14ac:dyDescent="0.25">
      <c r="A7" s="276"/>
      <c r="B7" s="276"/>
      <c r="C7" s="276"/>
      <c r="D7" s="276"/>
      <c r="E7" s="276"/>
      <c r="F7" s="250" t="s">
        <v>105</v>
      </c>
      <c r="G7" s="250" t="s">
        <v>106</v>
      </c>
      <c r="H7" s="207" t="s">
        <v>105</v>
      </c>
      <c r="I7" s="281"/>
      <c r="J7" s="281"/>
    </row>
    <row r="8" spans="1:17" ht="19.5" customHeight="1" x14ac:dyDescent="0.25">
      <c r="A8" s="208">
        <v>1</v>
      </c>
      <c r="B8" s="208">
        <v>2</v>
      </c>
      <c r="C8" s="208">
        <v>3</v>
      </c>
      <c r="D8" s="208">
        <v>4</v>
      </c>
      <c r="E8" s="208">
        <v>5</v>
      </c>
      <c r="F8" s="208">
        <v>7</v>
      </c>
      <c r="G8" s="208">
        <v>8</v>
      </c>
      <c r="H8" s="208">
        <v>9</v>
      </c>
      <c r="I8" s="208">
        <v>10</v>
      </c>
      <c r="J8" s="208">
        <v>11</v>
      </c>
      <c r="Q8" s="190"/>
    </row>
    <row r="9" spans="1:17" ht="30.75" customHeight="1" x14ac:dyDescent="0.25">
      <c r="A9" s="282" t="s">
        <v>120</v>
      </c>
      <c r="B9" s="283"/>
      <c r="C9" s="283"/>
      <c r="D9" s="284"/>
      <c r="E9" s="209" t="e">
        <f>E10+#REF!+#REF!+#REF!+#REF!+#REF!+#REF!+#REF!+#REF!+#REF!</f>
        <v>#REF!</v>
      </c>
      <c r="F9" s="210" t="e">
        <f>K9/E9*100%</f>
        <v>#REF!</v>
      </c>
      <c r="G9" s="209" t="e">
        <f>G10+#REF!+#REF!+#REF!+#REF!+#REF!+#REF!+#REF!+#REF!+#REF!</f>
        <v>#REF!</v>
      </c>
      <c r="H9" s="210" t="e">
        <f>G9/E9*100%</f>
        <v>#REF!</v>
      </c>
      <c r="I9" s="210"/>
      <c r="J9" s="211"/>
      <c r="K9" s="14" t="e">
        <f>K10+#REF!+#REF!+#REF!+#REF!+#REF!+#REF!+#REF!+#REF!+#REF!</f>
        <v>#REF!</v>
      </c>
      <c r="Q9" s="190">
        <v>1213208971484</v>
      </c>
    </row>
    <row r="10" spans="1:17" ht="56.25" customHeight="1" x14ac:dyDescent="0.25">
      <c r="A10" s="212">
        <v>1</v>
      </c>
      <c r="B10" s="213" t="s">
        <v>121</v>
      </c>
      <c r="C10" s="214"/>
      <c r="D10" s="214"/>
      <c r="E10" s="215">
        <f>SUM(E11:E46)</f>
        <v>34998122752</v>
      </c>
      <c r="F10" s="216">
        <f>G10/E10*100%</f>
        <v>0.92370062397568453</v>
      </c>
      <c r="G10" s="215">
        <f>SUM(G11:G46)</f>
        <v>32327787824</v>
      </c>
      <c r="H10" s="216">
        <f>G10/E10*100%</f>
        <v>0.92370062397568453</v>
      </c>
      <c r="I10" s="216"/>
      <c r="J10" s="217"/>
      <c r="K10" s="1">
        <f>K15+K16+K20+K21+K25+K26+K30+K31+K35+K36+K40+K41+K45+K46</f>
        <v>0</v>
      </c>
      <c r="Q10" s="191" t="e">
        <f>E9-Q9</f>
        <v>#REF!</v>
      </c>
    </row>
    <row r="11" spans="1:17" x14ac:dyDescent="0.25">
      <c r="A11" s="218"/>
      <c r="B11" s="219"/>
      <c r="C11" s="220" t="s">
        <v>35</v>
      </c>
      <c r="D11" s="221"/>
      <c r="E11" s="222"/>
      <c r="F11" s="222"/>
      <c r="G11" s="222"/>
      <c r="H11" s="222"/>
      <c r="I11" s="222"/>
      <c r="J11" s="223"/>
    </row>
    <row r="12" spans="1:17" x14ac:dyDescent="0.25">
      <c r="A12" s="218"/>
      <c r="B12" s="219"/>
      <c r="C12" s="224" t="s">
        <v>129</v>
      </c>
      <c r="D12" s="225"/>
      <c r="E12" s="226"/>
      <c r="F12" s="226"/>
      <c r="G12" s="226"/>
      <c r="H12" s="226"/>
      <c r="I12" s="226"/>
      <c r="J12" s="227"/>
    </row>
    <row r="13" spans="1:17" ht="25.5" x14ac:dyDescent="0.25">
      <c r="A13" s="218"/>
      <c r="B13" s="219"/>
      <c r="C13" s="228"/>
      <c r="D13" s="229" t="s">
        <v>99</v>
      </c>
      <c r="E13" s="230"/>
      <c r="F13" s="231"/>
      <c r="G13" s="230"/>
      <c r="H13" s="231"/>
      <c r="I13" s="231"/>
      <c r="J13" s="232"/>
    </row>
    <row r="14" spans="1:17" x14ac:dyDescent="0.25">
      <c r="A14" s="218"/>
      <c r="B14" s="219"/>
      <c r="C14" s="228"/>
      <c r="D14" s="233" t="s">
        <v>261</v>
      </c>
      <c r="E14" s="230"/>
      <c r="F14" s="231"/>
      <c r="G14" s="230"/>
      <c r="H14" s="231"/>
      <c r="I14" s="231"/>
      <c r="J14" s="232"/>
    </row>
    <row r="15" spans="1:17" ht="25.5" x14ac:dyDescent="0.25">
      <c r="A15" s="218"/>
      <c r="B15" s="219"/>
      <c r="C15" s="228"/>
      <c r="D15" s="234" t="s">
        <v>100</v>
      </c>
      <c r="E15" s="230">
        <v>2975640000</v>
      </c>
      <c r="F15" s="235">
        <f>G15/E15*100%</f>
        <v>0.99600758156228575</v>
      </c>
      <c r="G15" s="230">
        <f>962815000+2000945000</f>
        <v>2963760000</v>
      </c>
      <c r="H15" s="235">
        <f>G15/E15*100%</f>
        <v>0.99600758156228575</v>
      </c>
      <c r="I15" s="236"/>
      <c r="J15" s="232"/>
    </row>
    <row r="16" spans="1:17" x14ac:dyDescent="0.25">
      <c r="A16" s="218"/>
      <c r="B16" s="219"/>
      <c r="C16" s="228"/>
      <c r="D16" s="234" t="s">
        <v>101</v>
      </c>
      <c r="E16" s="230">
        <v>1803960912</v>
      </c>
      <c r="F16" s="235">
        <f>G16/E16*100%</f>
        <v>0.90491440315642491</v>
      </c>
      <c r="G16" s="230">
        <f>1265904212+366526000</f>
        <v>1632430212</v>
      </c>
      <c r="H16" s="235">
        <f t="shared" ref="H16" si="0">G16/E16*100%</f>
        <v>0.90491440315642491</v>
      </c>
      <c r="I16" s="236"/>
      <c r="J16" s="232"/>
    </row>
    <row r="17" spans="1:10" s="2" customFormat="1" x14ac:dyDescent="0.25">
      <c r="A17" s="218"/>
      <c r="B17" s="219"/>
      <c r="C17" s="224" t="s">
        <v>36</v>
      </c>
      <c r="D17" s="225"/>
      <c r="E17" s="237"/>
      <c r="F17" s="238"/>
      <c r="G17" s="237"/>
      <c r="H17" s="238"/>
      <c r="I17" s="226"/>
      <c r="J17" s="227"/>
    </row>
    <row r="18" spans="1:10" s="2" customFormat="1" ht="25.5" x14ac:dyDescent="0.25">
      <c r="A18" s="218"/>
      <c r="B18" s="219"/>
      <c r="C18" s="228"/>
      <c r="D18" s="229" t="s">
        <v>99</v>
      </c>
      <c r="E18" s="230"/>
      <c r="F18" s="239"/>
      <c r="G18" s="230"/>
      <c r="H18" s="240"/>
      <c r="I18" s="236"/>
      <c r="J18" s="232"/>
    </row>
    <row r="19" spans="1:10" s="2" customFormat="1" x14ac:dyDescent="0.25">
      <c r="A19" s="218"/>
      <c r="B19" s="219"/>
      <c r="C19" s="228"/>
      <c r="D19" s="233" t="s">
        <v>261</v>
      </c>
      <c r="E19" s="230"/>
      <c r="F19" s="239"/>
      <c r="G19" s="230"/>
      <c r="H19" s="240"/>
      <c r="I19" s="236"/>
      <c r="J19" s="232"/>
    </row>
    <row r="20" spans="1:10" s="2" customFormat="1" ht="25.5" x14ac:dyDescent="0.25">
      <c r="A20" s="218"/>
      <c r="B20" s="219"/>
      <c r="C20" s="228"/>
      <c r="D20" s="234" t="s">
        <v>100</v>
      </c>
      <c r="E20" s="230">
        <v>2695640000</v>
      </c>
      <c r="F20" s="235">
        <f>G20/E20*100%</f>
        <v>1</v>
      </c>
      <c r="G20" s="230">
        <f>2695640000</f>
        <v>2695640000</v>
      </c>
      <c r="H20" s="235">
        <f t="shared" ref="H20:H21" si="1">G20/E20*100%</f>
        <v>1</v>
      </c>
      <c r="I20" s="236"/>
      <c r="J20" s="232"/>
    </row>
    <row r="21" spans="1:10" s="2" customFormat="1" x14ac:dyDescent="0.25">
      <c r="A21" s="218"/>
      <c r="B21" s="219"/>
      <c r="C21" s="228"/>
      <c r="D21" s="234" t="s">
        <v>101</v>
      </c>
      <c r="E21" s="230">
        <v>1635097968</v>
      </c>
      <c r="F21" s="235">
        <f>G21/E21*100%</f>
        <v>0.7677203400450926</v>
      </c>
      <c r="G21" s="230">
        <f>1255297968</f>
        <v>1255297968</v>
      </c>
      <c r="H21" s="235">
        <f t="shared" si="1"/>
        <v>0.7677203400450926</v>
      </c>
      <c r="I21" s="236"/>
      <c r="J21" s="232"/>
    </row>
    <row r="22" spans="1:10" s="2" customFormat="1" x14ac:dyDescent="0.25">
      <c r="A22" s="218"/>
      <c r="B22" s="219"/>
      <c r="C22" s="224" t="s">
        <v>37</v>
      </c>
      <c r="D22" s="225"/>
      <c r="E22" s="237"/>
      <c r="F22" s="238"/>
      <c r="G22" s="237"/>
      <c r="H22" s="238"/>
      <c r="I22" s="226"/>
      <c r="J22" s="227"/>
    </row>
    <row r="23" spans="1:10" s="2" customFormat="1" ht="25.5" x14ac:dyDescent="0.25">
      <c r="A23" s="218"/>
      <c r="B23" s="219"/>
      <c r="C23" s="228"/>
      <c r="D23" s="229" t="s">
        <v>99</v>
      </c>
      <c r="E23" s="230"/>
      <c r="F23" s="239"/>
      <c r="G23" s="230"/>
      <c r="H23" s="239"/>
      <c r="I23" s="231"/>
      <c r="J23" s="232"/>
    </row>
    <row r="24" spans="1:10" s="2" customFormat="1" x14ac:dyDescent="0.25">
      <c r="A24" s="218"/>
      <c r="B24" s="219"/>
      <c r="C24" s="228"/>
      <c r="D24" s="233" t="s">
        <v>261</v>
      </c>
      <c r="E24" s="230"/>
      <c r="F24" s="239"/>
      <c r="G24" s="230"/>
      <c r="H24" s="239"/>
      <c r="I24" s="231"/>
      <c r="J24" s="232"/>
    </row>
    <row r="25" spans="1:10" s="2" customFormat="1" ht="25.5" x14ac:dyDescent="0.25">
      <c r="A25" s="218"/>
      <c r="B25" s="219"/>
      <c r="C25" s="228"/>
      <c r="D25" s="234" t="s">
        <v>100</v>
      </c>
      <c r="E25" s="230">
        <v>2930640000</v>
      </c>
      <c r="F25" s="235">
        <f>G25/E25*100%</f>
        <v>0.87995715952829412</v>
      </c>
      <c r="G25" s="230">
        <f>2578837650</f>
        <v>2578837650</v>
      </c>
      <c r="H25" s="235">
        <f t="shared" ref="H25:H26" si="2">G25/E25*100%</f>
        <v>0.87995715952829412</v>
      </c>
      <c r="I25" s="241"/>
      <c r="J25" s="232"/>
    </row>
    <row r="26" spans="1:10" s="2" customFormat="1" x14ac:dyDescent="0.25">
      <c r="A26" s="218"/>
      <c r="B26" s="219"/>
      <c r="C26" s="228"/>
      <c r="D26" s="234" t="s">
        <v>101</v>
      </c>
      <c r="E26" s="230">
        <v>1769445176</v>
      </c>
      <c r="F26" s="235">
        <f>G26/E26*100%</f>
        <v>0.65507176131915379</v>
      </c>
      <c r="G26" s="230">
        <f>1159113568</f>
        <v>1159113568</v>
      </c>
      <c r="H26" s="235">
        <f t="shared" si="2"/>
        <v>0.65507176131915379</v>
      </c>
      <c r="I26" s="236"/>
      <c r="J26" s="232"/>
    </row>
    <row r="27" spans="1:10" s="2" customFormat="1" x14ac:dyDescent="0.25">
      <c r="A27" s="218"/>
      <c r="B27" s="219"/>
      <c r="C27" s="224" t="s">
        <v>38</v>
      </c>
      <c r="D27" s="225"/>
      <c r="E27" s="237"/>
      <c r="F27" s="238"/>
      <c r="G27" s="237"/>
      <c r="H27" s="238"/>
      <c r="I27" s="226"/>
      <c r="J27" s="227"/>
    </row>
    <row r="28" spans="1:10" s="2" customFormat="1" ht="25.5" x14ac:dyDescent="0.25">
      <c r="A28" s="218"/>
      <c r="B28" s="219"/>
      <c r="C28" s="228"/>
      <c r="D28" s="229" t="s">
        <v>99</v>
      </c>
      <c r="E28" s="230"/>
      <c r="F28" s="239"/>
      <c r="G28" s="230"/>
      <c r="H28" s="240"/>
      <c r="I28" s="236"/>
      <c r="J28" s="232"/>
    </row>
    <row r="29" spans="1:10" s="2" customFormat="1" x14ac:dyDescent="0.25">
      <c r="A29" s="218"/>
      <c r="B29" s="219"/>
      <c r="C29" s="228"/>
      <c r="D29" s="233" t="s">
        <v>261</v>
      </c>
      <c r="E29" s="230"/>
      <c r="F29" s="239"/>
      <c r="G29" s="230"/>
      <c r="H29" s="240"/>
      <c r="I29" s="236"/>
      <c r="J29" s="232"/>
    </row>
    <row r="30" spans="1:10" s="2" customFormat="1" ht="25.5" x14ac:dyDescent="0.25">
      <c r="A30" s="218"/>
      <c r="B30" s="219"/>
      <c r="C30" s="228"/>
      <c r="D30" s="234" t="s">
        <v>100</v>
      </c>
      <c r="E30" s="230">
        <v>2480900000</v>
      </c>
      <c r="F30" s="235">
        <f t="shared" ref="F30:F31" si="3">G30/E30*100%</f>
        <v>0.99187794751904546</v>
      </c>
      <c r="G30" s="230">
        <f>2460750000</f>
        <v>2460750000</v>
      </c>
      <c r="H30" s="235">
        <f t="shared" ref="H30:H31" si="4">G30/E30*100%</f>
        <v>0.99187794751904546</v>
      </c>
      <c r="I30" s="241"/>
      <c r="J30" s="232"/>
    </row>
    <row r="31" spans="1:10" s="2" customFormat="1" x14ac:dyDescent="0.25">
      <c r="A31" s="218"/>
      <c r="B31" s="219"/>
      <c r="C31" s="228"/>
      <c r="D31" s="234" t="s">
        <v>101</v>
      </c>
      <c r="E31" s="230">
        <v>1508450760</v>
      </c>
      <c r="F31" s="235">
        <f t="shared" si="3"/>
        <v>0.93790993880370344</v>
      </c>
      <c r="G31" s="230">
        <f>1414790960</f>
        <v>1414790960</v>
      </c>
      <c r="H31" s="235">
        <f t="shared" si="4"/>
        <v>0.93790993880370344</v>
      </c>
      <c r="I31" s="242"/>
      <c r="J31" s="232"/>
    </row>
    <row r="32" spans="1:10" s="2" customFormat="1" x14ac:dyDescent="0.25">
      <c r="A32" s="218"/>
      <c r="B32" s="219"/>
      <c r="C32" s="224" t="s">
        <v>39</v>
      </c>
      <c r="D32" s="225"/>
      <c r="E32" s="237"/>
      <c r="F32" s="238"/>
      <c r="G32" s="237"/>
      <c r="H32" s="238"/>
      <c r="I32" s="226"/>
      <c r="J32" s="227"/>
    </row>
    <row r="33" spans="1:11" ht="25.5" x14ac:dyDescent="0.25">
      <c r="A33" s="218"/>
      <c r="B33" s="219"/>
      <c r="C33" s="228"/>
      <c r="D33" s="229" t="s">
        <v>99</v>
      </c>
      <c r="E33" s="230"/>
      <c r="F33" s="239"/>
      <c r="G33" s="230"/>
      <c r="H33" s="240"/>
      <c r="I33" s="236"/>
      <c r="J33" s="232"/>
    </row>
    <row r="34" spans="1:11" x14ac:dyDescent="0.25">
      <c r="A34" s="218"/>
      <c r="B34" s="219"/>
      <c r="C34" s="228"/>
      <c r="D34" s="233" t="s">
        <v>261</v>
      </c>
      <c r="E34" s="230"/>
      <c r="F34" s="239"/>
      <c r="G34" s="230"/>
      <c r="H34" s="240"/>
      <c r="I34" s="236"/>
      <c r="J34" s="232"/>
    </row>
    <row r="35" spans="1:11" ht="25.5" x14ac:dyDescent="0.25">
      <c r="A35" s="218"/>
      <c r="B35" s="219"/>
      <c r="C35" s="228"/>
      <c r="D35" s="234" t="s">
        <v>100</v>
      </c>
      <c r="E35" s="230">
        <v>3395640000</v>
      </c>
      <c r="F35" s="235">
        <f t="shared" ref="F35:F36" si="5">G35/E35*100%</f>
        <v>0.99825069795384669</v>
      </c>
      <c r="G35" s="230">
        <f>3389700000</f>
        <v>3389700000</v>
      </c>
      <c r="H35" s="235">
        <f t="shared" ref="H35:H36" si="6">G35/E35*100%</f>
        <v>0.99825069795384669</v>
      </c>
      <c r="I35" s="236"/>
      <c r="J35" s="232"/>
    </row>
    <row r="36" spans="1:11" x14ac:dyDescent="0.25">
      <c r="A36" s="218"/>
      <c r="B36" s="219"/>
      <c r="C36" s="228"/>
      <c r="D36" s="234" t="s">
        <v>101</v>
      </c>
      <c r="E36" s="230">
        <v>2057255328</v>
      </c>
      <c r="F36" s="235">
        <f t="shared" si="5"/>
        <v>0.76457269867865429</v>
      </c>
      <c r="G36" s="230">
        <f>1572921258</f>
        <v>1572921258</v>
      </c>
      <c r="H36" s="235">
        <f t="shared" si="6"/>
        <v>0.76457269867865429</v>
      </c>
      <c r="I36" s="236"/>
      <c r="J36" s="232"/>
    </row>
    <row r="37" spans="1:11" x14ac:dyDescent="0.25">
      <c r="A37" s="218"/>
      <c r="B37" s="219"/>
      <c r="C37" s="224" t="s">
        <v>40</v>
      </c>
      <c r="D37" s="225"/>
      <c r="E37" s="237"/>
      <c r="F37" s="238"/>
      <c r="G37" s="237"/>
      <c r="H37" s="238"/>
      <c r="I37" s="243"/>
      <c r="J37" s="227"/>
    </row>
    <row r="38" spans="1:11" ht="25.5" x14ac:dyDescent="0.25">
      <c r="A38" s="218"/>
      <c r="B38" s="219"/>
      <c r="C38" s="228"/>
      <c r="D38" s="229" t="s">
        <v>99</v>
      </c>
      <c r="E38" s="230"/>
      <c r="F38" s="239"/>
      <c r="G38" s="230"/>
      <c r="H38" s="239"/>
      <c r="I38" s="231"/>
      <c r="J38" s="232"/>
    </row>
    <row r="39" spans="1:11" x14ac:dyDescent="0.25">
      <c r="A39" s="218"/>
      <c r="B39" s="219"/>
      <c r="C39" s="228"/>
      <c r="D39" s="233" t="s">
        <v>261</v>
      </c>
      <c r="E39" s="230"/>
      <c r="F39" s="239"/>
      <c r="G39" s="230"/>
      <c r="H39" s="239"/>
      <c r="I39" s="231"/>
      <c r="J39" s="232"/>
    </row>
    <row r="40" spans="1:11" ht="25.5" x14ac:dyDescent="0.25">
      <c r="A40" s="218"/>
      <c r="B40" s="219"/>
      <c r="C40" s="228"/>
      <c r="D40" s="234" t="s">
        <v>100</v>
      </c>
      <c r="E40" s="230">
        <v>1430900000</v>
      </c>
      <c r="F40" s="235">
        <f t="shared" ref="F40:F41" si="7">G40/E40*100%</f>
        <v>0.98818226291145428</v>
      </c>
      <c r="G40" s="230">
        <f>445779463+968210537</f>
        <v>1413990000</v>
      </c>
      <c r="H40" s="235">
        <f t="shared" ref="H40:H41" si="8">G40/E40*100%</f>
        <v>0.98818226291145428</v>
      </c>
      <c r="I40" s="236"/>
      <c r="J40" s="232"/>
    </row>
    <row r="41" spans="1:11" x14ac:dyDescent="0.25">
      <c r="A41" s="218"/>
      <c r="B41" s="219"/>
      <c r="C41" s="228"/>
      <c r="D41" s="234" t="s">
        <v>101</v>
      </c>
      <c r="E41" s="230">
        <v>870474720</v>
      </c>
      <c r="F41" s="235">
        <f t="shared" si="7"/>
        <v>0.88066212882092654</v>
      </c>
      <c r="G41" s="230">
        <f>766594120</f>
        <v>766594120</v>
      </c>
      <c r="H41" s="235">
        <f t="shared" si="8"/>
        <v>0.88066212882092654</v>
      </c>
      <c r="I41" s="236"/>
      <c r="J41" s="232"/>
    </row>
    <row r="42" spans="1:11" x14ac:dyDescent="0.25">
      <c r="A42" s="218"/>
      <c r="B42" s="219"/>
      <c r="C42" s="224" t="s">
        <v>41</v>
      </c>
      <c r="D42" s="225"/>
      <c r="E42" s="237"/>
      <c r="F42" s="238"/>
      <c r="G42" s="237"/>
      <c r="H42" s="238"/>
      <c r="I42" s="226"/>
      <c r="J42" s="227"/>
    </row>
    <row r="43" spans="1:11" ht="25.5" x14ac:dyDescent="0.25">
      <c r="A43" s="218"/>
      <c r="B43" s="219"/>
      <c r="C43" s="228"/>
      <c r="D43" s="229" t="s">
        <v>99</v>
      </c>
      <c r="E43" s="230"/>
      <c r="F43" s="239"/>
      <c r="G43" s="230"/>
      <c r="H43" s="240"/>
      <c r="I43" s="236"/>
      <c r="J43" s="232"/>
    </row>
    <row r="44" spans="1:11" x14ac:dyDescent="0.25">
      <c r="A44" s="218"/>
      <c r="B44" s="219"/>
      <c r="C44" s="228"/>
      <c r="D44" s="233" t="s">
        <v>261</v>
      </c>
      <c r="E44" s="230"/>
      <c r="F44" s="239"/>
      <c r="G44" s="230"/>
      <c r="H44" s="240"/>
      <c r="I44" s="236"/>
      <c r="J44" s="232"/>
    </row>
    <row r="45" spans="1:11" ht="25.5" x14ac:dyDescent="0.25">
      <c r="A45" s="218"/>
      <c r="B45" s="219"/>
      <c r="C45" s="228"/>
      <c r="D45" s="234" t="s">
        <v>100</v>
      </c>
      <c r="E45" s="230">
        <v>5850440000</v>
      </c>
      <c r="F45" s="235">
        <f t="shared" ref="F45:F46" si="9">G45/E45*100%</f>
        <v>0.99182283725668496</v>
      </c>
      <c r="G45" s="230">
        <f>5802600000</f>
        <v>5802600000</v>
      </c>
      <c r="H45" s="235">
        <f t="shared" ref="H45:H46" si="10">G45/E45*100%</f>
        <v>0.99182283725668496</v>
      </c>
      <c r="I45" s="236"/>
      <c r="J45" s="232"/>
    </row>
    <row r="46" spans="1:11" x14ac:dyDescent="0.25">
      <c r="A46" s="218"/>
      <c r="B46" s="219"/>
      <c r="C46" s="228"/>
      <c r="D46" s="234" t="s">
        <v>101</v>
      </c>
      <c r="E46" s="230">
        <v>3593637888</v>
      </c>
      <c r="F46" s="235">
        <f t="shared" si="9"/>
        <v>0.89640698044643941</v>
      </c>
      <c r="G46" s="230">
        <f>3221362088</f>
        <v>3221362088</v>
      </c>
      <c r="H46" s="235">
        <f t="shared" si="10"/>
        <v>0.89640698044643941</v>
      </c>
      <c r="I46" s="236"/>
      <c r="J46" s="232"/>
    </row>
    <row r="47" spans="1:11" x14ac:dyDescent="0.25">
      <c r="A47" s="195"/>
      <c r="B47" s="195"/>
      <c r="C47" s="195"/>
      <c r="D47" s="195"/>
      <c r="E47" s="195"/>
      <c r="F47" s="195"/>
      <c r="G47" s="195"/>
      <c r="H47" s="195"/>
      <c r="I47" s="195"/>
      <c r="J47" s="196"/>
    </row>
    <row r="48" spans="1:11" x14ac:dyDescent="0.25">
      <c r="A48" s="195"/>
      <c r="B48" s="195"/>
      <c r="C48" s="195"/>
      <c r="D48" s="195"/>
      <c r="E48" s="195"/>
      <c r="F48" s="195"/>
      <c r="G48" s="195"/>
      <c r="H48" s="195"/>
      <c r="I48" s="195"/>
      <c r="J48" s="196"/>
      <c r="K48" s="2"/>
    </row>
    <row r="49" spans="1:11" x14ac:dyDescent="0.25">
      <c r="A49" s="195"/>
      <c r="B49" s="195"/>
      <c r="C49" s="195"/>
      <c r="D49" s="195"/>
      <c r="E49" s="195"/>
      <c r="F49" s="195"/>
      <c r="G49" s="195"/>
      <c r="H49" s="195"/>
      <c r="I49" s="195"/>
      <c r="J49" s="196"/>
      <c r="K49" s="2"/>
    </row>
    <row r="50" spans="1:11" x14ac:dyDescent="0.25">
      <c r="A50" s="195"/>
      <c r="B50" s="195"/>
      <c r="C50" s="195"/>
      <c r="D50" s="195"/>
      <c r="E50" s="195"/>
      <c r="F50" s="195"/>
      <c r="G50" s="195"/>
      <c r="H50" s="195"/>
      <c r="I50" s="195"/>
      <c r="J50" s="196"/>
      <c r="K50" s="2"/>
    </row>
    <row r="51" spans="1:11" x14ac:dyDescent="0.25">
      <c r="A51" s="273" t="s">
        <v>362</v>
      </c>
      <c r="B51" s="273"/>
      <c r="C51" s="273"/>
      <c r="D51" s="273"/>
      <c r="E51" s="273"/>
      <c r="F51" s="273"/>
      <c r="G51" s="273"/>
      <c r="H51" s="273"/>
      <c r="I51" s="273"/>
      <c r="J51" s="273"/>
      <c r="K51" s="2"/>
    </row>
    <row r="52" spans="1:11" x14ac:dyDescent="0.25">
      <c r="A52" s="273" t="s">
        <v>117</v>
      </c>
      <c r="B52" s="273"/>
      <c r="C52" s="273"/>
      <c r="D52" s="273"/>
      <c r="E52" s="273"/>
      <c r="F52" s="273"/>
      <c r="G52" s="273"/>
      <c r="H52" s="273"/>
      <c r="I52" s="273"/>
      <c r="J52" s="273"/>
      <c r="K52" s="2"/>
    </row>
    <row r="53" spans="1:11" x14ac:dyDescent="0.25">
      <c r="A53" s="285" t="s">
        <v>370</v>
      </c>
      <c r="B53" s="285"/>
      <c r="C53" s="285"/>
      <c r="D53" s="285"/>
      <c r="E53" s="285"/>
      <c r="F53" s="285"/>
      <c r="G53" s="285"/>
      <c r="H53" s="285"/>
      <c r="I53" s="285"/>
      <c r="J53" s="285"/>
      <c r="K53" s="2"/>
    </row>
    <row r="54" spans="1:11" x14ac:dyDescent="0.25">
      <c r="A54" s="251"/>
      <c r="B54" s="251"/>
      <c r="C54" s="251"/>
      <c r="D54" s="251"/>
      <c r="E54" s="251"/>
      <c r="F54" s="251"/>
      <c r="G54" s="251"/>
      <c r="H54" s="251"/>
      <c r="I54" s="251"/>
      <c r="J54" s="251"/>
      <c r="K54" s="2"/>
    </row>
    <row r="55" spans="1:11" x14ac:dyDescent="0.25">
      <c r="A55" s="251"/>
      <c r="B55" s="251"/>
      <c r="C55" s="251"/>
      <c r="D55" s="251"/>
      <c r="E55" s="251"/>
      <c r="F55" s="251"/>
      <c r="G55" s="251"/>
      <c r="H55" s="251"/>
      <c r="I55" s="251"/>
      <c r="J55" s="251"/>
      <c r="K55" s="2"/>
    </row>
    <row r="56" spans="1:11" x14ac:dyDescent="0.25">
      <c r="A56" s="204" t="s">
        <v>377</v>
      </c>
      <c r="B56" s="195"/>
      <c r="C56" s="195"/>
      <c r="D56" s="205"/>
      <c r="E56" s="199"/>
      <c r="F56" s="197"/>
      <c r="G56" s="201"/>
      <c r="H56" s="202"/>
      <c r="I56" s="202"/>
      <c r="J56" s="203"/>
      <c r="K56" s="2"/>
    </row>
    <row r="57" spans="1:11" x14ac:dyDescent="0.25">
      <c r="A57" s="274" t="s">
        <v>109</v>
      </c>
      <c r="B57" s="274" t="s">
        <v>118</v>
      </c>
      <c r="C57" s="274" t="s">
        <v>119</v>
      </c>
      <c r="D57" s="274" t="s">
        <v>107</v>
      </c>
      <c r="E57" s="277" t="s">
        <v>108</v>
      </c>
      <c r="F57" s="278" t="s">
        <v>102</v>
      </c>
      <c r="G57" s="279"/>
      <c r="H57" s="280"/>
      <c r="I57" s="281" t="s">
        <v>358</v>
      </c>
      <c r="J57" s="281" t="s">
        <v>1</v>
      </c>
      <c r="K57" s="2"/>
    </row>
    <row r="58" spans="1:11" x14ac:dyDescent="0.25">
      <c r="A58" s="275"/>
      <c r="B58" s="275"/>
      <c r="C58" s="275"/>
      <c r="D58" s="275"/>
      <c r="E58" s="275"/>
      <c r="F58" s="250" t="s">
        <v>103</v>
      </c>
      <c r="G58" s="278" t="s">
        <v>104</v>
      </c>
      <c r="H58" s="280"/>
      <c r="I58" s="281"/>
      <c r="J58" s="281"/>
      <c r="K58" s="2"/>
    </row>
    <row r="59" spans="1:11" x14ac:dyDescent="0.25">
      <c r="A59" s="276"/>
      <c r="B59" s="276"/>
      <c r="C59" s="276"/>
      <c r="D59" s="276"/>
      <c r="E59" s="276"/>
      <c r="F59" s="250" t="s">
        <v>105</v>
      </c>
      <c r="G59" s="250" t="s">
        <v>106</v>
      </c>
      <c r="H59" s="207" t="s">
        <v>105</v>
      </c>
      <c r="I59" s="281"/>
      <c r="J59" s="281"/>
      <c r="K59" s="2"/>
    </row>
    <row r="60" spans="1:11" x14ac:dyDescent="0.25">
      <c r="A60" s="208">
        <v>1</v>
      </c>
      <c r="B60" s="208">
        <v>2</v>
      </c>
      <c r="C60" s="208">
        <v>3</v>
      </c>
      <c r="D60" s="208">
        <v>4</v>
      </c>
      <c r="E60" s="208">
        <v>5</v>
      </c>
      <c r="F60" s="208">
        <v>7</v>
      </c>
      <c r="G60" s="208">
        <v>8</v>
      </c>
      <c r="H60" s="208">
        <v>9</v>
      </c>
      <c r="I60" s="208">
        <v>10</v>
      </c>
      <c r="J60" s="208">
        <v>11</v>
      </c>
      <c r="K60" s="2"/>
    </row>
    <row r="61" spans="1:11" x14ac:dyDescent="0.25">
      <c r="A61" s="282" t="s">
        <v>120</v>
      </c>
      <c r="B61" s="283"/>
      <c r="C61" s="283"/>
      <c r="D61" s="284"/>
      <c r="E61" s="209" t="e">
        <f>E62+#REF!+#REF!+#REF!+#REF!+#REF!+#REF!+#REF!+#REF!+#REF!</f>
        <v>#REF!</v>
      </c>
      <c r="F61" s="210" t="e">
        <f>K61/E61*100%</f>
        <v>#REF!</v>
      </c>
      <c r="G61" s="209" t="e">
        <f>G62+#REF!+#REF!+#REF!+#REF!+#REF!+#REF!+#REF!+#REF!+#REF!</f>
        <v>#REF!</v>
      </c>
      <c r="H61" s="210" t="e">
        <f>G61/E61*100%</f>
        <v>#REF!</v>
      </c>
      <c r="I61" s="210"/>
      <c r="J61" s="211"/>
      <c r="K61" s="2"/>
    </row>
    <row r="62" spans="1:11" ht="38.25" x14ac:dyDescent="0.25">
      <c r="A62" s="212">
        <v>1</v>
      </c>
      <c r="B62" s="213" t="s">
        <v>121</v>
      </c>
      <c r="C62" s="214"/>
      <c r="D62" s="214"/>
      <c r="E62" s="215">
        <f>SUM(E63:E91)</f>
        <v>21759800000</v>
      </c>
      <c r="F62" s="216">
        <f>G62/E62*100%</f>
        <v>0.97911183236978283</v>
      </c>
      <c r="G62" s="215">
        <f>SUM(G63:G91)</f>
        <v>21305277650</v>
      </c>
      <c r="H62" s="216">
        <f>G62/E62*100%</f>
        <v>0.97911183236978283</v>
      </c>
      <c r="I62" s="216"/>
      <c r="J62" s="217"/>
      <c r="K62" s="2"/>
    </row>
    <row r="63" spans="1:11" x14ac:dyDescent="0.25">
      <c r="A63" s="218"/>
      <c r="B63" s="219"/>
      <c r="C63" s="220" t="s">
        <v>35</v>
      </c>
      <c r="D63" s="221"/>
      <c r="E63" s="222"/>
      <c r="F63" s="222"/>
      <c r="G63" s="222"/>
      <c r="H63" s="222"/>
      <c r="I63" s="222"/>
      <c r="J63" s="223"/>
      <c r="K63" s="2"/>
    </row>
    <row r="64" spans="1:11" x14ac:dyDescent="0.25">
      <c r="A64" s="218"/>
      <c r="B64" s="219"/>
      <c r="C64" s="224" t="s">
        <v>129</v>
      </c>
      <c r="D64" s="225"/>
      <c r="E64" s="226"/>
      <c r="F64" s="226"/>
      <c r="G64" s="226"/>
      <c r="H64" s="226"/>
      <c r="I64" s="226"/>
      <c r="J64" s="227"/>
      <c r="K64" s="2"/>
    </row>
    <row r="65" spans="1:11" ht="25.5" x14ac:dyDescent="0.25">
      <c r="A65" s="218"/>
      <c r="B65" s="219"/>
      <c r="C65" s="228"/>
      <c r="D65" s="229" t="s">
        <v>99</v>
      </c>
      <c r="E65" s="230"/>
      <c r="F65" s="231"/>
      <c r="G65" s="230"/>
      <c r="H65" s="231"/>
      <c r="I65" s="231"/>
      <c r="J65" s="232"/>
      <c r="K65" s="2"/>
    </row>
    <row r="66" spans="1:11" x14ac:dyDescent="0.25">
      <c r="A66" s="218"/>
      <c r="B66" s="219"/>
      <c r="C66" s="228"/>
      <c r="D66" s="233" t="s">
        <v>261</v>
      </c>
      <c r="E66" s="230"/>
      <c r="F66" s="231"/>
      <c r="G66" s="230"/>
      <c r="H66" s="231"/>
      <c r="I66" s="231"/>
      <c r="J66" s="232"/>
      <c r="K66" s="2"/>
    </row>
    <row r="67" spans="1:11" ht="25.5" x14ac:dyDescent="0.25">
      <c r="A67" s="218"/>
      <c r="B67" s="219"/>
      <c r="C67" s="228"/>
      <c r="D67" s="234" t="s">
        <v>100</v>
      </c>
      <c r="E67" s="230">
        <v>2975640000</v>
      </c>
      <c r="F67" s="235">
        <f>G67/E67*100%</f>
        <v>0.99600758156228575</v>
      </c>
      <c r="G67" s="230">
        <f>2963760000</f>
        <v>2963760000</v>
      </c>
      <c r="H67" s="235">
        <f>G67/E67*100%</f>
        <v>0.99600758156228575</v>
      </c>
      <c r="I67" s="236"/>
      <c r="J67" s="232"/>
      <c r="K67" s="2"/>
    </row>
    <row r="68" spans="1:11" x14ac:dyDescent="0.25">
      <c r="A68" s="218"/>
      <c r="B68" s="219"/>
      <c r="C68" s="224" t="s">
        <v>36</v>
      </c>
      <c r="D68" s="225"/>
      <c r="E68" s="237"/>
      <c r="F68" s="238"/>
      <c r="G68" s="237"/>
      <c r="H68" s="238"/>
      <c r="I68" s="226"/>
      <c r="J68" s="227"/>
      <c r="K68" s="2"/>
    </row>
    <row r="69" spans="1:11" ht="25.5" x14ac:dyDescent="0.25">
      <c r="A69" s="218"/>
      <c r="B69" s="219"/>
      <c r="C69" s="228"/>
      <c r="D69" s="229" t="s">
        <v>99</v>
      </c>
      <c r="E69" s="230"/>
      <c r="F69" s="239"/>
      <c r="G69" s="230"/>
      <c r="H69" s="240"/>
      <c r="I69" s="236"/>
      <c r="J69" s="232"/>
      <c r="K69" s="2"/>
    </row>
    <row r="70" spans="1:11" x14ac:dyDescent="0.25">
      <c r="A70" s="218"/>
      <c r="B70" s="219"/>
      <c r="C70" s="228"/>
      <c r="D70" s="233" t="s">
        <v>261</v>
      </c>
      <c r="E70" s="230"/>
      <c r="F70" s="239"/>
      <c r="G70" s="230"/>
      <c r="H70" s="240"/>
      <c r="I70" s="236"/>
      <c r="J70" s="232"/>
      <c r="K70" s="2"/>
    </row>
    <row r="71" spans="1:11" ht="25.5" x14ac:dyDescent="0.25">
      <c r="A71" s="218"/>
      <c r="B71" s="219"/>
      <c r="C71" s="228"/>
      <c r="D71" s="234" t="s">
        <v>100</v>
      </c>
      <c r="E71" s="230">
        <v>2695640000</v>
      </c>
      <c r="F71" s="235">
        <f>G71/E71*100%</f>
        <v>1</v>
      </c>
      <c r="G71" s="230">
        <f>2695640000</f>
        <v>2695640000</v>
      </c>
      <c r="H71" s="235">
        <f t="shared" ref="H71" si="11">G71/E71*100%</f>
        <v>1</v>
      </c>
      <c r="I71" s="236"/>
      <c r="J71" s="232"/>
      <c r="K71" s="2"/>
    </row>
    <row r="72" spans="1:11" x14ac:dyDescent="0.25">
      <c r="A72" s="218"/>
      <c r="B72" s="219"/>
      <c r="C72" s="224" t="s">
        <v>37</v>
      </c>
      <c r="D72" s="225"/>
      <c r="E72" s="237"/>
      <c r="F72" s="238"/>
      <c r="G72" s="237"/>
      <c r="H72" s="238"/>
      <c r="I72" s="226"/>
      <c r="J72" s="227"/>
      <c r="K72" s="2"/>
    </row>
    <row r="73" spans="1:11" ht="25.5" x14ac:dyDescent="0.25">
      <c r="A73" s="218"/>
      <c r="B73" s="219"/>
      <c r="C73" s="228"/>
      <c r="D73" s="229" t="s">
        <v>99</v>
      </c>
      <c r="E73" s="230"/>
      <c r="F73" s="239"/>
      <c r="G73" s="230"/>
      <c r="H73" s="239"/>
      <c r="I73" s="231"/>
      <c r="J73" s="232"/>
      <c r="K73" s="2"/>
    </row>
    <row r="74" spans="1:11" x14ac:dyDescent="0.25">
      <c r="A74" s="218"/>
      <c r="B74" s="219"/>
      <c r="C74" s="228"/>
      <c r="D74" s="233" t="s">
        <v>261</v>
      </c>
      <c r="E74" s="230"/>
      <c r="F74" s="239"/>
      <c r="G74" s="230"/>
      <c r="H74" s="239"/>
      <c r="I74" s="231"/>
      <c r="J74" s="232"/>
      <c r="K74" s="2"/>
    </row>
    <row r="75" spans="1:11" ht="25.5" x14ac:dyDescent="0.25">
      <c r="A75" s="218"/>
      <c r="B75" s="219"/>
      <c r="C75" s="228"/>
      <c r="D75" s="234" t="s">
        <v>100</v>
      </c>
      <c r="E75" s="230">
        <v>2930640000</v>
      </c>
      <c r="F75" s="235">
        <f>G75/E75*100%</f>
        <v>0.87995715952829412</v>
      </c>
      <c r="G75" s="230">
        <f>2578837650</f>
        <v>2578837650</v>
      </c>
      <c r="H75" s="235">
        <f t="shared" ref="H75" si="12">G75/E75*100%</f>
        <v>0.87995715952829412</v>
      </c>
      <c r="I75" s="241"/>
      <c r="J75" s="232"/>
      <c r="K75" s="2"/>
    </row>
    <row r="76" spans="1:11" x14ac:dyDescent="0.25">
      <c r="A76" s="218"/>
      <c r="B76" s="219"/>
      <c r="C76" s="224" t="s">
        <v>38</v>
      </c>
      <c r="D76" s="225"/>
      <c r="E76" s="237"/>
      <c r="F76" s="238"/>
      <c r="G76" s="237"/>
      <c r="H76" s="238"/>
      <c r="I76" s="226"/>
      <c r="J76" s="227"/>
      <c r="K76" s="2"/>
    </row>
    <row r="77" spans="1:11" ht="25.5" x14ac:dyDescent="0.25">
      <c r="A77" s="218"/>
      <c r="B77" s="219"/>
      <c r="C77" s="228"/>
      <c r="D77" s="229" t="s">
        <v>99</v>
      </c>
      <c r="E77" s="230"/>
      <c r="F77" s="239"/>
      <c r="G77" s="230"/>
      <c r="H77" s="240"/>
      <c r="I77" s="236"/>
      <c r="J77" s="232"/>
      <c r="K77" s="2"/>
    </row>
    <row r="78" spans="1:11" x14ac:dyDescent="0.25">
      <c r="A78" s="218"/>
      <c r="B78" s="219"/>
      <c r="C78" s="228"/>
      <c r="D78" s="233" t="s">
        <v>261</v>
      </c>
      <c r="E78" s="230"/>
      <c r="F78" s="239"/>
      <c r="G78" s="230"/>
      <c r="H78" s="240"/>
      <c r="I78" s="236"/>
      <c r="J78" s="232"/>
      <c r="K78" s="2"/>
    </row>
    <row r="79" spans="1:11" ht="25.5" x14ac:dyDescent="0.25">
      <c r="A79" s="218"/>
      <c r="B79" s="219"/>
      <c r="C79" s="228"/>
      <c r="D79" s="234" t="s">
        <v>100</v>
      </c>
      <c r="E79" s="230">
        <v>2480900000</v>
      </c>
      <c r="F79" s="235">
        <f t="shared" ref="F79" si="13">G79/E79*100%</f>
        <v>0.99187794751904546</v>
      </c>
      <c r="G79" s="230">
        <f>2460750000</f>
        <v>2460750000</v>
      </c>
      <c r="H79" s="235">
        <f t="shared" ref="H79" si="14">G79/E79*100%</f>
        <v>0.99187794751904546</v>
      </c>
      <c r="I79" s="241"/>
      <c r="J79" s="232"/>
      <c r="K79" s="2"/>
    </row>
    <row r="80" spans="1:11" x14ac:dyDescent="0.25">
      <c r="A80" s="218"/>
      <c r="B80" s="219"/>
      <c r="C80" s="224" t="s">
        <v>39</v>
      </c>
      <c r="D80" s="225"/>
      <c r="E80" s="237"/>
      <c r="F80" s="238"/>
      <c r="G80" s="237"/>
      <c r="H80" s="238"/>
      <c r="I80" s="226"/>
      <c r="J80" s="227"/>
      <c r="K80" s="2"/>
    </row>
    <row r="81" spans="1:11" ht="25.5" x14ac:dyDescent="0.25">
      <c r="A81" s="218"/>
      <c r="B81" s="219"/>
      <c r="C81" s="228"/>
      <c r="D81" s="229" t="s">
        <v>99</v>
      </c>
      <c r="E81" s="230"/>
      <c r="F81" s="239"/>
      <c r="G81" s="230"/>
      <c r="H81" s="240"/>
      <c r="I81" s="236"/>
      <c r="J81" s="232"/>
      <c r="K81" s="2"/>
    </row>
    <row r="82" spans="1:11" x14ac:dyDescent="0.25">
      <c r="A82" s="218"/>
      <c r="B82" s="219"/>
      <c r="C82" s="228"/>
      <c r="D82" s="233" t="s">
        <v>261</v>
      </c>
      <c r="E82" s="230"/>
      <c r="F82" s="239"/>
      <c r="G82" s="230"/>
      <c r="H82" s="240"/>
      <c r="I82" s="236"/>
      <c r="J82" s="232"/>
      <c r="K82" s="2"/>
    </row>
    <row r="83" spans="1:11" ht="25.5" x14ac:dyDescent="0.25">
      <c r="A83" s="218"/>
      <c r="B83" s="219"/>
      <c r="C83" s="228"/>
      <c r="D83" s="234" t="s">
        <v>100</v>
      </c>
      <c r="E83" s="230">
        <v>3395640000</v>
      </c>
      <c r="F83" s="235">
        <f t="shared" ref="F83" si="15">G83/E83*100%</f>
        <v>0.99825069795384669</v>
      </c>
      <c r="G83" s="230">
        <f>3389700000</f>
        <v>3389700000</v>
      </c>
      <c r="H83" s="235">
        <f t="shared" ref="H83" si="16">G83/E83*100%</f>
        <v>0.99825069795384669</v>
      </c>
      <c r="I83" s="236"/>
      <c r="J83" s="232"/>
      <c r="K83" s="2"/>
    </row>
    <row r="84" spans="1:11" x14ac:dyDescent="0.25">
      <c r="A84" s="218"/>
      <c r="B84" s="219"/>
      <c r="C84" s="224" t="s">
        <v>40</v>
      </c>
      <c r="D84" s="225"/>
      <c r="E84" s="237"/>
      <c r="F84" s="238"/>
      <c r="G84" s="237"/>
      <c r="H84" s="238"/>
      <c r="I84" s="243"/>
      <c r="J84" s="227"/>
      <c r="K84" s="2"/>
    </row>
    <row r="85" spans="1:11" ht="25.5" x14ac:dyDescent="0.25">
      <c r="A85" s="218"/>
      <c r="B85" s="219"/>
      <c r="C85" s="228"/>
      <c r="D85" s="229" t="s">
        <v>99</v>
      </c>
      <c r="E85" s="230"/>
      <c r="F85" s="239"/>
      <c r="G85" s="230"/>
      <c r="H85" s="239"/>
      <c r="I85" s="231"/>
      <c r="J85" s="232"/>
      <c r="K85" s="2"/>
    </row>
    <row r="86" spans="1:11" x14ac:dyDescent="0.25">
      <c r="A86" s="218"/>
      <c r="B86" s="219"/>
      <c r="C86" s="228"/>
      <c r="D86" s="233" t="s">
        <v>261</v>
      </c>
      <c r="E86" s="230"/>
      <c r="F86" s="239"/>
      <c r="G86" s="230"/>
      <c r="H86" s="239"/>
      <c r="I86" s="231"/>
      <c r="J86" s="232"/>
      <c r="K86" s="2"/>
    </row>
    <row r="87" spans="1:11" ht="25.5" x14ac:dyDescent="0.25">
      <c r="A87" s="218"/>
      <c r="B87" s="219"/>
      <c r="C87" s="228"/>
      <c r="D87" s="234" t="s">
        <v>100</v>
      </c>
      <c r="E87" s="230">
        <v>1430900000</v>
      </c>
      <c r="F87" s="235">
        <f t="shared" ref="F87" si="17">G87/E87*100%</f>
        <v>0.98818226291145428</v>
      </c>
      <c r="G87" s="230">
        <f>1413990000</f>
        <v>1413990000</v>
      </c>
      <c r="H87" s="235">
        <f t="shared" ref="H87" si="18">G87/E87*100%</f>
        <v>0.98818226291145428</v>
      </c>
      <c r="I87" s="236"/>
      <c r="J87" s="232"/>
      <c r="K87" s="2"/>
    </row>
    <row r="88" spans="1:11" x14ac:dyDescent="0.25">
      <c r="A88" s="218"/>
      <c r="B88" s="219"/>
      <c r="C88" s="224" t="s">
        <v>41</v>
      </c>
      <c r="D88" s="225"/>
      <c r="E88" s="237"/>
      <c r="F88" s="238"/>
      <c r="G88" s="237"/>
      <c r="H88" s="238"/>
      <c r="I88" s="226"/>
      <c r="J88" s="227"/>
      <c r="K88" s="2"/>
    </row>
    <row r="89" spans="1:11" ht="25.5" x14ac:dyDescent="0.25">
      <c r="A89" s="218"/>
      <c r="B89" s="219"/>
      <c r="C89" s="228"/>
      <c r="D89" s="229" t="s">
        <v>99</v>
      </c>
      <c r="E89" s="230"/>
      <c r="F89" s="239"/>
      <c r="G89" s="230"/>
      <c r="H89" s="240"/>
      <c r="I89" s="236"/>
      <c r="J89" s="232"/>
      <c r="K89" s="2"/>
    </row>
    <row r="90" spans="1:11" x14ac:dyDescent="0.25">
      <c r="A90" s="218"/>
      <c r="B90" s="219"/>
      <c r="C90" s="228"/>
      <c r="D90" s="233" t="s">
        <v>261</v>
      </c>
      <c r="E90" s="230"/>
      <c r="F90" s="239"/>
      <c r="G90" s="230"/>
      <c r="H90" s="240"/>
      <c r="I90" s="236"/>
      <c r="J90" s="232"/>
      <c r="K90" s="2"/>
    </row>
    <row r="91" spans="1:11" ht="25.5" x14ac:dyDescent="0.25">
      <c r="A91" s="218"/>
      <c r="B91" s="219"/>
      <c r="C91" s="228"/>
      <c r="D91" s="234" t="s">
        <v>100</v>
      </c>
      <c r="E91" s="230">
        <v>5850440000</v>
      </c>
      <c r="F91" s="235">
        <f t="shared" ref="F91" si="19">G91/E91*100%</f>
        <v>0.99182283725668496</v>
      </c>
      <c r="G91" s="230">
        <f>5802600000</f>
        <v>5802600000</v>
      </c>
      <c r="H91" s="235">
        <f t="shared" ref="H91" si="20">G91/E91*100%</f>
        <v>0.99182283725668496</v>
      </c>
      <c r="I91" s="236"/>
      <c r="J91" s="232"/>
      <c r="K91" s="2"/>
    </row>
    <row r="92" spans="1:11" x14ac:dyDescent="0.25">
      <c r="A92" s="195"/>
      <c r="B92" s="195"/>
      <c r="C92" s="195"/>
      <c r="D92" s="195"/>
      <c r="E92" s="195"/>
      <c r="F92" s="195"/>
      <c r="G92" s="195"/>
      <c r="H92" s="195"/>
      <c r="I92" s="195"/>
      <c r="J92" s="196"/>
      <c r="K92" s="2"/>
    </row>
    <row r="93" spans="1:11" x14ac:dyDescent="0.25">
      <c r="A93" s="195"/>
      <c r="B93" s="195"/>
      <c r="C93" s="195"/>
      <c r="D93" s="195"/>
      <c r="E93" s="195"/>
      <c r="F93" s="195"/>
      <c r="G93" s="195"/>
      <c r="H93" s="195"/>
      <c r="I93" s="195"/>
      <c r="J93" s="196"/>
      <c r="K93" s="2"/>
    </row>
    <row r="94" spans="1:11" x14ac:dyDescent="0.25">
      <c r="A94" s="195"/>
      <c r="B94" s="195"/>
      <c r="C94" s="195"/>
      <c r="D94" s="195"/>
      <c r="E94" s="195"/>
      <c r="F94" s="195"/>
      <c r="G94" s="195"/>
      <c r="H94" s="195"/>
      <c r="I94" s="195"/>
      <c r="J94" s="196"/>
      <c r="K94" s="2"/>
    </row>
    <row r="95" spans="1:11" x14ac:dyDescent="0.25">
      <c r="A95" s="273" t="s">
        <v>362</v>
      </c>
      <c r="B95" s="273"/>
      <c r="C95" s="273"/>
      <c r="D95" s="273"/>
      <c r="E95" s="273"/>
      <c r="F95" s="273"/>
      <c r="G95" s="273"/>
      <c r="H95" s="273"/>
      <c r="I95" s="273"/>
      <c r="J95" s="273"/>
      <c r="K95" s="2"/>
    </row>
    <row r="96" spans="1:11" x14ac:dyDescent="0.25">
      <c r="A96" s="273" t="s">
        <v>117</v>
      </c>
      <c r="B96" s="273"/>
      <c r="C96" s="273"/>
      <c r="D96" s="273"/>
      <c r="E96" s="273"/>
      <c r="F96" s="273"/>
      <c r="G96" s="273"/>
      <c r="H96" s="273"/>
      <c r="I96" s="273"/>
      <c r="J96" s="273"/>
      <c r="K96" s="2"/>
    </row>
    <row r="97" spans="1:11" x14ac:dyDescent="0.25">
      <c r="A97" s="285" t="s">
        <v>371</v>
      </c>
      <c r="B97" s="285"/>
      <c r="C97" s="285"/>
      <c r="D97" s="285"/>
      <c r="E97" s="285"/>
      <c r="F97" s="285"/>
      <c r="G97" s="285"/>
      <c r="H97" s="285"/>
      <c r="I97" s="285"/>
      <c r="J97" s="285"/>
      <c r="K97" s="2"/>
    </row>
    <row r="98" spans="1:11" x14ac:dyDescent="0.25">
      <c r="A98" s="204" t="s">
        <v>377</v>
      </c>
      <c r="B98" s="195"/>
      <c r="C98" s="195"/>
      <c r="D98" s="205"/>
      <c r="E98" s="199"/>
      <c r="F98" s="197"/>
      <c r="G98" s="201"/>
      <c r="H98" s="202"/>
      <c r="I98" s="202"/>
      <c r="J98" s="203"/>
      <c r="K98" s="2"/>
    </row>
    <row r="99" spans="1:11" x14ac:dyDescent="0.25">
      <c r="A99" s="274" t="s">
        <v>109</v>
      </c>
      <c r="B99" s="274" t="s">
        <v>118</v>
      </c>
      <c r="C99" s="274" t="s">
        <v>119</v>
      </c>
      <c r="D99" s="274" t="s">
        <v>107</v>
      </c>
      <c r="E99" s="277" t="s">
        <v>108</v>
      </c>
      <c r="F99" s="278" t="s">
        <v>102</v>
      </c>
      <c r="G99" s="279"/>
      <c r="H99" s="280"/>
      <c r="I99" s="281" t="s">
        <v>358</v>
      </c>
      <c r="J99" s="281" t="s">
        <v>1</v>
      </c>
      <c r="K99" s="2"/>
    </row>
    <row r="100" spans="1:11" x14ac:dyDescent="0.25">
      <c r="A100" s="275"/>
      <c r="B100" s="275"/>
      <c r="C100" s="275"/>
      <c r="D100" s="275"/>
      <c r="E100" s="275"/>
      <c r="F100" s="250" t="s">
        <v>103</v>
      </c>
      <c r="G100" s="278" t="s">
        <v>104</v>
      </c>
      <c r="H100" s="280"/>
      <c r="I100" s="281"/>
      <c r="J100" s="281"/>
      <c r="K100" s="2"/>
    </row>
    <row r="101" spans="1:11" x14ac:dyDescent="0.25">
      <c r="A101" s="276"/>
      <c r="B101" s="276"/>
      <c r="C101" s="276"/>
      <c r="D101" s="276"/>
      <c r="E101" s="276"/>
      <c r="F101" s="250" t="s">
        <v>105</v>
      </c>
      <c r="G101" s="250" t="s">
        <v>106</v>
      </c>
      <c r="H101" s="207" t="s">
        <v>105</v>
      </c>
      <c r="I101" s="281"/>
      <c r="J101" s="281"/>
      <c r="K101" s="2"/>
    </row>
    <row r="102" spans="1:11" x14ac:dyDescent="0.25">
      <c r="A102" s="208">
        <v>1</v>
      </c>
      <c r="B102" s="208">
        <v>2</v>
      </c>
      <c r="C102" s="208">
        <v>3</v>
      </c>
      <c r="D102" s="208">
        <v>4</v>
      </c>
      <c r="E102" s="208">
        <v>5</v>
      </c>
      <c r="F102" s="208">
        <v>7</v>
      </c>
      <c r="G102" s="208">
        <v>8</v>
      </c>
      <c r="H102" s="208">
        <v>9</v>
      </c>
      <c r="I102" s="208">
        <v>10</v>
      </c>
      <c r="J102" s="208">
        <v>11</v>
      </c>
      <c r="K102" s="2"/>
    </row>
    <row r="103" spans="1:11" x14ac:dyDescent="0.25">
      <c r="A103" s="282" t="s">
        <v>120</v>
      </c>
      <c r="B103" s="283"/>
      <c r="C103" s="283"/>
      <c r="D103" s="284"/>
      <c r="E103" s="209" t="e">
        <f>E104+#REF!+#REF!+#REF!+#REF!+#REF!+#REF!+#REF!+#REF!+#REF!</f>
        <v>#REF!</v>
      </c>
      <c r="F103" s="210" t="e">
        <f>K103/E103*100%</f>
        <v>#REF!</v>
      </c>
      <c r="G103" s="209" t="e">
        <f>G104+#REF!+#REF!+#REF!+#REF!+#REF!+#REF!+#REF!+#REF!+#REF!</f>
        <v>#REF!</v>
      </c>
      <c r="H103" s="210" t="e">
        <f>G103/E103*100%</f>
        <v>#REF!</v>
      </c>
      <c r="I103" s="210"/>
      <c r="J103" s="211"/>
      <c r="K103" s="2"/>
    </row>
    <row r="104" spans="1:11" ht="38.25" x14ac:dyDescent="0.25">
      <c r="A104" s="212">
        <v>1</v>
      </c>
      <c r="B104" s="213" t="s">
        <v>121</v>
      </c>
      <c r="C104" s="214"/>
      <c r="D104" s="214"/>
      <c r="E104" s="215">
        <f>SUM(E105:E133)</f>
        <v>13238322752</v>
      </c>
      <c r="F104" s="216">
        <f>G104/E104*100%</f>
        <v>0.83262135094377854</v>
      </c>
      <c r="G104" s="215">
        <f>SUM(G105:G133)</f>
        <v>11022510174</v>
      </c>
      <c r="H104" s="216">
        <f>G104/E104*100%</f>
        <v>0.83262135094377854</v>
      </c>
      <c r="I104" s="216"/>
      <c r="J104" s="217"/>
      <c r="K104" s="2"/>
    </row>
    <row r="105" spans="1:11" x14ac:dyDescent="0.25">
      <c r="A105" s="218"/>
      <c r="B105" s="219"/>
      <c r="C105" s="220" t="s">
        <v>35</v>
      </c>
      <c r="D105" s="221"/>
      <c r="E105" s="222"/>
      <c r="F105" s="222"/>
      <c r="G105" s="222"/>
      <c r="H105" s="222"/>
      <c r="I105" s="222"/>
      <c r="J105" s="223"/>
      <c r="K105" s="2"/>
    </row>
    <row r="106" spans="1:11" x14ac:dyDescent="0.25">
      <c r="A106" s="218"/>
      <c r="B106" s="219"/>
      <c r="C106" s="224" t="s">
        <v>129</v>
      </c>
      <c r="D106" s="225"/>
      <c r="E106" s="226"/>
      <c r="F106" s="226"/>
      <c r="G106" s="226"/>
      <c r="H106" s="226"/>
      <c r="I106" s="226"/>
      <c r="J106" s="227"/>
      <c r="K106" s="2"/>
    </row>
    <row r="107" spans="1:11" ht="25.5" x14ac:dyDescent="0.25">
      <c r="A107" s="218"/>
      <c r="B107" s="219"/>
      <c r="C107" s="228"/>
      <c r="D107" s="229" t="s">
        <v>99</v>
      </c>
      <c r="E107" s="230"/>
      <c r="F107" s="231"/>
      <c r="G107" s="230"/>
      <c r="H107" s="231"/>
      <c r="I107" s="231"/>
      <c r="J107" s="232"/>
      <c r="K107" s="2"/>
    </row>
    <row r="108" spans="1:11" x14ac:dyDescent="0.25">
      <c r="A108" s="218"/>
      <c r="B108" s="219"/>
      <c r="C108" s="228"/>
      <c r="D108" s="233" t="s">
        <v>261</v>
      </c>
      <c r="E108" s="230"/>
      <c r="F108" s="231"/>
      <c r="G108" s="230"/>
      <c r="H108" s="231"/>
      <c r="I108" s="231"/>
      <c r="J108" s="232"/>
      <c r="K108" s="2"/>
    </row>
    <row r="109" spans="1:11" x14ac:dyDescent="0.25">
      <c r="A109" s="218"/>
      <c r="B109" s="219"/>
      <c r="C109" s="228"/>
      <c r="D109" s="234" t="s">
        <v>101</v>
      </c>
      <c r="E109" s="230">
        <v>1803960912</v>
      </c>
      <c r="F109" s="235">
        <f>G109/E109*100%</f>
        <v>0.90491440315642491</v>
      </c>
      <c r="G109" s="230">
        <f>1632430212</f>
        <v>1632430212</v>
      </c>
      <c r="H109" s="235">
        <f>G109/E109*100%</f>
        <v>0.90491440315642491</v>
      </c>
      <c r="I109" s="236"/>
      <c r="J109" s="232"/>
      <c r="K109" s="2"/>
    </row>
    <row r="110" spans="1:11" x14ac:dyDescent="0.25">
      <c r="A110" s="218"/>
      <c r="B110" s="219"/>
      <c r="C110" s="224" t="s">
        <v>36</v>
      </c>
      <c r="D110" s="225"/>
      <c r="E110" s="237"/>
      <c r="F110" s="238"/>
      <c r="G110" s="237"/>
      <c r="H110" s="238"/>
      <c r="I110" s="226"/>
      <c r="J110" s="227"/>
      <c r="K110" s="2"/>
    </row>
    <row r="111" spans="1:11" ht="25.5" x14ac:dyDescent="0.25">
      <c r="A111" s="218"/>
      <c r="B111" s="219"/>
      <c r="C111" s="228"/>
      <c r="D111" s="229" t="s">
        <v>99</v>
      </c>
      <c r="E111" s="230"/>
      <c r="F111" s="239"/>
      <c r="G111" s="230"/>
      <c r="H111" s="240"/>
      <c r="I111" s="236"/>
      <c r="J111" s="232"/>
      <c r="K111" s="2"/>
    </row>
    <row r="112" spans="1:11" x14ac:dyDescent="0.25">
      <c r="A112" s="218"/>
      <c r="B112" s="219"/>
      <c r="C112" s="228"/>
      <c r="D112" s="233" t="s">
        <v>261</v>
      </c>
      <c r="E112" s="230"/>
      <c r="F112" s="239"/>
      <c r="G112" s="230"/>
      <c r="H112" s="240"/>
      <c r="I112" s="236"/>
      <c r="J112" s="232"/>
      <c r="K112" s="2"/>
    </row>
    <row r="113" spans="1:11" x14ac:dyDescent="0.25">
      <c r="A113" s="218"/>
      <c r="B113" s="219"/>
      <c r="C113" s="228"/>
      <c r="D113" s="234" t="s">
        <v>101</v>
      </c>
      <c r="E113" s="230">
        <v>1635097968</v>
      </c>
      <c r="F113" s="235">
        <f>G113/E113*100%</f>
        <v>0.7677203400450926</v>
      </c>
      <c r="G113" s="230">
        <f>1255297968</f>
        <v>1255297968</v>
      </c>
      <c r="H113" s="235">
        <f t="shared" ref="H113" si="21">G113/E113*100%</f>
        <v>0.7677203400450926</v>
      </c>
      <c r="I113" s="236"/>
      <c r="J113" s="232"/>
      <c r="K113" s="2"/>
    </row>
    <row r="114" spans="1:11" x14ac:dyDescent="0.25">
      <c r="A114" s="218"/>
      <c r="B114" s="219"/>
      <c r="C114" s="224" t="s">
        <v>37</v>
      </c>
      <c r="D114" s="225"/>
      <c r="E114" s="237"/>
      <c r="F114" s="238"/>
      <c r="G114" s="237"/>
      <c r="H114" s="238"/>
      <c r="I114" s="226"/>
      <c r="J114" s="227"/>
      <c r="K114" s="2"/>
    </row>
    <row r="115" spans="1:11" ht="25.5" x14ac:dyDescent="0.25">
      <c r="A115" s="218"/>
      <c r="B115" s="219"/>
      <c r="C115" s="228"/>
      <c r="D115" s="229" t="s">
        <v>99</v>
      </c>
      <c r="E115" s="230"/>
      <c r="F115" s="239"/>
      <c r="G115" s="230"/>
      <c r="H115" s="239"/>
      <c r="I115" s="231"/>
      <c r="J115" s="232"/>
      <c r="K115" s="2"/>
    </row>
    <row r="116" spans="1:11" x14ac:dyDescent="0.25">
      <c r="A116" s="218"/>
      <c r="B116" s="219"/>
      <c r="C116" s="228"/>
      <c r="D116" s="233" t="s">
        <v>261</v>
      </c>
      <c r="E116" s="230"/>
      <c r="F116" s="239"/>
      <c r="G116" s="230"/>
      <c r="H116" s="239"/>
      <c r="I116" s="231"/>
      <c r="J116" s="232"/>
      <c r="K116" s="2"/>
    </row>
    <row r="117" spans="1:11" x14ac:dyDescent="0.25">
      <c r="A117" s="218"/>
      <c r="B117" s="219"/>
      <c r="C117" s="228"/>
      <c r="D117" s="234" t="s">
        <v>101</v>
      </c>
      <c r="E117" s="230">
        <v>1769445176</v>
      </c>
      <c r="F117" s="235">
        <f>G117/E117*100%</f>
        <v>0.65507176131915379</v>
      </c>
      <c r="G117" s="230">
        <f>1159113568</f>
        <v>1159113568</v>
      </c>
      <c r="H117" s="235">
        <f t="shared" ref="H117" si="22">G117/E117*100%</f>
        <v>0.65507176131915379</v>
      </c>
      <c r="I117" s="236"/>
      <c r="J117" s="232"/>
      <c r="K117" s="2"/>
    </row>
    <row r="118" spans="1:11" x14ac:dyDescent="0.25">
      <c r="A118" s="218"/>
      <c r="B118" s="219"/>
      <c r="C118" s="224" t="s">
        <v>38</v>
      </c>
      <c r="D118" s="225"/>
      <c r="E118" s="237"/>
      <c r="F118" s="238"/>
      <c r="G118" s="237"/>
      <c r="H118" s="238"/>
      <c r="I118" s="226"/>
      <c r="J118" s="227"/>
      <c r="K118" s="2"/>
    </row>
    <row r="119" spans="1:11" ht="25.5" x14ac:dyDescent="0.25">
      <c r="A119" s="218"/>
      <c r="B119" s="219"/>
      <c r="C119" s="228"/>
      <c r="D119" s="229" t="s">
        <v>99</v>
      </c>
      <c r="E119" s="230"/>
      <c r="F119" s="239"/>
      <c r="G119" s="230"/>
      <c r="H119" s="240"/>
      <c r="I119" s="236"/>
      <c r="J119" s="232"/>
      <c r="K119" s="2"/>
    </row>
    <row r="120" spans="1:11" x14ac:dyDescent="0.25">
      <c r="A120" s="218"/>
      <c r="B120" s="219"/>
      <c r="C120" s="228"/>
      <c r="D120" s="233" t="s">
        <v>261</v>
      </c>
      <c r="E120" s="230"/>
      <c r="F120" s="239"/>
      <c r="G120" s="230"/>
      <c r="H120" s="240"/>
      <c r="I120" s="236"/>
      <c r="J120" s="232"/>
      <c r="K120" s="2"/>
    </row>
    <row r="121" spans="1:11" x14ac:dyDescent="0.25">
      <c r="A121" s="218"/>
      <c r="B121" s="219"/>
      <c r="C121" s="228"/>
      <c r="D121" s="234" t="s">
        <v>101</v>
      </c>
      <c r="E121" s="230">
        <v>1508450760</v>
      </c>
      <c r="F121" s="235">
        <f t="shared" ref="F121" si="23">G121/E121*100%</f>
        <v>0.93790993880370344</v>
      </c>
      <c r="G121" s="230">
        <v>1414790960</v>
      </c>
      <c r="H121" s="235">
        <f t="shared" ref="H121" si="24">G121/E121*100%</f>
        <v>0.93790993880370344</v>
      </c>
      <c r="I121" s="242"/>
      <c r="J121" s="232"/>
      <c r="K121" s="2"/>
    </row>
    <row r="122" spans="1:11" x14ac:dyDescent="0.25">
      <c r="A122" s="218"/>
      <c r="B122" s="219"/>
      <c r="C122" s="224" t="s">
        <v>39</v>
      </c>
      <c r="D122" s="225"/>
      <c r="E122" s="237"/>
      <c r="F122" s="238"/>
      <c r="G122" s="237"/>
      <c r="H122" s="238"/>
      <c r="I122" s="226"/>
      <c r="J122" s="227"/>
      <c r="K122" s="2"/>
    </row>
    <row r="123" spans="1:11" ht="25.5" x14ac:dyDescent="0.25">
      <c r="A123" s="218"/>
      <c r="B123" s="219"/>
      <c r="C123" s="228"/>
      <c r="D123" s="229" t="s">
        <v>99</v>
      </c>
      <c r="E123" s="230"/>
      <c r="F123" s="239"/>
      <c r="G123" s="230"/>
      <c r="H123" s="240"/>
      <c r="I123" s="236"/>
      <c r="J123" s="232"/>
      <c r="K123" s="2"/>
    </row>
    <row r="124" spans="1:11" x14ac:dyDescent="0.25">
      <c r="A124" s="218"/>
      <c r="B124" s="219"/>
      <c r="C124" s="228"/>
      <c r="D124" s="233" t="s">
        <v>261</v>
      </c>
      <c r="E124" s="230"/>
      <c r="F124" s="239"/>
      <c r="G124" s="230"/>
      <c r="H124" s="240"/>
      <c r="I124" s="236"/>
      <c r="J124" s="232"/>
      <c r="K124" s="2"/>
    </row>
    <row r="125" spans="1:11" x14ac:dyDescent="0.25">
      <c r="A125" s="218"/>
      <c r="B125" s="219"/>
      <c r="C125" s="228"/>
      <c r="D125" s="234" t="s">
        <v>101</v>
      </c>
      <c r="E125" s="230">
        <v>2057255328</v>
      </c>
      <c r="F125" s="235">
        <f t="shared" ref="F125" si="25">G125/E125*100%</f>
        <v>0.76457269867865429</v>
      </c>
      <c r="G125" s="230">
        <f>1572921258</f>
        <v>1572921258</v>
      </c>
      <c r="H125" s="235">
        <f t="shared" ref="H125" si="26">G125/E125*100%</f>
        <v>0.76457269867865429</v>
      </c>
      <c r="I125" s="236"/>
      <c r="J125" s="232"/>
      <c r="K125" s="2"/>
    </row>
    <row r="126" spans="1:11" x14ac:dyDescent="0.25">
      <c r="A126" s="218"/>
      <c r="B126" s="219"/>
      <c r="C126" s="224" t="s">
        <v>40</v>
      </c>
      <c r="D126" s="225"/>
      <c r="E126" s="237"/>
      <c r="F126" s="238"/>
      <c r="G126" s="237"/>
      <c r="H126" s="238"/>
      <c r="I126" s="243"/>
      <c r="J126" s="227"/>
      <c r="K126" s="2"/>
    </row>
    <row r="127" spans="1:11" ht="25.5" x14ac:dyDescent="0.25">
      <c r="A127" s="218"/>
      <c r="B127" s="219"/>
      <c r="C127" s="228"/>
      <c r="D127" s="229" t="s">
        <v>99</v>
      </c>
      <c r="E127" s="230"/>
      <c r="F127" s="239"/>
      <c r="G127" s="230"/>
      <c r="H127" s="239"/>
      <c r="I127" s="231"/>
      <c r="J127" s="232"/>
      <c r="K127" s="2"/>
    </row>
    <row r="128" spans="1:11" x14ac:dyDescent="0.25">
      <c r="A128" s="218"/>
      <c r="B128" s="219"/>
      <c r="C128" s="228"/>
      <c r="D128" s="233" t="s">
        <v>261</v>
      </c>
      <c r="E128" s="230"/>
      <c r="F128" s="239"/>
      <c r="G128" s="230"/>
      <c r="H128" s="239"/>
      <c r="I128" s="231"/>
      <c r="J128" s="232"/>
      <c r="K128" s="2"/>
    </row>
    <row r="129" spans="1:11" x14ac:dyDescent="0.25">
      <c r="A129" s="218"/>
      <c r="B129" s="219"/>
      <c r="C129" s="228"/>
      <c r="D129" s="234" t="s">
        <v>101</v>
      </c>
      <c r="E129" s="230">
        <v>870474720</v>
      </c>
      <c r="F129" s="235">
        <f t="shared" ref="F129" si="27">G129/E129*100%</f>
        <v>0.88066212882092654</v>
      </c>
      <c r="G129" s="230">
        <f>766594120</f>
        <v>766594120</v>
      </c>
      <c r="H129" s="235">
        <f t="shared" ref="H129" si="28">G129/E129*100%</f>
        <v>0.88066212882092654</v>
      </c>
      <c r="I129" s="236"/>
      <c r="J129" s="232"/>
      <c r="K129" s="2"/>
    </row>
    <row r="130" spans="1:11" x14ac:dyDescent="0.25">
      <c r="A130" s="218"/>
      <c r="B130" s="219"/>
      <c r="C130" s="224" t="s">
        <v>41</v>
      </c>
      <c r="D130" s="225"/>
      <c r="E130" s="237"/>
      <c r="F130" s="238"/>
      <c r="G130" s="237"/>
      <c r="H130" s="238"/>
      <c r="I130" s="226"/>
      <c r="J130" s="227"/>
      <c r="K130" s="2"/>
    </row>
    <row r="131" spans="1:11" ht="25.5" x14ac:dyDescent="0.25">
      <c r="A131" s="218"/>
      <c r="B131" s="219"/>
      <c r="C131" s="228"/>
      <c r="D131" s="229" t="s">
        <v>99</v>
      </c>
      <c r="E131" s="230"/>
      <c r="F131" s="239"/>
      <c r="G131" s="230"/>
      <c r="H131" s="240"/>
      <c r="I131" s="236"/>
      <c r="J131" s="232"/>
      <c r="K131" s="2"/>
    </row>
    <row r="132" spans="1:11" x14ac:dyDescent="0.25">
      <c r="A132" s="218"/>
      <c r="B132" s="219"/>
      <c r="C132" s="228"/>
      <c r="D132" s="233" t="s">
        <v>261</v>
      </c>
      <c r="E132" s="230"/>
      <c r="F132" s="239"/>
      <c r="G132" s="230"/>
      <c r="H132" s="240"/>
      <c r="I132" s="236"/>
      <c r="J132" s="232"/>
      <c r="K132" s="2"/>
    </row>
    <row r="133" spans="1:11" x14ac:dyDescent="0.25">
      <c r="A133" s="218"/>
      <c r="B133" s="219"/>
      <c r="C133" s="228"/>
      <c r="D133" s="234" t="s">
        <v>101</v>
      </c>
      <c r="E133" s="230">
        <v>3593637888</v>
      </c>
      <c r="F133" s="235">
        <f t="shared" ref="F133" si="29">G133/E133*100%</f>
        <v>0.89640698044643941</v>
      </c>
      <c r="G133" s="230">
        <f>3221362088</f>
        <v>3221362088</v>
      </c>
      <c r="H133" s="235">
        <f t="shared" ref="H133" si="30">G133/E133*100%</f>
        <v>0.89640698044643941</v>
      </c>
      <c r="I133" s="236"/>
      <c r="J133" s="232"/>
      <c r="K133" s="2"/>
    </row>
    <row r="134" spans="1:11" x14ac:dyDescent="0.25">
      <c r="A134" s="195"/>
      <c r="B134" s="195"/>
      <c r="C134" s="195"/>
      <c r="D134" s="195"/>
      <c r="E134" s="195"/>
      <c r="F134" s="195"/>
      <c r="G134" s="195"/>
      <c r="H134" s="195"/>
      <c r="I134" s="195"/>
      <c r="J134" s="196"/>
      <c r="K134" s="2"/>
    </row>
    <row r="135" spans="1:11" x14ac:dyDescent="0.25">
      <c r="A135" s="195"/>
      <c r="B135" s="195"/>
      <c r="C135" s="195"/>
      <c r="D135" s="195"/>
      <c r="E135" s="195"/>
      <c r="F135" s="195"/>
      <c r="G135" s="195"/>
      <c r="H135" s="195"/>
      <c r="I135" s="195"/>
      <c r="J135" s="196"/>
      <c r="K135" s="2"/>
    </row>
    <row r="136" spans="1:11" x14ac:dyDescent="0.25">
      <c r="A136" s="195"/>
      <c r="B136" s="195"/>
      <c r="C136" s="195"/>
      <c r="D136" s="195"/>
      <c r="E136" s="195"/>
      <c r="F136" s="195"/>
      <c r="G136" s="195"/>
      <c r="H136" s="195"/>
      <c r="I136" s="195"/>
      <c r="J136" s="196"/>
      <c r="K136" s="2"/>
    </row>
    <row r="137" spans="1:11" x14ac:dyDescent="0.25">
      <c r="A137" s="195"/>
      <c r="B137" s="195"/>
      <c r="C137" s="195"/>
      <c r="D137" s="195"/>
      <c r="E137" s="195"/>
      <c r="F137" s="195"/>
      <c r="G137" s="195"/>
      <c r="H137" s="195"/>
      <c r="I137" s="195"/>
      <c r="J137" s="196"/>
      <c r="K137" s="2"/>
    </row>
    <row r="138" spans="1:11" x14ac:dyDescent="0.25">
      <c r="A138" s="195"/>
      <c r="B138" s="195"/>
      <c r="C138" s="195"/>
      <c r="D138" s="195"/>
      <c r="E138" s="195"/>
      <c r="F138" s="195"/>
      <c r="G138" s="195"/>
      <c r="H138" s="195"/>
      <c r="I138" s="195"/>
      <c r="J138" s="196"/>
      <c r="K138" s="2"/>
    </row>
  </sheetData>
  <mergeCells count="38">
    <mergeCell ref="A2:J2"/>
    <mergeCell ref="A3:J3"/>
    <mergeCell ref="A5:A7"/>
    <mergeCell ref="B5:B7"/>
    <mergeCell ref="C5:C7"/>
    <mergeCell ref="D5:D7"/>
    <mergeCell ref="E5:E7"/>
    <mergeCell ref="F5:H5"/>
    <mergeCell ref="I5:I7"/>
    <mergeCell ref="J5:J7"/>
    <mergeCell ref="A95:J95"/>
    <mergeCell ref="G6:H6"/>
    <mergeCell ref="A9:D9"/>
    <mergeCell ref="A51:J51"/>
    <mergeCell ref="A52:J52"/>
    <mergeCell ref="A53:J53"/>
    <mergeCell ref="A57:A59"/>
    <mergeCell ref="B57:B59"/>
    <mergeCell ref="C57:C59"/>
    <mergeCell ref="D57:D59"/>
    <mergeCell ref="E57:E59"/>
    <mergeCell ref="F57:H57"/>
    <mergeCell ref="I57:I59"/>
    <mergeCell ref="J57:J59"/>
    <mergeCell ref="G58:H58"/>
    <mergeCell ref="A61:D61"/>
    <mergeCell ref="G100:H100"/>
    <mergeCell ref="A103:D103"/>
    <mergeCell ref="A96:J96"/>
    <mergeCell ref="A97:J97"/>
    <mergeCell ref="A99:A101"/>
    <mergeCell ref="B99:B101"/>
    <mergeCell ref="C99:C101"/>
    <mergeCell ref="D99:D101"/>
    <mergeCell ref="E99:E101"/>
    <mergeCell ref="F99:H99"/>
    <mergeCell ref="I99:I101"/>
    <mergeCell ref="J99:J10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10 Program Unggulan</vt:lpstr>
      <vt:lpstr>APRIL</vt:lpstr>
      <vt:lpstr>MEI</vt:lpstr>
      <vt:lpstr>JUNI</vt:lpstr>
      <vt:lpstr>JULI</vt:lpstr>
      <vt:lpstr>AGUSTUS</vt:lpstr>
      <vt:lpstr>SEPTEMBER</vt:lpstr>
      <vt:lpstr>OKTOBER PERUBAHAN</vt:lpstr>
      <vt:lpstr>NOVEMBER</vt:lpstr>
      <vt:lpstr>DESEMBER</vt:lpstr>
      <vt:lpstr>'10 Program Unggulan'!Print_Area</vt:lpstr>
      <vt:lpstr>JUNI!Print_Area</vt:lpstr>
      <vt:lpstr>'OKTOBER PERUBAHAN'!Print_Area</vt:lpstr>
      <vt:lpstr>SEPTEMBER!Print_Area</vt:lpstr>
      <vt:lpstr>'10 Program Unggulan'!Print_Titles</vt:lpstr>
      <vt:lpstr>JUNI!Print_Titles</vt:lpstr>
      <vt:lpstr>'OKTOBER PERUBAHAN'!Print_Titles</vt:lpstr>
      <vt:lpstr>SEPTEMBER!Print_Titles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mantul</dc:creator>
  <cp:lastModifiedBy>User</cp:lastModifiedBy>
  <cp:lastPrinted>2023-10-31T02:39:08Z</cp:lastPrinted>
  <dcterms:created xsi:type="dcterms:W3CDTF">2021-01-23T00:02:19Z</dcterms:created>
  <dcterms:modified xsi:type="dcterms:W3CDTF">2023-12-28T13:54:03Z</dcterms:modified>
</cp:coreProperties>
</file>