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-105" yWindow="-45" windowWidth="19425" windowHeight="10365" tabRatio="867" activeTab="12"/>
  </bookViews>
  <sheets>
    <sheet name="kec. sei kunjang(JANUARI)" sheetId="128" r:id="rId1"/>
    <sheet name="FEBRUARI" sheetId="129" r:id="rId2"/>
    <sheet name="MARET" sheetId="130" r:id="rId3"/>
    <sheet name="APRIL" sheetId="131" r:id="rId4"/>
    <sheet name="MEI" sheetId="133" r:id="rId5"/>
    <sheet name="JUNI" sheetId="134" r:id="rId6"/>
    <sheet name="JULI" sheetId="135" r:id="rId7"/>
    <sheet name="AGUSTUS" sheetId="136" r:id="rId8"/>
    <sheet name="SEPTEMBER" sheetId="137" r:id="rId9"/>
    <sheet name="OKTOBER" sheetId="138" r:id="rId10"/>
    <sheet name="OKTOBER PERUBAHAN" sheetId="139" r:id="rId11"/>
    <sheet name="NOVEMBER" sheetId="140" r:id="rId12"/>
    <sheet name="DESEMBER" sheetId="141" r:id="rId13"/>
  </sheets>
  <externalReferences>
    <externalReference r:id="rId14"/>
    <externalReference r:id="rId15"/>
    <externalReference r:id="rId16"/>
    <externalReference r:id="rId17"/>
  </externalReferences>
  <definedNames>
    <definedName name="B_A_P_P_E_D_A">[1]BAPPEDA!$J$5</definedName>
    <definedName name="B_A_W_A_S_D_A">[1]BAWASDA!$J$5</definedName>
    <definedName name="BAGIAN_PEMBERDAYAAN_MASYARAKAT_DESA">[1]PMD!$J$5</definedName>
    <definedName name="Bidang">[2]Sheet3!$G$4:$G$9</definedName>
    <definedName name="DAK_Jenis">[2]Sheet3!$C$4:$C$6</definedName>
    <definedName name="DINAS_KEHUTANAN_PERKEBUNAN">[1]EKBANG!$J$4</definedName>
    <definedName name="DINAS_PENDAPATAN_DAERAH">[1]PMD!$J$5</definedName>
    <definedName name="DINAS_PERINDAGKOP_NAKERTRANS">[1]KESBANG!$J$5</definedName>
    <definedName name="DINAS_PERTAMBANGAN_DAN_LINGKUNGAN_HIDUP">[1]CAPIL!$J$5</definedName>
    <definedName name="DINAS_PU_DAN_PERHUBUNGAN">[1]TAPEM!$J$5</definedName>
    <definedName name="_xlnm.Print_Area" localSheetId="6">JULI!$A$1:$G$114</definedName>
    <definedName name="_xlnm.Print_Area" localSheetId="5">JUNI!$A$1:$G$51</definedName>
    <definedName name="_xlnm.Print_Area" localSheetId="0">'kec. sei kunjang(JANUARI)'!$A$1:$G$119</definedName>
    <definedName name="_xlnm.Print_Area" localSheetId="2">MARET!$A$1:$G$115</definedName>
    <definedName name="_xlnm.Print_Area" localSheetId="10">'OKTOBER PERUBAHAN'!$A$1:$G$114</definedName>
    <definedName name="_xlnm.Print_Titles" localSheetId="6">JULI!$6:$8</definedName>
    <definedName name="_xlnm.Print_Titles" localSheetId="5">JUNI!$6:$8</definedName>
    <definedName name="_xlnm.Print_Titles" localSheetId="2">MARET!$6:$8</definedName>
    <definedName name="_xlnm.Print_Titles" localSheetId="10">'OKTOBER PERUBAHAN'!$6:$8</definedName>
    <definedName name="sssss">[3]DIKBUDPAR!$J$5</definedName>
    <definedName name="subbid">[2]Sheet3!$G$11:$G$16</definedName>
  </definedNames>
  <calcPr calcId="144525" calcMode="manual"/>
</workbook>
</file>

<file path=xl/calcChain.xml><?xml version="1.0" encoding="utf-8"?>
<calcChain xmlns="http://schemas.openxmlformats.org/spreadsheetml/2006/main">
  <c r="H142" i="141" l="1"/>
  <c r="H140" i="141"/>
  <c r="H137" i="141"/>
  <c r="H104" i="141"/>
  <c r="H46" i="141"/>
  <c r="H105" i="141"/>
  <c r="E105" i="141"/>
  <c r="E104" i="141"/>
  <c r="H51" i="141"/>
  <c r="E51" i="141"/>
  <c r="E46" i="141" l="1"/>
  <c r="H45" i="141"/>
  <c r="E45" i="141"/>
  <c r="H35" i="141"/>
  <c r="E35" i="141"/>
  <c r="H32" i="141"/>
  <c r="E32" i="141"/>
  <c r="H20" i="141"/>
  <c r="E20" i="141"/>
  <c r="H146" i="141" l="1"/>
  <c r="H114" i="141"/>
  <c r="H96" i="141"/>
  <c r="H95" i="141"/>
  <c r="H87" i="141"/>
  <c r="H78" i="141"/>
  <c r="H77" i="141"/>
  <c r="H69" i="141"/>
  <c r="E114" i="141"/>
  <c r="E96" i="141"/>
  <c r="E95" i="141"/>
  <c r="E87" i="141"/>
  <c r="E78" i="141"/>
  <c r="E77" i="141"/>
  <c r="E69" i="141"/>
  <c r="E60" i="141"/>
  <c r="H110" i="141"/>
  <c r="E110" i="141"/>
  <c r="E101" i="141"/>
  <c r="H92" i="141"/>
  <c r="E92" i="141"/>
  <c r="H83" i="141"/>
  <c r="E83" i="141"/>
  <c r="H74" i="141"/>
  <c r="E74" i="141"/>
  <c r="H65" i="141"/>
  <c r="E65" i="141"/>
  <c r="H56" i="141"/>
  <c r="E56" i="141"/>
  <c r="H48" i="141" l="1"/>
  <c r="E48" i="141"/>
  <c r="H36" i="141"/>
  <c r="E36" i="141"/>
  <c r="H23" i="141"/>
  <c r="E23" i="141"/>
  <c r="H22" i="141"/>
  <c r="E22" i="141"/>
  <c r="H113" i="141" l="1"/>
  <c r="E113" i="141"/>
  <c r="H14" i="141" l="1"/>
  <c r="H33" i="141"/>
  <c r="E33" i="141"/>
  <c r="H86" i="141" l="1"/>
  <c r="E86" i="141"/>
  <c r="H59" i="141"/>
  <c r="E59" i="141"/>
  <c r="H69" i="140"/>
  <c r="E69" i="140"/>
  <c r="H92" i="140"/>
  <c r="H51" i="140"/>
  <c r="E92" i="140"/>
  <c r="E51" i="140"/>
  <c r="H42" i="141" l="1"/>
  <c r="H43" i="141"/>
  <c r="H139" i="141" s="1"/>
  <c r="D139" i="141" s="1"/>
  <c r="H134" i="141"/>
  <c r="E43" i="141"/>
  <c r="F43" i="141" s="1"/>
  <c r="E42" i="141"/>
  <c r="F23" i="141"/>
  <c r="F22" i="141"/>
  <c r="D20" i="141"/>
  <c r="H19" i="141"/>
  <c r="E19" i="141"/>
  <c r="E14" i="141"/>
  <c r="B235" i="141"/>
  <c r="B191" i="141"/>
  <c r="B125" i="141"/>
  <c r="L240" i="141"/>
  <c r="L196" i="141"/>
  <c r="C184" i="141"/>
  <c r="C228" i="141" s="1"/>
  <c r="C182" i="141"/>
  <c r="C227" i="141" s="1"/>
  <c r="C180" i="141"/>
  <c r="C178" i="141"/>
  <c r="C224" i="141" s="1"/>
  <c r="C176" i="141"/>
  <c r="C223" i="141" s="1"/>
  <c r="C222" i="141" s="1"/>
  <c r="C174" i="141"/>
  <c r="C172" i="141"/>
  <c r="C220" i="141" s="1"/>
  <c r="C170" i="141"/>
  <c r="C219" i="141" s="1"/>
  <c r="C218" i="141" s="1"/>
  <c r="C166" i="141"/>
  <c r="C216" i="141" s="1"/>
  <c r="C164" i="141"/>
  <c r="C215" i="141" s="1"/>
  <c r="C162" i="141"/>
  <c r="C160" i="141"/>
  <c r="C212" i="141" s="1"/>
  <c r="C158" i="141"/>
  <c r="C211" i="141" s="1"/>
  <c r="C210" i="141" s="1"/>
  <c r="C154" i="141"/>
  <c r="C208" i="141" s="1"/>
  <c r="C152" i="141"/>
  <c r="C207" i="141" s="1"/>
  <c r="C150" i="141"/>
  <c r="C148" i="141"/>
  <c r="C204" i="141" s="1"/>
  <c r="H203" i="141"/>
  <c r="C146" i="141"/>
  <c r="C203" i="141" s="1"/>
  <c r="C202" i="141" s="1"/>
  <c r="H200" i="141"/>
  <c r="C142" i="141"/>
  <c r="C200" i="141" s="1"/>
  <c r="C243" i="141" s="1"/>
  <c r="D140" i="141"/>
  <c r="C140" i="141"/>
  <c r="C139" i="141"/>
  <c r="D137" i="141"/>
  <c r="C137" i="141"/>
  <c r="C135" i="141"/>
  <c r="C134" i="141"/>
  <c r="C132" i="141"/>
  <c r="L130" i="141"/>
  <c r="F114" i="141"/>
  <c r="H184" i="141"/>
  <c r="E184" i="141"/>
  <c r="H182" i="141"/>
  <c r="H227" i="141" s="1"/>
  <c r="E182" i="141"/>
  <c r="E227" i="141" s="1"/>
  <c r="H107" i="141"/>
  <c r="D107" i="141" s="1"/>
  <c r="E107" i="141"/>
  <c r="F107" i="141" s="1"/>
  <c r="C107" i="141"/>
  <c r="F105" i="141"/>
  <c r="D105" i="141"/>
  <c r="H178" i="141"/>
  <c r="H224" i="141" s="1"/>
  <c r="D224" i="141" s="1"/>
  <c r="F104" i="141"/>
  <c r="E178" i="141"/>
  <c r="E224" i="141" s="1"/>
  <c r="F224" i="141" s="1"/>
  <c r="D104" i="141"/>
  <c r="H176" i="141"/>
  <c r="F101" i="141"/>
  <c r="E176" i="141"/>
  <c r="D101" i="141"/>
  <c r="H98" i="141"/>
  <c r="D98" i="141" s="1"/>
  <c r="E98" i="141"/>
  <c r="F98" i="141" s="1"/>
  <c r="C98" i="141"/>
  <c r="F96" i="141"/>
  <c r="H172" i="141"/>
  <c r="E172" i="141"/>
  <c r="H170" i="141"/>
  <c r="E170" i="141"/>
  <c r="H89" i="141"/>
  <c r="D89" i="141" s="1"/>
  <c r="E89" i="141"/>
  <c r="F89" i="141" s="1"/>
  <c r="C89" i="141"/>
  <c r="F87" i="141"/>
  <c r="D87" i="141"/>
  <c r="H166" i="141"/>
  <c r="F86" i="141"/>
  <c r="E166" i="141"/>
  <c r="D86" i="141"/>
  <c r="H164" i="141"/>
  <c r="F83" i="141"/>
  <c r="E164" i="141"/>
  <c r="D83" i="141"/>
  <c r="H80" i="141"/>
  <c r="F80" i="141"/>
  <c r="E80" i="141"/>
  <c r="D80" i="141"/>
  <c r="C80" i="141"/>
  <c r="F78" i="141"/>
  <c r="H160" i="141"/>
  <c r="E160" i="141"/>
  <c r="H158" i="141"/>
  <c r="E158" i="141"/>
  <c r="H71" i="141"/>
  <c r="D71" i="141" s="1"/>
  <c r="E71" i="141"/>
  <c r="F71" i="141" s="1"/>
  <c r="C71" i="141"/>
  <c r="F69" i="141"/>
  <c r="D69" i="141"/>
  <c r="H68" i="141"/>
  <c r="H154" i="141" s="1"/>
  <c r="F68" i="141"/>
  <c r="E68" i="141"/>
  <c r="E154" i="141" s="1"/>
  <c r="D68" i="141"/>
  <c r="H152" i="141"/>
  <c r="F65" i="141"/>
  <c r="E152" i="141"/>
  <c r="D65" i="141"/>
  <c r="H62" i="141"/>
  <c r="D62" i="141" s="1"/>
  <c r="E62" i="141"/>
  <c r="F62" i="141" s="1"/>
  <c r="C62" i="141"/>
  <c r="F60" i="141"/>
  <c r="E148" i="141"/>
  <c r="E146" i="141"/>
  <c r="E53" i="141"/>
  <c r="F53" i="141" s="1"/>
  <c r="C53" i="141"/>
  <c r="J52" i="141"/>
  <c r="E142" i="141"/>
  <c r="F48" i="141"/>
  <c r="H47" i="141"/>
  <c r="E47" i="141"/>
  <c r="F47" i="141" s="1"/>
  <c r="F46" i="141"/>
  <c r="E140" i="141"/>
  <c r="F140" i="141" s="1"/>
  <c r="H40" i="141"/>
  <c r="H39" i="141"/>
  <c r="H38" i="141"/>
  <c r="F36" i="141"/>
  <c r="D36" i="141"/>
  <c r="F35" i="141"/>
  <c r="D35" i="141"/>
  <c r="F34" i="141"/>
  <c r="D34" i="141"/>
  <c r="F33" i="141"/>
  <c r="D33" i="141"/>
  <c r="F32" i="141"/>
  <c r="D32" i="141"/>
  <c r="H31" i="141"/>
  <c r="H30" i="141"/>
  <c r="E30" i="141"/>
  <c r="E137" i="141" s="1"/>
  <c r="F137" i="141" s="1"/>
  <c r="H28" i="141"/>
  <c r="H27" i="141"/>
  <c r="H26" i="141"/>
  <c r="H24" i="141"/>
  <c r="F24" i="141"/>
  <c r="E24" i="141"/>
  <c r="D24" i="141"/>
  <c r="D23" i="141"/>
  <c r="H135" i="141"/>
  <c r="D135" i="141" s="1"/>
  <c r="E135" i="141"/>
  <c r="F135" i="141" s="1"/>
  <c r="F20" i="141"/>
  <c r="F19" i="141"/>
  <c r="D19" i="141"/>
  <c r="H18" i="141"/>
  <c r="H17" i="141"/>
  <c r="H16" i="141"/>
  <c r="H15" i="141"/>
  <c r="F14" i="141"/>
  <c r="E134" i="141"/>
  <c r="D14" i="141"/>
  <c r="C11" i="141"/>
  <c r="C9" i="141"/>
  <c r="E139" i="141" l="1"/>
  <c r="F139" i="141" s="1"/>
  <c r="D22" i="141"/>
  <c r="H11" i="141"/>
  <c r="F134" i="141"/>
  <c r="H199" i="141"/>
  <c r="D134" i="141"/>
  <c r="H132" i="141"/>
  <c r="E200" i="141"/>
  <c r="F142" i="141"/>
  <c r="E207" i="141"/>
  <c r="F152" i="141"/>
  <c r="E150" i="141"/>
  <c r="F150" i="141" s="1"/>
  <c r="H207" i="141"/>
  <c r="D152" i="141"/>
  <c r="H150" i="141"/>
  <c r="D150" i="141" s="1"/>
  <c r="E208" i="141"/>
  <c r="F208" i="141" s="1"/>
  <c r="F154" i="141"/>
  <c r="H208" i="141"/>
  <c r="D208" i="141" s="1"/>
  <c r="D154" i="141"/>
  <c r="E211" i="141"/>
  <c r="F158" i="141"/>
  <c r="E156" i="141"/>
  <c r="E212" i="141"/>
  <c r="F212" i="141" s="1"/>
  <c r="F160" i="141"/>
  <c r="E215" i="141"/>
  <c r="F164" i="141"/>
  <c r="E162" i="141"/>
  <c r="F162" i="141" s="1"/>
  <c r="H215" i="141"/>
  <c r="D164" i="141"/>
  <c r="H162" i="141"/>
  <c r="D162" i="141" s="1"/>
  <c r="E216" i="141"/>
  <c r="F216" i="141" s="1"/>
  <c r="F166" i="141"/>
  <c r="H216" i="141"/>
  <c r="D216" i="141" s="1"/>
  <c r="D166" i="141"/>
  <c r="E219" i="141"/>
  <c r="F170" i="141"/>
  <c r="E168" i="141"/>
  <c r="E220" i="141"/>
  <c r="F220" i="141" s="1"/>
  <c r="F172" i="141"/>
  <c r="E223" i="141"/>
  <c r="F176" i="141"/>
  <c r="E174" i="141"/>
  <c r="F174" i="141" s="1"/>
  <c r="H223" i="141"/>
  <c r="D176" i="141"/>
  <c r="H174" i="141"/>
  <c r="D174" i="141" s="1"/>
  <c r="E228" i="141"/>
  <c r="F228" i="141" s="1"/>
  <c r="F184" i="141"/>
  <c r="D200" i="141"/>
  <c r="D203" i="141"/>
  <c r="E203" i="141"/>
  <c r="F146" i="141"/>
  <c r="E144" i="141"/>
  <c r="E204" i="141"/>
  <c r="F148" i="141"/>
  <c r="H211" i="141"/>
  <c r="D158" i="141"/>
  <c r="H156" i="141"/>
  <c r="H212" i="141"/>
  <c r="D212" i="141" s="1"/>
  <c r="D160" i="141"/>
  <c r="H219" i="141"/>
  <c r="D170" i="141"/>
  <c r="H168" i="141"/>
  <c r="H220" i="141"/>
  <c r="D220" i="141" s="1"/>
  <c r="D172" i="141"/>
  <c r="H228" i="141"/>
  <c r="D228" i="141" s="1"/>
  <c r="D184" i="141"/>
  <c r="C206" i="141"/>
  <c r="H60" i="141"/>
  <c r="H53" i="141" s="1"/>
  <c r="E11" i="141"/>
  <c r="D30" i="141"/>
  <c r="F30" i="141"/>
  <c r="D42" i="141"/>
  <c r="F42" i="141"/>
  <c r="D43" i="141"/>
  <c r="D45" i="141"/>
  <c r="F45" i="141"/>
  <c r="D46" i="141"/>
  <c r="D47" i="141"/>
  <c r="D48" i="141"/>
  <c r="D51" i="141"/>
  <c r="F51" i="141"/>
  <c r="D53" i="141"/>
  <c r="D56" i="141"/>
  <c r="F56" i="141"/>
  <c r="D59" i="141"/>
  <c r="F59" i="141"/>
  <c r="D60" i="141"/>
  <c r="D74" i="141"/>
  <c r="F74" i="141"/>
  <c r="D77" i="141"/>
  <c r="F77" i="141"/>
  <c r="D78" i="141"/>
  <c r="D92" i="141"/>
  <c r="F92" i="141"/>
  <c r="D95" i="141"/>
  <c r="F95" i="141"/>
  <c r="D96" i="141"/>
  <c r="D110" i="141"/>
  <c r="F110" i="141"/>
  <c r="D113" i="141"/>
  <c r="F113" i="141"/>
  <c r="D114" i="141"/>
  <c r="C199" i="141"/>
  <c r="D142" i="141"/>
  <c r="C144" i="141"/>
  <c r="C130" i="141" s="1"/>
  <c r="K130" i="141" s="1"/>
  <c r="D146" i="141"/>
  <c r="C244" i="141"/>
  <c r="C156" i="141"/>
  <c r="C214" i="141"/>
  <c r="C168" i="141"/>
  <c r="F178" i="141"/>
  <c r="E180" i="141"/>
  <c r="F180" i="141" s="1"/>
  <c r="C226" i="141"/>
  <c r="F182" i="141"/>
  <c r="F227" i="141"/>
  <c r="E226" i="141"/>
  <c r="F226" i="141" s="1"/>
  <c r="D227" i="141"/>
  <c r="D178" i="141"/>
  <c r="H180" i="141"/>
  <c r="D180" i="141" s="1"/>
  <c r="D182" i="141"/>
  <c r="H114" i="140"/>
  <c r="E114" i="140"/>
  <c r="H105" i="140"/>
  <c r="E105" i="140"/>
  <c r="H96" i="140"/>
  <c r="E96" i="140"/>
  <c r="H86" i="140"/>
  <c r="E86" i="140"/>
  <c r="H9" i="141" l="1"/>
  <c r="H243" i="141"/>
  <c r="D243" i="141" s="1"/>
  <c r="H226" i="141"/>
  <c r="D226" i="141" s="1"/>
  <c r="H148" i="141"/>
  <c r="H204" i="141" s="1"/>
  <c r="E132" i="141"/>
  <c r="E130" i="141" s="1"/>
  <c r="E199" i="141"/>
  <c r="F199" i="141" s="1"/>
  <c r="F144" i="141"/>
  <c r="D223" i="141"/>
  <c r="H222" i="141"/>
  <c r="D222" i="141" s="1"/>
  <c r="F168" i="141"/>
  <c r="F219" i="141"/>
  <c r="E218" i="141"/>
  <c r="F218" i="141" s="1"/>
  <c r="F215" i="141"/>
  <c r="E214" i="141"/>
  <c r="F214" i="141" s="1"/>
  <c r="E243" i="141"/>
  <c r="F243" i="141" s="1"/>
  <c r="F200" i="141"/>
  <c r="D156" i="141"/>
  <c r="D211" i="141"/>
  <c r="H210" i="141"/>
  <c r="D210" i="141" s="1"/>
  <c r="E244" i="141"/>
  <c r="F244" i="141" s="1"/>
  <c r="F204" i="141"/>
  <c r="F223" i="141"/>
  <c r="E222" i="141"/>
  <c r="F222" i="141" s="1"/>
  <c r="D215" i="141"/>
  <c r="H214" i="141"/>
  <c r="D214" i="141" s="1"/>
  <c r="F156" i="141"/>
  <c r="F211" i="141"/>
  <c r="E210" i="141"/>
  <c r="F210" i="141" s="1"/>
  <c r="E206" i="141"/>
  <c r="F206" i="141" s="1"/>
  <c r="F207" i="141"/>
  <c r="D132" i="141"/>
  <c r="H242" i="141"/>
  <c r="H198" i="141"/>
  <c r="D199" i="141"/>
  <c r="C242" i="141"/>
  <c r="C240" i="141" s="1"/>
  <c r="K240" i="141" s="1"/>
  <c r="C198" i="141"/>
  <c r="C196" i="141" s="1"/>
  <c r="K196" i="141" s="1"/>
  <c r="F11" i="141"/>
  <c r="D11" i="141"/>
  <c r="E9" i="141"/>
  <c r="D168" i="141"/>
  <c r="D219" i="141"/>
  <c r="H218" i="141"/>
  <c r="D218" i="141" s="1"/>
  <c r="F203" i="141"/>
  <c r="E202" i="141"/>
  <c r="F202" i="141" s="1"/>
  <c r="D207" i="141"/>
  <c r="H206" i="141"/>
  <c r="D206" i="141" s="1"/>
  <c r="F132" i="141"/>
  <c r="E242" i="141"/>
  <c r="H146" i="140"/>
  <c r="H140" i="140"/>
  <c r="H137" i="140"/>
  <c r="H101" i="140"/>
  <c r="H83" i="140"/>
  <c r="H65" i="140"/>
  <c r="H56" i="140"/>
  <c r="E101" i="140"/>
  <c r="E83" i="140"/>
  <c r="E65" i="140"/>
  <c r="E56" i="140"/>
  <c r="E198" i="141" l="1"/>
  <c r="F198" i="141" s="1"/>
  <c r="D148" i="141"/>
  <c r="H144" i="141"/>
  <c r="F242" i="141"/>
  <c r="E240" i="141"/>
  <c r="D198" i="141"/>
  <c r="H244" i="141"/>
  <c r="D244" i="141" s="1"/>
  <c r="D204" i="141"/>
  <c r="H202" i="141"/>
  <c r="D202" i="141" s="1"/>
  <c r="F130" i="141"/>
  <c r="D130" i="141"/>
  <c r="N130" i="141"/>
  <c r="D242" i="141"/>
  <c r="F9" i="141"/>
  <c r="D9" i="141"/>
  <c r="H48" i="140"/>
  <c r="E48" i="140"/>
  <c r="H47" i="140"/>
  <c r="E47" i="140"/>
  <c r="H46" i="140"/>
  <c r="E46" i="140"/>
  <c r="H43" i="140"/>
  <c r="E43" i="140"/>
  <c r="H42" i="140"/>
  <c r="E42" i="140"/>
  <c r="H36" i="140"/>
  <c r="E36" i="140"/>
  <c r="H35" i="140"/>
  <c r="E35" i="140"/>
  <c r="H33" i="140"/>
  <c r="E33" i="140"/>
  <c r="H32" i="140"/>
  <c r="E32" i="140"/>
  <c r="H30" i="140"/>
  <c r="E30" i="140"/>
  <c r="H24" i="140"/>
  <c r="E24" i="140"/>
  <c r="H23" i="140"/>
  <c r="E23" i="140"/>
  <c r="H20" i="140"/>
  <c r="E20" i="140"/>
  <c r="H14" i="140"/>
  <c r="E14" i="140"/>
  <c r="E196" i="141" l="1"/>
  <c r="F196" i="141" s="1"/>
  <c r="D144" i="141"/>
  <c r="H130" i="141"/>
  <c r="M130" i="141"/>
  <c r="H240" i="141"/>
  <c r="D240" i="141" s="1"/>
  <c r="H196" i="141"/>
  <c r="D196" i="141" s="1"/>
  <c r="M196" i="141" s="1"/>
  <c r="F240" i="141"/>
  <c r="H68" i="140"/>
  <c r="H95" i="140"/>
  <c r="H113" i="140"/>
  <c r="E113" i="140"/>
  <c r="E68" i="140"/>
  <c r="N196" i="141" l="1"/>
  <c r="N240" i="141"/>
  <c r="M240" i="141"/>
  <c r="H45" i="140"/>
  <c r="E45" i="140"/>
  <c r="E95" i="140" l="1"/>
  <c r="H87" i="140"/>
  <c r="E87" i="140"/>
  <c r="H78" i="140"/>
  <c r="H77" i="140"/>
  <c r="E78" i="140"/>
  <c r="E77" i="140"/>
  <c r="H22" i="140" l="1"/>
  <c r="E22" i="140"/>
  <c r="B235" i="140" l="1"/>
  <c r="B191" i="140"/>
  <c r="B125" i="140"/>
  <c r="L240" i="140"/>
  <c r="L196" i="140"/>
  <c r="C184" i="140"/>
  <c r="C228" i="140" s="1"/>
  <c r="C182" i="140"/>
  <c r="C227" i="140" s="1"/>
  <c r="C226" i="140" s="1"/>
  <c r="C180" i="140"/>
  <c r="C178" i="140"/>
  <c r="C224" i="140" s="1"/>
  <c r="C176" i="140"/>
  <c r="C223" i="140" s="1"/>
  <c r="C222" i="140" s="1"/>
  <c r="C174" i="140"/>
  <c r="C172" i="140"/>
  <c r="C168" i="140" s="1"/>
  <c r="C170" i="140"/>
  <c r="C219" i="140" s="1"/>
  <c r="C166" i="140"/>
  <c r="C216" i="140" s="1"/>
  <c r="C164" i="140"/>
  <c r="C215" i="140" s="1"/>
  <c r="C214" i="140" s="1"/>
  <c r="C160" i="140"/>
  <c r="C212" i="140" s="1"/>
  <c r="C158" i="140"/>
  <c r="C211" i="140" s="1"/>
  <c r="C210" i="140" s="1"/>
  <c r="C156" i="140"/>
  <c r="C154" i="140"/>
  <c r="C208" i="140" s="1"/>
  <c r="C152" i="140"/>
  <c r="C207" i="140" s="1"/>
  <c r="C150" i="140"/>
  <c r="C148" i="140"/>
  <c r="C144" i="140" s="1"/>
  <c r="H203" i="140"/>
  <c r="D146" i="140"/>
  <c r="C146" i="140"/>
  <c r="C203" i="140" s="1"/>
  <c r="H200" i="140"/>
  <c r="C142" i="140"/>
  <c r="C200" i="140" s="1"/>
  <c r="C243" i="140" s="1"/>
  <c r="D140" i="140"/>
  <c r="C140" i="140"/>
  <c r="C139" i="140"/>
  <c r="C137" i="140"/>
  <c r="D137" i="140" s="1"/>
  <c r="C135" i="140"/>
  <c r="C134" i="140"/>
  <c r="C199" i="140" s="1"/>
  <c r="L130" i="140"/>
  <c r="F114" i="140"/>
  <c r="D114" i="140"/>
  <c r="H184" i="140"/>
  <c r="F113" i="140"/>
  <c r="E184" i="140"/>
  <c r="D113" i="140"/>
  <c r="H110" i="140"/>
  <c r="H182" i="140" s="1"/>
  <c r="F110" i="140"/>
  <c r="E110" i="140"/>
  <c r="E182" i="140" s="1"/>
  <c r="D110" i="140"/>
  <c r="H107" i="140"/>
  <c r="D107" i="140" s="1"/>
  <c r="E107" i="140"/>
  <c r="F107" i="140" s="1"/>
  <c r="C107" i="140"/>
  <c r="F105" i="140"/>
  <c r="D105" i="140"/>
  <c r="H104" i="140"/>
  <c r="E104" i="140"/>
  <c r="E178" i="140" s="1"/>
  <c r="D104" i="140"/>
  <c r="H176" i="140"/>
  <c r="E176" i="140"/>
  <c r="D101" i="140"/>
  <c r="E98" i="140"/>
  <c r="C98" i="140"/>
  <c r="F96" i="140"/>
  <c r="D96" i="140"/>
  <c r="H172" i="140"/>
  <c r="E172" i="140"/>
  <c r="D95" i="140"/>
  <c r="H170" i="140"/>
  <c r="F92" i="140"/>
  <c r="D92" i="140"/>
  <c r="H89" i="140"/>
  <c r="D89" i="140" s="1"/>
  <c r="E89" i="140"/>
  <c r="F89" i="140" s="1"/>
  <c r="C89" i="140"/>
  <c r="D87" i="140"/>
  <c r="H166" i="140"/>
  <c r="E80" i="140"/>
  <c r="F80" i="140" s="1"/>
  <c r="H164" i="140"/>
  <c r="F83" i="140"/>
  <c r="H80" i="140"/>
  <c r="D80" i="140" s="1"/>
  <c r="C80" i="140"/>
  <c r="F78" i="140"/>
  <c r="D78" i="140"/>
  <c r="H160" i="140"/>
  <c r="F77" i="140"/>
  <c r="E160" i="140"/>
  <c r="D77" i="140"/>
  <c r="H74" i="140"/>
  <c r="H158" i="140" s="1"/>
  <c r="F74" i="140"/>
  <c r="E74" i="140"/>
  <c r="E158" i="140" s="1"/>
  <c r="D74" i="140"/>
  <c r="H71" i="140"/>
  <c r="D71" i="140" s="1"/>
  <c r="E71" i="140"/>
  <c r="F71" i="140" s="1"/>
  <c r="C71" i="140"/>
  <c r="H62" i="140"/>
  <c r="D62" i="140" s="1"/>
  <c r="F69" i="140"/>
  <c r="D69" i="140"/>
  <c r="E154" i="140"/>
  <c r="D68" i="140"/>
  <c r="H152" i="140"/>
  <c r="E152" i="140"/>
  <c r="D65" i="140"/>
  <c r="E62" i="140"/>
  <c r="C62" i="140"/>
  <c r="E60" i="140"/>
  <c r="D60" i="140" s="1"/>
  <c r="H59" i="140"/>
  <c r="E59" i="140"/>
  <c r="D56" i="140"/>
  <c r="C53" i="140"/>
  <c r="J52" i="140"/>
  <c r="F51" i="140"/>
  <c r="E142" i="140"/>
  <c r="D51" i="140"/>
  <c r="F48" i="140"/>
  <c r="D48" i="140"/>
  <c r="F47" i="140"/>
  <c r="D47" i="140"/>
  <c r="H11" i="140" s="1"/>
  <c r="F46" i="140"/>
  <c r="D46" i="140"/>
  <c r="F45" i="140"/>
  <c r="E140" i="140"/>
  <c r="F140" i="140" s="1"/>
  <c r="D45" i="140"/>
  <c r="F43" i="140"/>
  <c r="D43" i="140"/>
  <c r="H139" i="140"/>
  <c r="D139" i="140" s="1"/>
  <c r="F42" i="140"/>
  <c r="E139" i="140"/>
  <c r="F139" i="140" s="1"/>
  <c r="H40" i="140"/>
  <c r="H39" i="140"/>
  <c r="H38" i="140"/>
  <c r="F36" i="140"/>
  <c r="D36" i="140"/>
  <c r="F35" i="140"/>
  <c r="D35" i="140"/>
  <c r="F34" i="140"/>
  <c r="D34" i="140"/>
  <c r="F33" i="140"/>
  <c r="D33" i="140"/>
  <c r="F32" i="140"/>
  <c r="D32" i="140"/>
  <c r="H31" i="140"/>
  <c r="F30" i="140"/>
  <c r="D30" i="140"/>
  <c r="H28" i="140"/>
  <c r="H27" i="140"/>
  <c r="H26" i="140"/>
  <c r="F24" i="140"/>
  <c r="D24" i="140"/>
  <c r="F23" i="140"/>
  <c r="D23" i="140"/>
  <c r="H135" i="140"/>
  <c r="D135" i="140" s="1"/>
  <c r="F22" i="140"/>
  <c r="E135" i="140"/>
  <c r="F135" i="140" s="1"/>
  <c r="F20" i="140"/>
  <c r="D20" i="140"/>
  <c r="H19" i="140"/>
  <c r="F19" i="140"/>
  <c r="E19" i="140"/>
  <c r="D19" i="140" s="1"/>
  <c r="H18" i="140"/>
  <c r="H17" i="140"/>
  <c r="H16" i="140"/>
  <c r="H15" i="140"/>
  <c r="H134" i="140"/>
  <c r="F14" i="140"/>
  <c r="E134" i="140"/>
  <c r="E11" i="140"/>
  <c r="D11" i="140" s="1"/>
  <c r="C11" i="140"/>
  <c r="F11" i="140" l="1"/>
  <c r="E148" i="140"/>
  <c r="F59" i="140"/>
  <c r="F134" i="140"/>
  <c r="D42" i="140"/>
  <c r="F62" i="140"/>
  <c r="H207" i="140"/>
  <c r="D152" i="140"/>
  <c r="E156" i="140"/>
  <c r="F156" i="140" s="1"/>
  <c r="E211" i="140"/>
  <c r="F158" i="140"/>
  <c r="E212" i="140"/>
  <c r="F212" i="140" s="1"/>
  <c r="F160" i="140"/>
  <c r="H216" i="140"/>
  <c r="D216" i="140" s="1"/>
  <c r="D166" i="140"/>
  <c r="E220" i="140"/>
  <c r="F172" i="140"/>
  <c r="E224" i="140"/>
  <c r="F224" i="140" s="1"/>
  <c r="F178" i="140"/>
  <c r="H227" i="140"/>
  <c r="D182" i="140"/>
  <c r="H180" i="140"/>
  <c r="D180" i="140" s="1"/>
  <c r="H228" i="140"/>
  <c r="D228" i="140" s="1"/>
  <c r="D184" i="140"/>
  <c r="C206" i="140"/>
  <c r="H199" i="140"/>
  <c r="D134" i="140"/>
  <c r="H132" i="140"/>
  <c r="C9" i="140"/>
  <c r="E53" i="140"/>
  <c r="D59" i="140"/>
  <c r="F60" i="140"/>
  <c r="H60" i="140"/>
  <c r="H53" i="140" s="1"/>
  <c r="H215" i="140"/>
  <c r="D164" i="140"/>
  <c r="H162" i="140"/>
  <c r="H220" i="140"/>
  <c r="D172" i="140"/>
  <c r="E223" i="140"/>
  <c r="F176" i="140"/>
  <c r="E174" i="140"/>
  <c r="F174" i="140" s="1"/>
  <c r="H178" i="140"/>
  <c r="D203" i="140"/>
  <c r="E166" i="140"/>
  <c r="D86" i="140"/>
  <c r="F87" i="140"/>
  <c r="H168" i="140"/>
  <c r="D168" i="140" s="1"/>
  <c r="H219" i="140"/>
  <c r="D170" i="140"/>
  <c r="F98" i="140"/>
  <c r="H174" i="140"/>
  <c r="D174" i="140" s="1"/>
  <c r="H223" i="140"/>
  <c r="D176" i="140"/>
  <c r="E180" i="140"/>
  <c r="F180" i="140" s="1"/>
  <c r="E227" i="140"/>
  <c r="F182" i="140"/>
  <c r="E228" i="140"/>
  <c r="F228" i="140" s="1"/>
  <c r="F184" i="140"/>
  <c r="C242" i="140"/>
  <c r="C198" i="140"/>
  <c r="D200" i="140"/>
  <c r="E208" i="140"/>
  <c r="F208" i="140" s="1"/>
  <c r="F154" i="140"/>
  <c r="H211" i="140"/>
  <c r="D158" i="140"/>
  <c r="H156" i="140"/>
  <c r="D156" i="140" s="1"/>
  <c r="H212" i="140"/>
  <c r="D212" i="140" s="1"/>
  <c r="D160" i="140"/>
  <c r="E9" i="140"/>
  <c r="D14" i="140"/>
  <c r="D22" i="140"/>
  <c r="E137" i="140"/>
  <c r="F137" i="140" s="1"/>
  <c r="E200" i="140"/>
  <c r="F142" i="140"/>
  <c r="F56" i="140"/>
  <c r="E146" i="140"/>
  <c r="H148" i="140"/>
  <c r="E207" i="140"/>
  <c r="F152" i="140"/>
  <c r="E150" i="140"/>
  <c r="F150" i="140" s="1"/>
  <c r="H154" i="140"/>
  <c r="E164" i="140"/>
  <c r="D83" i="140"/>
  <c r="F86" i="140"/>
  <c r="H98" i="140"/>
  <c r="D98" i="140" s="1"/>
  <c r="F65" i="140"/>
  <c r="F68" i="140"/>
  <c r="F101" i="140"/>
  <c r="F104" i="140"/>
  <c r="C132" i="140"/>
  <c r="C130" i="140" s="1"/>
  <c r="K130" i="140" s="1"/>
  <c r="C162" i="140"/>
  <c r="E170" i="140"/>
  <c r="C204" i="140"/>
  <c r="C244" i="140" s="1"/>
  <c r="C220" i="140"/>
  <c r="C218" i="140" s="1"/>
  <c r="F95" i="140"/>
  <c r="D142" i="140"/>
  <c r="H114" i="139"/>
  <c r="H105" i="139"/>
  <c r="H96" i="139"/>
  <c r="H87" i="139"/>
  <c r="H86" i="139"/>
  <c r="H77" i="139"/>
  <c r="H68" i="139"/>
  <c r="E114" i="139"/>
  <c r="E105" i="139"/>
  <c r="E96" i="139"/>
  <c r="E87" i="139"/>
  <c r="E86" i="139"/>
  <c r="E77" i="139"/>
  <c r="E68" i="139"/>
  <c r="H9" i="140" l="1"/>
  <c r="D223" i="140"/>
  <c r="D219" i="140"/>
  <c r="H218" i="140"/>
  <c r="D218" i="140" s="1"/>
  <c r="E216" i="140"/>
  <c r="F216" i="140" s="1"/>
  <c r="F166" i="140"/>
  <c r="D220" i="140"/>
  <c r="E132" i="140"/>
  <c r="E162" i="140"/>
  <c r="F162" i="140" s="1"/>
  <c r="E215" i="140"/>
  <c r="F164" i="140"/>
  <c r="F207" i="140"/>
  <c r="E206" i="140"/>
  <c r="F206" i="140" s="1"/>
  <c r="C240" i="140"/>
  <c r="F227" i="140"/>
  <c r="E226" i="140"/>
  <c r="F226" i="140" s="1"/>
  <c r="D162" i="140"/>
  <c r="D132" i="140"/>
  <c r="H226" i="140"/>
  <c r="D226" i="140" s="1"/>
  <c r="D227" i="140"/>
  <c r="F220" i="140"/>
  <c r="E219" i="140"/>
  <c r="F170" i="140"/>
  <c r="E168" i="140"/>
  <c r="F168" i="140" s="1"/>
  <c r="C202" i="140"/>
  <c r="C196" i="140" s="1"/>
  <c r="K196" i="140" s="1"/>
  <c r="H208" i="140"/>
  <c r="D208" i="140" s="1"/>
  <c r="D154" i="140"/>
  <c r="H144" i="140"/>
  <c r="D144" i="140" s="1"/>
  <c r="H204" i="140"/>
  <c r="D148" i="140"/>
  <c r="F200" i="140"/>
  <c r="D9" i="140"/>
  <c r="F9" i="140"/>
  <c r="F223" i="140"/>
  <c r="E222" i="140"/>
  <c r="F222" i="140" s="1"/>
  <c r="H206" i="140"/>
  <c r="D206" i="140" s="1"/>
  <c r="D207" i="140"/>
  <c r="E204" i="140"/>
  <c r="F148" i="140"/>
  <c r="E203" i="140"/>
  <c r="F146" i="140"/>
  <c r="E144" i="140"/>
  <c r="F144" i="140" s="1"/>
  <c r="H210" i="140"/>
  <c r="D210" i="140" s="1"/>
  <c r="D211" i="140"/>
  <c r="H243" i="140"/>
  <c r="D243" i="140" s="1"/>
  <c r="H224" i="140"/>
  <c r="D224" i="140" s="1"/>
  <c r="D178" i="140"/>
  <c r="D215" i="140"/>
  <c r="H214" i="140"/>
  <c r="D214" i="140" s="1"/>
  <c r="F53" i="140"/>
  <c r="D53" i="140"/>
  <c r="D199" i="140"/>
  <c r="H242" i="140"/>
  <c r="H198" i="140"/>
  <c r="F211" i="140"/>
  <c r="E210" i="140"/>
  <c r="F210" i="140" s="1"/>
  <c r="H150" i="140"/>
  <c r="D150" i="140" s="1"/>
  <c r="E199" i="140"/>
  <c r="H142" i="139"/>
  <c r="H140" i="139"/>
  <c r="H137" i="139"/>
  <c r="H110" i="139"/>
  <c r="H101" i="139"/>
  <c r="H83" i="139"/>
  <c r="H74" i="139"/>
  <c r="H65" i="139"/>
  <c r="H51" i="139"/>
  <c r="E110" i="139"/>
  <c r="E101" i="139"/>
  <c r="E83" i="139"/>
  <c r="E74" i="139"/>
  <c r="E65" i="139"/>
  <c r="E51" i="139"/>
  <c r="D198" i="140" l="1"/>
  <c r="D242" i="140"/>
  <c r="E218" i="140"/>
  <c r="F218" i="140" s="1"/>
  <c r="F219" i="140"/>
  <c r="E202" i="140"/>
  <c r="F202" i="140" s="1"/>
  <c r="F203" i="140"/>
  <c r="D204" i="140"/>
  <c r="H244" i="140"/>
  <c r="D244" i="140" s="1"/>
  <c r="H202" i="140"/>
  <c r="D202" i="140" s="1"/>
  <c r="H130" i="140"/>
  <c r="K240" i="140"/>
  <c r="E214" i="140"/>
  <c r="F214" i="140" s="1"/>
  <c r="F215" i="140"/>
  <c r="E198" i="140"/>
  <c r="F199" i="140"/>
  <c r="E242" i="140"/>
  <c r="E243" i="140"/>
  <c r="F243" i="140" s="1"/>
  <c r="H222" i="140"/>
  <c r="D222" i="140" s="1"/>
  <c r="E244" i="140"/>
  <c r="F244" i="140" s="1"/>
  <c r="F204" i="140"/>
  <c r="F132" i="140"/>
  <c r="E130" i="140"/>
  <c r="H46" i="139"/>
  <c r="H45" i="139"/>
  <c r="H33" i="139"/>
  <c r="H32" i="139"/>
  <c r="H30" i="139"/>
  <c r="H24" i="139"/>
  <c r="H23" i="139"/>
  <c r="E47" i="139"/>
  <c r="E46" i="139"/>
  <c r="E45" i="139"/>
  <c r="E33" i="139"/>
  <c r="E32" i="139"/>
  <c r="E30" i="139"/>
  <c r="E24" i="139"/>
  <c r="E23" i="139"/>
  <c r="H240" i="140" l="1"/>
  <c r="D240" i="140" s="1"/>
  <c r="E196" i="140"/>
  <c r="F198" i="140"/>
  <c r="N130" i="140"/>
  <c r="F130" i="140"/>
  <c r="D130" i="140"/>
  <c r="M130" i="140" s="1"/>
  <c r="E240" i="140"/>
  <c r="F242" i="140"/>
  <c r="H196" i="140"/>
  <c r="D196" i="140" s="1"/>
  <c r="H104" i="139"/>
  <c r="E104" i="139"/>
  <c r="H78" i="139"/>
  <c r="E78" i="139"/>
  <c r="E60" i="139"/>
  <c r="H60" i="139" s="1"/>
  <c r="M196" i="140" l="1"/>
  <c r="M240" i="140"/>
  <c r="N240" i="140"/>
  <c r="F240" i="140"/>
  <c r="F196" i="140"/>
  <c r="N196" i="140"/>
  <c r="H48" i="139"/>
  <c r="E48" i="139"/>
  <c r="H35" i="139"/>
  <c r="E35" i="139"/>
  <c r="H22" i="139"/>
  <c r="E22" i="139"/>
  <c r="H113" i="139" l="1"/>
  <c r="E113" i="139"/>
  <c r="H69" i="139"/>
  <c r="E69" i="139"/>
  <c r="E59" i="139"/>
  <c r="H42" i="139" l="1"/>
  <c r="H19" i="139"/>
  <c r="E42" i="139"/>
  <c r="E19" i="139"/>
  <c r="L240" i="139" l="1"/>
  <c r="B235" i="139"/>
  <c r="H203" i="139"/>
  <c r="L196" i="139"/>
  <c r="B191" i="139"/>
  <c r="C184" i="139"/>
  <c r="C228" i="139" s="1"/>
  <c r="H182" i="139"/>
  <c r="E182" i="139"/>
  <c r="E227" i="139" s="1"/>
  <c r="C182" i="139"/>
  <c r="C178" i="139"/>
  <c r="C224" i="139" s="1"/>
  <c r="H176" i="139"/>
  <c r="H223" i="139" s="1"/>
  <c r="C176" i="139"/>
  <c r="C223" i="139" s="1"/>
  <c r="C174" i="139"/>
  <c r="C172" i="139"/>
  <c r="C220" i="139" s="1"/>
  <c r="C170" i="139"/>
  <c r="C168" i="139" s="1"/>
  <c r="H166" i="139"/>
  <c r="E166" i="139"/>
  <c r="E216" i="139" s="1"/>
  <c r="C166" i="139"/>
  <c r="C216" i="139" s="1"/>
  <c r="C164" i="139"/>
  <c r="C215" i="139" s="1"/>
  <c r="C160" i="139"/>
  <c r="C212" i="139" s="1"/>
  <c r="C158" i="139"/>
  <c r="H154" i="139"/>
  <c r="H208" i="139" s="1"/>
  <c r="E154" i="139"/>
  <c r="C154" i="139"/>
  <c r="C208" i="139" s="1"/>
  <c r="C152" i="139"/>
  <c r="C207" i="139" s="1"/>
  <c r="C148" i="139"/>
  <c r="C204" i="139" s="1"/>
  <c r="H146" i="139"/>
  <c r="C146" i="139"/>
  <c r="C144" i="139" s="1"/>
  <c r="E142" i="139"/>
  <c r="C142" i="139"/>
  <c r="C200" i="139" s="1"/>
  <c r="D140" i="139"/>
  <c r="C140" i="139"/>
  <c r="E139" i="139"/>
  <c r="C139" i="139"/>
  <c r="D137" i="139"/>
  <c r="C137" i="139"/>
  <c r="C135" i="139"/>
  <c r="C134" i="139"/>
  <c r="L130" i="139"/>
  <c r="B125" i="139"/>
  <c r="F114" i="139"/>
  <c r="D114" i="139"/>
  <c r="H184" i="139"/>
  <c r="H228" i="139" s="1"/>
  <c r="D228" i="139" s="1"/>
  <c r="F113" i="139"/>
  <c r="E184" i="139"/>
  <c r="E228" i="139" s="1"/>
  <c r="F228" i="139" s="1"/>
  <c r="D113" i="139"/>
  <c r="F110" i="139"/>
  <c r="D110" i="139"/>
  <c r="H107" i="139"/>
  <c r="D107" i="139" s="1"/>
  <c r="E107" i="139"/>
  <c r="C107" i="139"/>
  <c r="H98" i="139"/>
  <c r="F101" i="139"/>
  <c r="E176" i="139"/>
  <c r="E223" i="139" s="1"/>
  <c r="F223" i="139" s="1"/>
  <c r="D101" i="139"/>
  <c r="C98" i="139"/>
  <c r="H95" i="139"/>
  <c r="E95" i="139"/>
  <c r="H92" i="139"/>
  <c r="H170" i="139" s="1"/>
  <c r="E92" i="139"/>
  <c r="E170" i="139" s="1"/>
  <c r="C89" i="139"/>
  <c r="F87" i="139"/>
  <c r="D87" i="139"/>
  <c r="F86" i="139"/>
  <c r="D86" i="139"/>
  <c r="H164" i="139"/>
  <c r="H215" i="139" s="1"/>
  <c r="D215" i="139" s="1"/>
  <c r="F83" i="139"/>
  <c r="E164" i="139"/>
  <c r="E215" i="139" s="1"/>
  <c r="D83" i="139"/>
  <c r="H80" i="139"/>
  <c r="E80" i="139"/>
  <c r="F80" i="139" s="1"/>
  <c r="D80" i="139"/>
  <c r="C80" i="139"/>
  <c r="H160" i="139"/>
  <c r="H212" i="139" s="1"/>
  <c r="H158" i="139"/>
  <c r="H71" i="139"/>
  <c r="E71" i="139"/>
  <c r="C71" i="139"/>
  <c r="F69" i="139"/>
  <c r="D69" i="139"/>
  <c r="F68" i="139"/>
  <c r="D68" i="139"/>
  <c r="H152" i="139"/>
  <c r="H207" i="139" s="1"/>
  <c r="F65" i="139"/>
  <c r="E152" i="139"/>
  <c r="E207" i="139" s="1"/>
  <c r="F207" i="139" s="1"/>
  <c r="D65" i="139"/>
  <c r="H62" i="139"/>
  <c r="E62" i="139"/>
  <c r="C62" i="139"/>
  <c r="H59" i="139"/>
  <c r="H56" i="139"/>
  <c r="H53" i="139" s="1"/>
  <c r="E56" i="139"/>
  <c r="E53" i="139" s="1"/>
  <c r="C53" i="139"/>
  <c r="J52" i="139"/>
  <c r="F47" i="139"/>
  <c r="D47" i="139"/>
  <c r="H47" i="139" s="1"/>
  <c r="F46" i="139"/>
  <c r="D46" i="139"/>
  <c r="F45" i="139"/>
  <c r="D45" i="139"/>
  <c r="F43" i="139"/>
  <c r="E43" i="139"/>
  <c r="D43" i="139"/>
  <c r="H139" i="139"/>
  <c r="F42" i="139"/>
  <c r="D42" i="139"/>
  <c r="H40" i="139"/>
  <c r="H39" i="139"/>
  <c r="H38" i="139"/>
  <c r="E36" i="139"/>
  <c r="D36" i="139" s="1"/>
  <c r="F35" i="139"/>
  <c r="D35" i="139"/>
  <c r="F34" i="139"/>
  <c r="D34" i="139"/>
  <c r="H34" i="139" s="1"/>
  <c r="F33" i="139"/>
  <c r="D33" i="139"/>
  <c r="F32" i="139"/>
  <c r="D32" i="139"/>
  <c r="H31" i="139"/>
  <c r="F30" i="139"/>
  <c r="D30" i="139"/>
  <c r="H28" i="139"/>
  <c r="H27" i="139"/>
  <c r="H26" i="139"/>
  <c r="F24" i="139"/>
  <c r="D24" i="139"/>
  <c r="F23" i="139"/>
  <c r="D23" i="139"/>
  <c r="H135" i="139"/>
  <c r="D135" i="139" s="1"/>
  <c r="F22" i="139"/>
  <c r="E135" i="139"/>
  <c r="D22" i="139"/>
  <c r="H20" i="139"/>
  <c r="F20" i="139"/>
  <c r="E20" i="139"/>
  <c r="D20" i="139"/>
  <c r="F19" i="139"/>
  <c r="D19" i="139"/>
  <c r="H18" i="139"/>
  <c r="H17" i="139"/>
  <c r="H16" i="139"/>
  <c r="H15" i="139"/>
  <c r="H14" i="139"/>
  <c r="F14" i="139"/>
  <c r="E14" i="139"/>
  <c r="E134" i="139" s="1"/>
  <c r="F134" i="139" s="1"/>
  <c r="D14" i="139"/>
  <c r="C11" i="139"/>
  <c r="H150" i="139" l="1"/>
  <c r="D212" i="139"/>
  <c r="F71" i="139"/>
  <c r="C9" i="139"/>
  <c r="F164" i="139"/>
  <c r="E162" i="139"/>
  <c r="F162" i="139" s="1"/>
  <c r="F62" i="139"/>
  <c r="D71" i="139"/>
  <c r="D62" i="139"/>
  <c r="D176" i="139"/>
  <c r="D98" i="139"/>
  <c r="C214" i="139"/>
  <c r="F176" i="139"/>
  <c r="D139" i="139"/>
  <c r="C132" i="139"/>
  <c r="F142" i="139"/>
  <c r="F107" i="139"/>
  <c r="F184" i="139"/>
  <c r="D170" i="139"/>
  <c r="H219" i="139"/>
  <c r="H11" i="139"/>
  <c r="D53" i="139"/>
  <c r="F53" i="139"/>
  <c r="H156" i="139"/>
  <c r="H211" i="139"/>
  <c r="D158" i="139"/>
  <c r="F135" i="139"/>
  <c r="E219" i="139"/>
  <c r="F170" i="139"/>
  <c r="E226" i="139"/>
  <c r="H134" i="139"/>
  <c r="F48" i="139"/>
  <c r="D48" i="139"/>
  <c r="F36" i="139"/>
  <c r="F139" i="139"/>
  <c r="H200" i="139"/>
  <c r="D142" i="139"/>
  <c r="C206" i="139"/>
  <c r="C156" i="139"/>
  <c r="C211" i="139"/>
  <c r="C210" i="139" s="1"/>
  <c r="H162" i="139"/>
  <c r="E11" i="139"/>
  <c r="F51" i="139"/>
  <c r="D51" i="139"/>
  <c r="D59" i="139"/>
  <c r="E148" i="139"/>
  <c r="F59" i="139"/>
  <c r="H206" i="139"/>
  <c r="F74" i="139"/>
  <c r="D74" i="139"/>
  <c r="F78" i="139"/>
  <c r="D78" i="139"/>
  <c r="E214" i="139"/>
  <c r="F214" i="139" s="1"/>
  <c r="E89" i="139"/>
  <c r="F89" i="139" s="1"/>
  <c r="D95" i="139"/>
  <c r="E172" i="139"/>
  <c r="E168" i="139" s="1"/>
  <c r="F168" i="139" s="1"/>
  <c r="F95" i="139"/>
  <c r="D105" i="139"/>
  <c r="F105" i="139"/>
  <c r="C199" i="139"/>
  <c r="D146" i="139"/>
  <c r="C150" i="139"/>
  <c r="D152" i="139"/>
  <c r="D154" i="139"/>
  <c r="E158" i="139"/>
  <c r="F166" i="139"/>
  <c r="H180" i="139"/>
  <c r="H227" i="139"/>
  <c r="D182" i="139"/>
  <c r="C219" i="139"/>
  <c r="C218" i="139" s="1"/>
  <c r="D223" i="139"/>
  <c r="D60" i="139"/>
  <c r="F60" i="139"/>
  <c r="E137" i="139"/>
  <c r="F137" i="139" s="1"/>
  <c r="E140" i="139"/>
  <c r="F140" i="139" s="1"/>
  <c r="H148" i="139"/>
  <c r="H144" i="139" s="1"/>
  <c r="D144" i="139" s="1"/>
  <c r="H89" i="139"/>
  <c r="D89" i="139" s="1"/>
  <c r="H172" i="139"/>
  <c r="C244" i="139"/>
  <c r="E150" i="139"/>
  <c r="F150" i="139" s="1"/>
  <c r="F152" i="139"/>
  <c r="C162" i="139"/>
  <c r="D164" i="139"/>
  <c r="H216" i="139"/>
  <c r="D216" i="139" s="1"/>
  <c r="D166" i="139"/>
  <c r="C222" i="139"/>
  <c r="C203" i="139"/>
  <c r="C202" i="139" s="1"/>
  <c r="D207" i="139"/>
  <c r="F215" i="139"/>
  <c r="D56" i="139"/>
  <c r="F56" i="139"/>
  <c r="E160" i="139"/>
  <c r="F77" i="139"/>
  <c r="D77" i="139"/>
  <c r="D92" i="139"/>
  <c r="F92" i="139"/>
  <c r="D96" i="139"/>
  <c r="F96" i="139"/>
  <c r="D104" i="139"/>
  <c r="F104" i="139"/>
  <c r="E98" i="139"/>
  <c r="F98" i="139" s="1"/>
  <c r="D150" i="139"/>
  <c r="E178" i="139"/>
  <c r="C180" i="139"/>
  <c r="C227" i="139"/>
  <c r="C226" i="139" s="1"/>
  <c r="D184" i="139"/>
  <c r="F216" i="139"/>
  <c r="E146" i="139"/>
  <c r="E208" i="139"/>
  <c r="F208" i="139" s="1"/>
  <c r="F154" i="139"/>
  <c r="D160" i="139"/>
  <c r="H178" i="139"/>
  <c r="F182" i="139"/>
  <c r="E180" i="139"/>
  <c r="E200" i="139"/>
  <c r="D208" i="139"/>
  <c r="B235" i="138"/>
  <c r="B191" i="138"/>
  <c r="B125" i="138"/>
  <c r="L240" i="138"/>
  <c r="C227" i="138"/>
  <c r="C226" i="138" s="1"/>
  <c r="C224" i="138"/>
  <c r="C219" i="138"/>
  <c r="C216" i="138"/>
  <c r="C211" i="138"/>
  <c r="C210" i="138" s="1"/>
  <c r="C208" i="138"/>
  <c r="H203" i="138"/>
  <c r="C203" i="138"/>
  <c r="H200" i="138"/>
  <c r="C200" i="138"/>
  <c r="L196" i="138"/>
  <c r="H184" i="138"/>
  <c r="E184" i="138"/>
  <c r="C184" i="138"/>
  <c r="C228" i="138" s="1"/>
  <c r="C182" i="138"/>
  <c r="C180" i="138"/>
  <c r="C178" i="138"/>
  <c r="H176" i="138"/>
  <c r="E176" i="138"/>
  <c r="C176" i="138"/>
  <c r="H172" i="138"/>
  <c r="C172" i="138"/>
  <c r="C220" i="138" s="1"/>
  <c r="D170" i="138"/>
  <c r="C170" i="138"/>
  <c r="H168" i="138"/>
  <c r="C168" i="138"/>
  <c r="C166" i="138"/>
  <c r="H164" i="138"/>
  <c r="E164" i="138"/>
  <c r="C164" i="138"/>
  <c r="C160" i="138"/>
  <c r="C212" i="138" s="1"/>
  <c r="C158" i="138"/>
  <c r="C156" i="138"/>
  <c r="C154" i="138"/>
  <c r="H152" i="138"/>
  <c r="E152" i="138"/>
  <c r="C152" i="138"/>
  <c r="H148" i="138"/>
  <c r="C148" i="138"/>
  <c r="C204" i="138" s="1"/>
  <c r="C244" i="138" s="1"/>
  <c r="H146" i="138"/>
  <c r="D146" i="138"/>
  <c r="C146" i="138"/>
  <c r="H142" i="138"/>
  <c r="D142" i="138"/>
  <c r="C142" i="138"/>
  <c r="H140" i="138"/>
  <c r="D140" i="138" s="1"/>
  <c r="C140" i="138"/>
  <c r="C139" i="138"/>
  <c r="H137" i="138"/>
  <c r="C137" i="138"/>
  <c r="C135" i="138"/>
  <c r="C134" i="138"/>
  <c r="L130" i="138"/>
  <c r="H114" i="138"/>
  <c r="F114" i="138"/>
  <c r="E114" i="138"/>
  <c r="D114" i="138"/>
  <c r="H113" i="138"/>
  <c r="F113" i="138"/>
  <c r="E113" i="138"/>
  <c r="D113" i="138"/>
  <c r="H110" i="138"/>
  <c r="H182" i="138" s="1"/>
  <c r="H227" i="138" s="1"/>
  <c r="F110" i="138"/>
  <c r="E110" i="138"/>
  <c r="E182" i="138" s="1"/>
  <c r="E227" i="138" s="1"/>
  <c r="D110" i="138"/>
  <c r="H107" i="138"/>
  <c r="F107" i="138"/>
  <c r="E107" i="138"/>
  <c r="D107" i="138"/>
  <c r="C107" i="138"/>
  <c r="H105" i="138"/>
  <c r="E105" i="138"/>
  <c r="H104" i="138"/>
  <c r="E104" i="138"/>
  <c r="F101" i="138"/>
  <c r="E101" i="138"/>
  <c r="D101" i="138"/>
  <c r="C98" i="138"/>
  <c r="H96" i="138"/>
  <c r="E96" i="138"/>
  <c r="H95" i="138"/>
  <c r="E95" i="138"/>
  <c r="E172" i="138" s="1"/>
  <c r="H92" i="138"/>
  <c r="H170" i="138" s="1"/>
  <c r="H219" i="138" s="1"/>
  <c r="E92" i="138"/>
  <c r="H89" i="138"/>
  <c r="E89" i="138"/>
  <c r="F89" i="138" s="1"/>
  <c r="C89" i="138"/>
  <c r="H87" i="138"/>
  <c r="F87" i="138"/>
  <c r="E87" i="138"/>
  <c r="D87" i="138"/>
  <c r="H86" i="138"/>
  <c r="H166" i="138" s="1"/>
  <c r="H216" i="138" s="1"/>
  <c r="D216" i="138" s="1"/>
  <c r="F86" i="138"/>
  <c r="E86" i="138"/>
  <c r="E166" i="138" s="1"/>
  <c r="E216" i="138" s="1"/>
  <c r="F216" i="138" s="1"/>
  <c r="D86" i="138"/>
  <c r="H83" i="138"/>
  <c r="F83" i="138"/>
  <c r="E83" i="138"/>
  <c r="D83" i="138"/>
  <c r="H80" i="138"/>
  <c r="F80" i="138"/>
  <c r="E80" i="138"/>
  <c r="D80" i="138"/>
  <c r="C80" i="138"/>
  <c r="H78" i="138"/>
  <c r="E78" i="138"/>
  <c r="H77" i="138"/>
  <c r="H160" i="138" s="1"/>
  <c r="E77" i="138"/>
  <c r="H74" i="138"/>
  <c r="H158" i="138" s="1"/>
  <c r="H211" i="138" s="1"/>
  <c r="E74" i="138"/>
  <c r="H71" i="138"/>
  <c r="C71" i="138"/>
  <c r="H69" i="138"/>
  <c r="F69" i="138"/>
  <c r="E69" i="138"/>
  <c r="D69" i="138"/>
  <c r="H68" i="138"/>
  <c r="H154" i="138" s="1"/>
  <c r="H208" i="138" s="1"/>
  <c r="D208" i="138" s="1"/>
  <c r="F68" i="138"/>
  <c r="E68" i="138"/>
  <c r="E154" i="138" s="1"/>
  <c r="E208" i="138" s="1"/>
  <c r="F208" i="138" s="1"/>
  <c r="D68" i="138"/>
  <c r="H65" i="138"/>
  <c r="F65" i="138"/>
  <c r="E65" i="138"/>
  <c r="D65" i="138"/>
  <c r="H62" i="138"/>
  <c r="F62" i="138"/>
  <c r="E62" i="138"/>
  <c r="D62" i="138"/>
  <c r="C62" i="138"/>
  <c r="H60" i="138"/>
  <c r="E60" i="138"/>
  <c r="H59" i="138"/>
  <c r="E59" i="138"/>
  <c r="E148" i="138" s="1"/>
  <c r="H56" i="138"/>
  <c r="E56" i="138"/>
  <c r="H53" i="138"/>
  <c r="E53" i="138"/>
  <c r="C53" i="138"/>
  <c r="J52" i="138"/>
  <c r="H51" i="138"/>
  <c r="F51" i="138"/>
  <c r="E51" i="138"/>
  <c r="E142" i="138" s="1"/>
  <c r="F142" i="138" s="1"/>
  <c r="D51" i="138"/>
  <c r="H48" i="138"/>
  <c r="F48" i="138"/>
  <c r="E48" i="138"/>
  <c r="D48" i="138"/>
  <c r="F47" i="138"/>
  <c r="E47" i="138"/>
  <c r="D47" i="138"/>
  <c r="H47" i="138" s="1"/>
  <c r="H46" i="138"/>
  <c r="F46" i="138"/>
  <c r="E46" i="138"/>
  <c r="D46" i="138"/>
  <c r="H45" i="138"/>
  <c r="F45" i="138"/>
  <c r="E45" i="138"/>
  <c r="E140" i="138" s="1"/>
  <c r="F140" i="138" s="1"/>
  <c r="D45" i="138"/>
  <c r="E43" i="138"/>
  <c r="D43" i="138" s="1"/>
  <c r="H42" i="138"/>
  <c r="H139" i="138" s="1"/>
  <c r="D139" i="138" s="1"/>
  <c r="E42" i="138"/>
  <c r="E139" i="138" s="1"/>
  <c r="F139" i="138" s="1"/>
  <c r="H40" i="138"/>
  <c r="H39" i="138"/>
  <c r="H38" i="138"/>
  <c r="E36" i="138"/>
  <c r="F36" i="138" s="1"/>
  <c r="F35" i="138"/>
  <c r="D35" i="138"/>
  <c r="H35" i="138" s="1"/>
  <c r="F34" i="138"/>
  <c r="D34" i="138"/>
  <c r="H34" i="138" s="1"/>
  <c r="H33" i="138"/>
  <c r="E33" i="138"/>
  <c r="D33" i="138" s="1"/>
  <c r="H32" i="138"/>
  <c r="E32" i="138"/>
  <c r="D32" i="138" s="1"/>
  <c r="H31" i="138"/>
  <c r="F30" i="138"/>
  <c r="E30" i="138"/>
  <c r="E137" i="138" s="1"/>
  <c r="F137" i="138" s="1"/>
  <c r="D30" i="138"/>
  <c r="H30" i="138" s="1"/>
  <c r="H28" i="138"/>
  <c r="H27" i="138"/>
  <c r="H26" i="138"/>
  <c r="H24" i="138"/>
  <c r="E24" i="138"/>
  <c r="D24" i="138" s="1"/>
  <c r="H23" i="138"/>
  <c r="E23" i="138"/>
  <c r="D23" i="138" s="1"/>
  <c r="H22" i="138"/>
  <c r="H135" i="138" s="1"/>
  <c r="D135" i="138" s="1"/>
  <c r="E22" i="138"/>
  <c r="E135" i="138" s="1"/>
  <c r="F135" i="138" s="1"/>
  <c r="H20" i="138"/>
  <c r="E20" i="138"/>
  <c r="D20" i="138" s="1"/>
  <c r="H19" i="138"/>
  <c r="E19" i="138"/>
  <c r="D19" i="138" s="1"/>
  <c r="H18" i="138"/>
  <c r="H17" i="138"/>
  <c r="H16" i="138"/>
  <c r="H11" i="138" s="1"/>
  <c r="H15" i="138"/>
  <c r="H14" i="138"/>
  <c r="H134" i="138" s="1"/>
  <c r="E14" i="138"/>
  <c r="E134" i="138" s="1"/>
  <c r="E11" i="138"/>
  <c r="D11" i="138" s="1"/>
  <c r="C11" i="138"/>
  <c r="C9" i="138" s="1"/>
  <c r="D203" i="139" l="1"/>
  <c r="F227" i="139"/>
  <c r="F180" i="139"/>
  <c r="C130" i="139"/>
  <c r="K130" i="139" s="1"/>
  <c r="H220" i="139"/>
  <c r="D220" i="139" s="1"/>
  <c r="D172" i="139"/>
  <c r="H214" i="139"/>
  <c r="D214" i="139" s="1"/>
  <c r="D178" i="139"/>
  <c r="H224" i="139"/>
  <c r="H174" i="139"/>
  <c r="D174" i="139" s="1"/>
  <c r="E144" i="139"/>
  <c r="F144" i="139" s="1"/>
  <c r="E203" i="139"/>
  <c r="F146" i="139"/>
  <c r="H204" i="139"/>
  <c r="D148" i="139"/>
  <c r="E206" i="139"/>
  <c r="F206" i="139" s="1"/>
  <c r="C242" i="139"/>
  <c r="C198" i="139"/>
  <c r="C196" i="139" s="1"/>
  <c r="K196" i="139" s="1"/>
  <c r="E220" i="139"/>
  <c r="F220" i="139" s="1"/>
  <c r="F172" i="139"/>
  <c r="D206" i="139"/>
  <c r="D162" i="139"/>
  <c r="F226" i="139"/>
  <c r="E132" i="139"/>
  <c r="D156" i="139"/>
  <c r="H9" i="139"/>
  <c r="D180" i="139"/>
  <c r="D211" i="139"/>
  <c r="H210" i="139"/>
  <c r="D210" i="139" s="1"/>
  <c r="F200" i="139"/>
  <c r="C243" i="139"/>
  <c r="H243" i="139"/>
  <c r="D200" i="139"/>
  <c r="D219" i="139"/>
  <c r="D227" i="139"/>
  <c r="H226" i="139"/>
  <c r="D226" i="139" s="1"/>
  <c r="F158" i="139"/>
  <c r="E156" i="139"/>
  <c r="F156" i="139" s="1"/>
  <c r="E211" i="139"/>
  <c r="E204" i="139"/>
  <c r="F148" i="139"/>
  <c r="E199" i="139"/>
  <c r="H199" i="139"/>
  <c r="D134" i="139"/>
  <c r="H132" i="139"/>
  <c r="F219" i="139"/>
  <c r="H168" i="139"/>
  <c r="D168" i="139" s="1"/>
  <c r="E224" i="139"/>
  <c r="F178" i="139"/>
  <c r="E174" i="139"/>
  <c r="F174" i="139" s="1"/>
  <c r="E212" i="139"/>
  <c r="F212" i="139" s="1"/>
  <c r="F160" i="139"/>
  <c r="F11" i="139"/>
  <c r="D11" i="139"/>
  <c r="E9" i="139"/>
  <c r="E204" i="138"/>
  <c r="F148" i="138"/>
  <c r="E132" i="138"/>
  <c r="E199" i="138"/>
  <c r="F134" i="138"/>
  <c r="H199" i="138"/>
  <c r="D134" i="138"/>
  <c r="H132" i="138"/>
  <c r="H212" i="138"/>
  <c r="D212" i="138" s="1"/>
  <c r="D160" i="138"/>
  <c r="E220" i="138"/>
  <c r="F220" i="138" s="1"/>
  <c r="F172" i="138"/>
  <c r="D53" i="138"/>
  <c r="F53" i="138"/>
  <c r="F74" i="138"/>
  <c r="E158" i="138"/>
  <c r="D74" i="138"/>
  <c r="F78" i="138"/>
  <c r="D78" i="138"/>
  <c r="D105" i="138"/>
  <c r="F105" i="138"/>
  <c r="F227" i="138"/>
  <c r="H215" i="138"/>
  <c r="D164" i="138"/>
  <c r="H162" i="138"/>
  <c r="D162" i="138" s="1"/>
  <c r="H220" i="138"/>
  <c r="D220" i="138" s="1"/>
  <c r="D172" i="138"/>
  <c r="E223" i="138"/>
  <c r="F176" i="138"/>
  <c r="E228" i="138"/>
  <c r="F228" i="138" s="1"/>
  <c r="F184" i="138"/>
  <c r="F11" i="138"/>
  <c r="F14" i="138"/>
  <c r="F19" i="138"/>
  <c r="F20" i="138"/>
  <c r="F22" i="138"/>
  <c r="F23" i="138"/>
  <c r="F24" i="138"/>
  <c r="F32" i="138"/>
  <c r="F33" i="138"/>
  <c r="D36" i="138"/>
  <c r="F42" i="138"/>
  <c r="F43" i="138"/>
  <c r="H210" i="138"/>
  <c r="D210" i="138" s="1"/>
  <c r="D211" i="138"/>
  <c r="D89" i="138"/>
  <c r="C144" i="138"/>
  <c r="C150" i="138"/>
  <c r="C207" i="138"/>
  <c r="C206" i="138" s="1"/>
  <c r="D154" i="138"/>
  <c r="H156" i="138"/>
  <c r="D156" i="138" s="1"/>
  <c r="H223" i="138"/>
  <c r="D176" i="138"/>
  <c r="D182" i="138"/>
  <c r="H228" i="138"/>
  <c r="D228" i="138" s="1"/>
  <c r="D184" i="138"/>
  <c r="E200" i="138"/>
  <c r="C202" i="138"/>
  <c r="E146" i="138"/>
  <c r="D56" i="138"/>
  <c r="F56" i="138"/>
  <c r="D60" i="138"/>
  <c r="F60" i="138"/>
  <c r="E71" i="138"/>
  <c r="F71" i="138" s="1"/>
  <c r="F77" i="138"/>
  <c r="D77" i="138"/>
  <c r="D96" i="138"/>
  <c r="F96" i="138"/>
  <c r="E178" i="138"/>
  <c r="E174" i="138" s="1"/>
  <c r="F174" i="138" s="1"/>
  <c r="D104" i="138"/>
  <c r="F104" i="138"/>
  <c r="E98" i="138"/>
  <c r="F98" i="138" s="1"/>
  <c r="E170" i="138"/>
  <c r="D92" i="138"/>
  <c r="F92" i="138"/>
  <c r="H226" i="138"/>
  <c r="D226" i="138" s="1"/>
  <c r="D227" i="138"/>
  <c r="C199" i="138"/>
  <c r="C132" i="138"/>
  <c r="D137" i="138"/>
  <c r="H204" i="138"/>
  <c r="D148" i="138"/>
  <c r="E207" i="138"/>
  <c r="F152" i="138"/>
  <c r="E150" i="138"/>
  <c r="F150" i="138" s="1"/>
  <c r="F154" i="138"/>
  <c r="E160" i="138"/>
  <c r="C215" i="138"/>
  <c r="C214" i="138" s="1"/>
  <c r="C162" i="138"/>
  <c r="D166" i="138"/>
  <c r="D168" i="138"/>
  <c r="E180" i="138"/>
  <c r="F180" i="138" s="1"/>
  <c r="F182" i="138"/>
  <c r="D200" i="138"/>
  <c r="C218" i="138"/>
  <c r="D14" i="138"/>
  <c r="D22" i="138"/>
  <c r="D42" i="138"/>
  <c r="D71" i="138"/>
  <c r="D219" i="138"/>
  <c r="H218" i="138"/>
  <c r="H98" i="138"/>
  <c r="D98" i="138" s="1"/>
  <c r="H178" i="138"/>
  <c r="H174" i="138" s="1"/>
  <c r="D174" i="138" s="1"/>
  <c r="H144" i="138"/>
  <c r="D144" i="138" s="1"/>
  <c r="H150" i="138"/>
  <c r="D150" i="138" s="1"/>
  <c r="H207" i="138"/>
  <c r="D152" i="138"/>
  <c r="D158" i="138"/>
  <c r="E162" i="138"/>
  <c r="F162" i="138" s="1"/>
  <c r="E215" i="138"/>
  <c r="F164" i="138"/>
  <c r="F166" i="138"/>
  <c r="C174" i="138"/>
  <c r="C223" i="138"/>
  <c r="C222" i="138" s="1"/>
  <c r="H180" i="138"/>
  <c r="D180" i="138" s="1"/>
  <c r="D203" i="138"/>
  <c r="H202" i="138"/>
  <c r="D59" i="138"/>
  <c r="F59" i="138"/>
  <c r="D95" i="138"/>
  <c r="F95" i="138"/>
  <c r="H45" i="137"/>
  <c r="E45" i="137"/>
  <c r="C240" i="139" l="1"/>
  <c r="K240" i="139" s="1"/>
  <c r="D243" i="139"/>
  <c r="H218" i="139"/>
  <c r="D218" i="139" s="1"/>
  <c r="E218" i="139"/>
  <c r="F218" i="139" s="1"/>
  <c r="H242" i="139"/>
  <c r="D199" i="139"/>
  <c r="H198" i="139"/>
  <c r="E210" i="139"/>
  <c r="F210" i="139" s="1"/>
  <c r="F211" i="139"/>
  <c r="D224" i="139"/>
  <c r="H222" i="139"/>
  <c r="D222" i="139" s="1"/>
  <c r="E242" i="139"/>
  <c r="E198" i="139"/>
  <c r="F199" i="139"/>
  <c r="E130" i="139"/>
  <c r="F132" i="139"/>
  <c r="F203" i="139"/>
  <c r="E202" i="139"/>
  <c r="F202" i="139" s="1"/>
  <c r="F224" i="139"/>
  <c r="E222" i="139"/>
  <c r="F222" i="139" s="1"/>
  <c r="D132" i="139"/>
  <c r="H130" i="139"/>
  <c r="F9" i="139"/>
  <c r="D9" i="139"/>
  <c r="E244" i="139"/>
  <c r="F244" i="139" s="1"/>
  <c r="F204" i="139"/>
  <c r="E243" i="139"/>
  <c r="F243" i="139" s="1"/>
  <c r="H244" i="139"/>
  <c r="D244" i="139" s="1"/>
  <c r="D204" i="139"/>
  <c r="H202" i="139"/>
  <c r="D202" i="139" s="1"/>
  <c r="D223" i="138"/>
  <c r="D215" i="138"/>
  <c r="H214" i="138"/>
  <c r="D214" i="138" s="1"/>
  <c r="E211" i="138"/>
  <c r="F158" i="138"/>
  <c r="E156" i="138"/>
  <c r="F156" i="138" s="1"/>
  <c r="H130" i="138"/>
  <c r="D132" i="138"/>
  <c r="F204" i="138"/>
  <c r="D202" i="138"/>
  <c r="D218" i="138"/>
  <c r="E212" i="138"/>
  <c r="F212" i="138" s="1"/>
  <c r="F160" i="138"/>
  <c r="E206" i="138"/>
  <c r="F206" i="138" s="1"/>
  <c r="F207" i="138"/>
  <c r="C130" i="138"/>
  <c r="K130" i="138" s="1"/>
  <c r="E203" i="138"/>
  <c r="F146" i="138"/>
  <c r="E144" i="138"/>
  <c r="F144" i="138" s="1"/>
  <c r="E226" i="138"/>
  <c r="F226" i="138" s="1"/>
  <c r="E242" i="138"/>
  <c r="F199" i="138"/>
  <c r="E198" i="138"/>
  <c r="E214" i="138"/>
  <c r="F214" i="138" s="1"/>
  <c r="F215" i="138"/>
  <c r="D207" i="138"/>
  <c r="H206" i="138"/>
  <c r="D206" i="138" s="1"/>
  <c r="H243" i="138"/>
  <c r="C242" i="138"/>
  <c r="C198" i="138"/>
  <c r="C196" i="138" s="1"/>
  <c r="K196" i="138" s="1"/>
  <c r="C243" i="138"/>
  <c r="H242" i="138"/>
  <c r="D199" i="138"/>
  <c r="H198" i="138"/>
  <c r="F132" i="138"/>
  <c r="H224" i="138"/>
  <c r="D224" i="138" s="1"/>
  <c r="D178" i="138"/>
  <c r="E9" i="138"/>
  <c r="D204" i="138"/>
  <c r="E219" i="138"/>
  <c r="F170" i="138"/>
  <c r="E168" i="138"/>
  <c r="F168" i="138" s="1"/>
  <c r="E224" i="138"/>
  <c r="F224" i="138" s="1"/>
  <c r="F178" i="138"/>
  <c r="F200" i="138"/>
  <c r="F223" i="138"/>
  <c r="H9" i="138"/>
  <c r="H142" i="137"/>
  <c r="H140" i="137"/>
  <c r="H137" i="137"/>
  <c r="H78" i="137"/>
  <c r="H87" i="137"/>
  <c r="H86" i="137"/>
  <c r="H95" i="137"/>
  <c r="H96" i="137"/>
  <c r="H105" i="137"/>
  <c r="H104" i="137"/>
  <c r="E105" i="137"/>
  <c r="E104" i="137"/>
  <c r="E96" i="137"/>
  <c r="E95" i="137"/>
  <c r="E87" i="137"/>
  <c r="E86" i="137"/>
  <c r="E78" i="137"/>
  <c r="H83" i="137"/>
  <c r="H92" i="137"/>
  <c r="E92" i="137"/>
  <c r="E83" i="137"/>
  <c r="H51" i="137"/>
  <c r="E51" i="137"/>
  <c r="E240" i="139" l="1"/>
  <c r="F242" i="139"/>
  <c r="N130" i="139"/>
  <c r="F130" i="139"/>
  <c r="D130" i="139"/>
  <c r="M130" i="139" s="1"/>
  <c r="H196" i="139"/>
  <c r="D196" i="139" s="1"/>
  <c r="D198" i="139"/>
  <c r="F198" i="139"/>
  <c r="E196" i="139"/>
  <c r="D242" i="139"/>
  <c r="H240" i="139"/>
  <c r="D240" i="139" s="1"/>
  <c r="D9" i="138"/>
  <c r="F9" i="138"/>
  <c r="F198" i="138"/>
  <c r="F211" i="138"/>
  <c r="E210" i="138"/>
  <c r="F210" i="138" s="1"/>
  <c r="H222" i="138"/>
  <c r="D222" i="138" s="1"/>
  <c r="E222" i="138"/>
  <c r="F222" i="138" s="1"/>
  <c r="E218" i="138"/>
  <c r="F218" i="138" s="1"/>
  <c r="F219" i="138"/>
  <c r="D198" i="138"/>
  <c r="C240" i="138"/>
  <c r="K240" i="138" s="1"/>
  <c r="F242" i="138"/>
  <c r="E202" i="138"/>
  <c r="F202" i="138" s="1"/>
  <c r="F203" i="138"/>
  <c r="E243" i="138"/>
  <c r="F243" i="138" s="1"/>
  <c r="H244" i="138"/>
  <c r="D244" i="138" s="1"/>
  <c r="E130" i="138"/>
  <c r="D242" i="138"/>
  <c r="D243" i="138"/>
  <c r="E244" i="138"/>
  <c r="F244" i="138" s="1"/>
  <c r="H23" i="137"/>
  <c r="H46" i="137"/>
  <c r="H48" i="137"/>
  <c r="H19" i="137"/>
  <c r="E48" i="137"/>
  <c r="E46" i="137"/>
  <c r="E30" i="137"/>
  <c r="E23" i="137"/>
  <c r="E19" i="137"/>
  <c r="M240" i="139" l="1"/>
  <c r="N196" i="139"/>
  <c r="F196" i="139"/>
  <c r="M196" i="139"/>
  <c r="F240" i="139"/>
  <c r="N240" i="139"/>
  <c r="F130" i="138"/>
  <c r="D130" i="138"/>
  <c r="M130" i="138" s="1"/>
  <c r="N130" i="138"/>
  <c r="H196" i="138"/>
  <c r="D196" i="138" s="1"/>
  <c r="M196" i="138" s="1"/>
  <c r="E196" i="138"/>
  <c r="H240" i="138"/>
  <c r="D240" i="138" s="1"/>
  <c r="M240" i="138" s="1"/>
  <c r="E240" i="138"/>
  <c r="H60" i="137"/>
  <c r="H59" i="137"/>
  <c r="H69" i="137"/>
  <c r="H68" i="137"/>
  <c r="H77" i="137"/>
  <c r="H113" i="137"/>
  <c r="H114" i="137"/>
  <c r="E114" i="137"/>
  <c r="E113" i="137"/>
  <c r="E69" i="137"/>
  <c r="E68" i="137"/>
  <c r="E60" i="137"/>
  <c r="E59" i="137"/>
  <c r="H65" i="137"/>
  <c r="E65" i="137"/>
  <c r="N196" i="138" l="1"/>
  <c r="F196" i="138"/>
  <c r="N240" i="138"/>
  <c r="F240" i="138"/>
  <c r="H42" i="137"/>
  <c r="E42" i="137"/>
  <c r="H14" i="137" l="1"/>
  <c r="E14" i="137"/>
  <c r="H22" i="137" l="1"/>
  <c r="E22" i="137"/>
  <c r="B125" i="137" l="1"/>
  <c r="L240" i="137"/>
  <c r="B235" i="137"/>
  <c r="E227" i="137"/>
  <c r="C220" i="137"/>
  <c r="C215" i="137"/>
  <c r="C214" i="137" s="1"/>
  <c r="C208" i="137"/>
  <c r="C204" i="137"/>
  <c r="L196" i="137"/>
  <c r="B191" i="137"/>
  <c r="C184" i="137"/>
  <c r="C228" i="137" s="1"/>
  <c r="E182" i="137"/>
  <c r="C182" i="137"/>
  <c r="C178" i="137"/>
  <c r="C224" i="137" s="1"/>
  <c r="H176" i="137"/>
  <c r="H223" i="137" s="1"/>
  <c r="C176" i="137"/>
  <c r="C223" i="137" s="1"/>
  <c r="D223" i="137" s="1"/>
  <c r="C174" i="137"/>
  <c r="E172" i="137"/>
  <c r="E220" i="137" s="1"/>
  <c r="F220" i="137" s="1"/>
  <c r="C172" i="137"/>
  <c r="H170" i="137"/>
  <c r="H219" i="137" s="1"/>
  <c r="C170" i="137"/>
  <c r="C219" i="137" s="1"/>
  <c r="C218" i="137" s="1"/>
  <c r="C168" i="137"/>
  <c r="E166" i="137"/>
  <c r="E216" i="137" s="1"/>
  <c r="F216" i="137" s="1"/>
  <c r="C166" i="137"/>
  <c r="C216" i="137" s="1"/>
  <c r="E164" i="137"/>
  <c r="E215" i="137" s="1"/>
  <c r="C164" i="137"/>
  <c r="C162" i="137"/>
  <c r="C160" i="137"/>
  <c r="C212" i="137" s="1"/>
  <c r="C158" i="137"/>
  <c r="H154" i="137"/>
  <c r="D154" i="137" s="1"/>
  <c r="C154" i="137"/>
  <c r="H152" i="137"/>
  <c r="H207" i="137" s="1"/>
  <c r="D207" i="137" s="1"/>
  <c r="C152" i="137"/>
  <c r="C207" i="137" s="1"/>
  <c r="C150" i="137"/>
  <c r="C148" i="137"/>
  <c r="H146" i="137"/>
  <c r="D146" i="137" s="1"/>
  <c r="C146" i="137"/>
  <c r="C203" i="137" s="1"/>
  <c r="C202" i="137" s="1"/>
  <c r="C144" i="137"/>
  <c r="H200" i="137"/>
  <c r="C142" i="137"/>
  <c r="C200" i="137" s="1"/>
  <c r="E140" i="137"/>
  <c r="F140" i="137" s="1"/>
  <c r="D140" i="137"/>
  <c r="C140" i="137"/>
  <c r="E139" i="137"/>
  <c r="F139" i="137" s="1"/>
  <c r="C139" i="137"/>
  <c r="D137" i="137"/>
  <c r="C137" i="137"/>
  <c r="C135" i="137"/>
  <c r="E134" i="137"/>
  <c r="C134" i="137"/>
  <c r="C132" i="137" s="1"/>
  <c r="L130" i="137"/>
  <c r="F114" i="137"/>
  <c r="D114" i="137"/>
  <c r="H184" i="137"/>
  <c r="F113" i="137"/>
  <c r="E184" i="137"/>
  <c r="E228" i="137" s="1"/>
  <c r="F228" i="137" s="1"/>
  <c r="D113" i="137"/>
  <c r="H110" i="137"/>
  <c r="H182" i="137" s="1"/>
  <c r="F110" i="137"/>
  <c r="E110" i="137"/>
  <c r="D110" i="137"/>
  <c r="H107" i="137"/>
  <c r="D107" i="137" s="1"/>
  <c r="E107" i="137"/>
  <c r="F107" i="137" s="1"/>
  <c r="C107" i="137"/>
  <c r="F105" i="137"/>
  <c r="H178" i="137"/>
  <c r="D104" i="137"/>
  <c r="F101" i="137"/>
  <c r="E101" i="137"/>
  <c r="E176" i="137" s="1"/>
  <c r="F176" i="137" s="1"/>
  <c r="D101" i="137"/>
  <c r="H98" i="137"/>
  <c r="D98" i="137" s="1"/>
  <c r="C98" i="137"/>
  <c r="F96" i="137"/>
  <c r="D96" i="137"/>
  <c r="H172" i="137"/>
  <c r="H168" i="137" s="1"/>
  <c r="D168" i="137" s="1"/>
  <c r="F95" i="137"/>
  <c r="D95" i="137"/>
  <c r="D92" i="137"/>
  <c r="H89" i="137"/>
  <c r="C89" i="137"/>
  <c r="F87" i="137"/>
  <c r="D87" i="137"/>
  <c r="H166" i="137"/>
  <c r="F86" i="137"/>
  <c r="D86" i="137"/>
  <c r="H164" i="137"/>
  <c r="H215" i="137" s="1"/>
  <c r="F83" i="137"/>
  <c r="D83" i="137"/>
  <c r="H80" i="137"/>
  <c r="D80" i="137" s="1"/>
  <c r="E80" i="137"/>
  <c r="C80" i="137"/>
  <c r="F78" i="137"/>
  <c r="D78" i="137"/>
  <c r="H160" i="137"/>
  <c r="E77" i="137"/>
  <c r="D77" i="137"/>
  <c r="H74" i="137"/>
  <c r="H158" i="137" s="1"/>
  <c r="E74" i="137"/>
  <c r="F74" i="137" s="1"/>
  <c r="E71" i="137"/>
  <c r="F71" i="137" s="1"/>
  <c r="C71" i="137"/>
  <c r="F69" i="137"/>
  <c r="D69" i="137"/>
  <c r="F68" i="137"/>
  <c r="E154" i="137"/>
  <c r="F65" i="137"/>
  <c r="E152" i="137"/>
  <c r="E207" i="137" s="1"/>
  <c r="H62" i="137"/>
  <c r="D62" i="137" s="1"/>
  <c r="E62" i="137"/>
  <c r="F62" i="137" s="1"/>
  <c r="C62" i="137"/>
  <c r="H53" i="137"/>
  <c r="F60" i="137"/>
  <c r="D60" i="137"/>
  <c r="F59" i="137"/>
  <c r="D59" i="137"/>
  <c r="H56" i="137"/>
  <c r="E56" i="137"/>
  <c r="D56" i="137" s="1"/>
  <c r="C53" i="137"/>
  <c r="J52" i="137"/>
  <c r="F51" i="137"/>
  <c r="D51" i="137"/>
  <c r="F48" i="137"/>
  <c r="D48" i="137"/>
  <c r="H47" i="137"/>
  <c r="F47" i="137"/>
  <c r="E47" i="137"/>
  <c r="D47" i="137"/>
  <c r="F46" i="137"/>
  <c r="D46" i="137"/>
  <c r="F45" i="137"/>
  <c r="D45" i="137"/>
  <c r="F43" i="137"/>
  <c r="E43" i="137"/>
  <c r="D43" i="137" s="1"/>
  <c r="H139" i="137"/>
  <c r="D139" i="137" s="1"/>
  <c r="F42" i="137"/>
  <c r="D42" i="137"/>
  <c r="H40" i="137"/>
  <c r="H39" i="137"/>
  <c r="H38" i="137"/>
  <c r="E36" i="137"/>
  <c r="F36" i="137" s="1"/>
  <c r="D36" i="137"/>
  <c r="H35" i="137"/>
  <c r="F35" i="137"/>
  <c r="D35" i="137"/>
  <c r="H34" i="137"/>
  <c r="F34" i="137"/>
  <c r="D34" i="137"/>
  <c r="H33" i="137"/>
  <c r="F33" i="137"/>
  <c r="E33" i="137"/>
  <c r="D33" i="137" s="1"/>
  <c r="H32" i="137"/>
  <c r="F32" i="137"/>
  <c r="E32" i="137"/>
  <c r="D32" i="137" s="1"/>
  <c r="H31" i="137"/>
  <c r="F30" i="137"/>
  <c r="E137" i="137"/>
  <c r="F137" i="137" s="1"/>
  <c r="D30" i="137"/>
  <c r="H30" i="137" s="1"/>
  <c r="H28" i="137"/>
  <c r="H27" i="137"/>
  <c r="H26" i="137"/>
  <c r="H24" i="137"/>
  <c r="F24" i="137"/>
  <c r="E24" i="137"/>
  <c r="D24" i="137" s="1"/>
  <c r="F23" i="137"/>
  <c r="D23" i="137"/>
  <c r="H135" i="137"/>
  <c r="D135" i="137" s="1"/>
  <c r="F22" i="137"/>
  <c r="E135" i="137"/>
  <c r="F135" i="137" s="1"/>
  <c r="H20" i="137"/>
  <c r="F20" i="137"/>
  <c r="E20" i="137"/>
  <c r="D20" i="137" s="1"/>
  <c r="F19" i="137"/>
  <c r="D19" i="137"/>
  <c r="H18" i="137"/>
  <c r="H17" i="137"/>
  <c r="H16" i="137"/>
  <c r="H15" i="137"/>
  <c r="H134" i="137"/>
  <c r="F14" i="137"/>
  <c r="D14" i="137"/>
  <c r="E11" i="137"/>
  <c r="D11" i="137" s="1"/>
  <c r="C11" i="137"/>
  <c r="C9" i="137"/>
  <c r="F80" i="137" l="1"/>
  <c r="F164" i="137"/>
  <c r="E162" i="137"/>
  <c r="F162" i="137" s="1"/>
  <c r="H11" i="137"/>
  <c r="F172" i="137"/>
  <c r="H132" i="137"/>
  <c r="F11" i="137"/>
  <c r="H156" i="137"/>
  <c r="H211" i="137"/>
  <c r="D158" i="137"/>
  <c r="D178" i="137"/>
  <c r="H174" i="137"/>
  <c r="D174" i="137" s="1"/>
  <c r="H224" i="137"/>
  <c r="D224" i="137" s="1"/>
  <c r="D134" i="137"/>
  <c r="H199" i="137"/>
  <c r="F207" i="137"/>
  <c r="D215" i="137"/>
  <c r="H216" i="137"/>
  <c r="D216" i="137" s="1"/>
  <c r="D166" i="137"/>
  <c r="D219" i="137"/>
  <c r="E208" i="137"/>
  <c r="F208" i="137" s="1"/>
  <c r="F154" i="137"/>
  <c r="H212" i="137"/>
  <c r="D212" i="137" s="1"/>
  <c r="D160" i="137"/>
  <c r="H180" i="137"/>
  <c r="H227" i="137"/>
  <c r="D182" i="137"/>
  <c r="H228" i="137"/>
  <c r="D228" i="137" s="1"/>
  <c r="D184" i="137"/>
  <c r="H150" i="137"/>
  <c r="D150" i="137" s="1"/>
  <c r="H203" i="137"/>
  <c r="E226" i="137"/>
  <c r="E53" i="137"/>
  <c r="F56" i="137"/>
  <c r="H148" i="137"/>
  <c r="H144" i="137" s="1"/>
  <c r="D144" i="137" s="1"/>
  <c r="H71" i="137"/>
  <c r="D71" i="137" s="1"/>
  <c r="E89" i="137"/>
  <c r="F89" i="137" s="1"/>
  <c r="F92" i="137"/>
  <c r="F104" i="137"/>
  <c r="E98" i="137"/>
  <c r="F98" i="137" s="1"/>
  <c r="C206" i="137"/>
  <c r="D164" i="137"/>
  <c r="E170" i="137"/>
  <c r="D172" i="137"/>
  <c r="D176" i="137"/>
  <c r="E178" i="137"/>
  <c r="E174" i="137" s="1"/>
  <c r="F174" i="137" s="1"/>
  <c r="E180" i="137"/>
  <c r="F182" i="137"/>
  <c r="F184" i="137"/>
  <c r="C244" i="137"/>
  <c r="H220" i="137"/>
  <c r="D220" i="137" s="1"/>
  <c r="E223" i="137"/>
  <c r="E199" i="137"/>
  <c r="F134" i="137"/>
  <c r="D200" i="137"/>
  <c r="C156" i="137"/>
  <c r="C130" i="137" s="1"/>
  <c r="K130" i="137" s="1"/>
  <c r="C211" i="137"/>
  <c r="C210" i="137" s="1"/>
  <c r="C222" i="137"/>
  <c r="D22" i="137"/>
  <c r="D65" i="137"/>
  <c r="D68" i="137"/>
  <c r="D74" i="137"/>
  <c r="E160" i="137"/>
  <c r="F77" i="137"/>
  <c r="D142" i="137"/>
  <c r="E146" i="137"/>
  <c r="D152" i="137"/>
  <c r="E158" i="137"/>
  <c r="E214" i="137"/>
  <c r="F214" i="137" s="1"/>
  <c r="F166" i="137"/>
  <c r="H208" i="137"/>
  <c r="D208" i="137" s="1"/>
  <c r="F215" i="137"/>
  <c r="D89" i="137"/>
  <c r="D105" i="137"/>
  <c r="E142" i="137"/>
  <c r="E148" i="137"/>
  <c r="E150" i="137"/>
  <c r="F150" i="137" s="1"/>
  <c r="F152" i="137"/>
  <c r="H162" i="137"/>
  <c r="D162" i="137" s="1"/>
  <c r="D170" i="137"/>
  <c r="C180" i="137"/>
  <c r="C227" i="137"/>
  <c r="C226" i="137" s="1"/>
  <c r="C199" i="137"/>
  <c r="H105" i="136"/>
  <c r="H86" i="136"/>
  <c r="H78" i="136"/>
  <c r="H69" i="136"/>
  <c r="H68" i="136"/>
  <c r="H59" i="136"/>
  <c r="E105" i="136"/>
  <c r="E86" i="136"/>
  <c r="E78" i="136"/>
  <c r="E77" i="136"/>
  <c r="E69" i="136"/>
  <c r="E68" i="136"/>
  <c r="E59" i="136"/>
  <c r="H45" i="136"/>
  <c r="E45" i="136"/>
  <c r="H222" i="137" l="1"/>
  <c r="D222" i="137" s="1"/>
  <c r="H214" i="137"/>
  <c r="D214" i="137" s="1"/>
  <c r="E9" i="137"/>
  <c r="F9" i="137" s="1"/>
  <c r="H130" i="137"/>
  <c r="D132" i="137"/>
  <c r="E204" i="137"/>
  <c r="F148" i="137"/>
  <c r="E224" i="137"/>
  <c r="F224" i="137" s="1"/>
  <c r="F178" i="137"/>
  <c r="D203" i="137"/>
  <c r="F142" i="137"/>
  <c r="E200" i="137"/>
  <c r="H206" i="137"/>
  <c r="D206" i="137" s="1"/>
  <c r="E144" i="137"/>
  <c r="F144" i="137" s="1"/>
  <c r="E203" i="137"/>
  <c r="F146" i="137"/>
  <c r="F227" i="137"/>
  <c r="D227" i="137"/>
  <c r="H226" i="137"/>
  <c r="D226" i="137" s="1"/>
  <c r="H218" i="137"/>
  <c r="D218" i="137" s="1"/>
  <c r="E242" i="137"/>
  <c r="E198" i="137"/>
  <c r="F199" i="137"/>
  <c r="H204" i="137"/>
  <c r="D148" i="137"/>
  <c r="H242" i="137"/>
  <c r="D199" i="137"/>
  <c r="H198" i="137"/>
  <c r="E132" i="137"/>
  <c r="H243" i="137"/>
  <c r="D243" i="137" s="1"/>
  <c r="F223" i="137"/>
  <c r="E222" i="137"/>
  <c r="F222" i="137" s="1"/>
  <c r="C243" i="137"/>
  <c r="D53" i="137"/>
  <c r="F53" i="137"/>
  <c r="D180" i="137"/>
  <c r="E206" i="137"/>
  <c r="F206" i="137" s="1"/>
  <c r="D211" i="137"/>
  <c r="H210" i="137"/>
  <c r="D210" i="137" s="1"/>
  <c r="C242" i="137"/>
  <c r="C240" i="137" s="1"/>
  <c r="C198" i="137"/>
  <c r="C196" i="137" s="1"/>
  <c r="K196" i="137" s="1"/>
  <c r="F160" i="137"/>
  <c r="E212" i="137"/>
  <c r="F212" i="137" s="1"/>
  <c r="F158" i="137"/>
  <c r="E211" i="137"/>
  <c r="E156" i="137"/>
  <c r="F156" i="137" s="1"/>
  <c r="F180" i="137"/>
  <c r="E168" i="137"/>
  <c r="F168" i="137" s="1"/>
  <c r="E219" i="137"/>
  <c r="F170" i="137"/>
  <c r="F226" i="137"/>
  <c r="H9" i="137"/>
  <c r="D156" i="137"/>
  <c r="H74" i="136"/>
  <c r="E74" i="136"/>
  <c r="D9" i="137" l="1"/>
  <c r="D242" i="137"/>
  <c r="F200" i="137"/>
  <c r="E243" i="137"/>
  <c r="F243" i="137" s="1"/>
  <c r="F219" i="137"/>
  <c r="E218" i="137"/>
  <c r="F218" i="137" s="1"/>
  <c r="E130" i="137"/>
  <c r="F132" i="137"/>
  <c r="F242" i="137"/>
  <c r="F203" i="137"/>
  <c r="E202" i="137"/>
  <c r="F202" i="137" s="1"/>
  <c r="F198" i="137"/>
  <c r="K240" i="137"/>
  <c r="D198" i="137"/>
  <c r="H244" i="137"/>
  <c r="D244" i="137" s="1"/>
  <c r="D204" i="137"/>
  <c r="E210" i="137"/>
  <c r="F210" i="137" s="1"/>
  <c r="F211" i="137"/>
  <c r="H202" i="137"/>
  <c r="D202" i="137" s="1"/>
  <c r="E244" i="137"/>
  <c r="F244" i="137" s="1"/>
  <c r="F204" i="137"/>
  <c r="H51" i="136"/>
  <c r="E51" i="136"/>
  <c r="H196" i="137" l="1"/>
  <c r="D196" i="137" s="1"/>
  <c r="D130" i="137"/>
  <c r="M130" i="137" s="1"/>
  <c r="N130" i="137"/>
  <c r="F130" i="137"/>
  <c r="H240" i="137"/>
  <c r="D240" i="137" s="1"/>
  <c r="E196" i="137"/>
  <c r="E240" i="137"/>
  <c r="H107" i="136"/>
  <c r="H89" i="136"/>
  <c r="H80" i="136"/>
  <c r="H62" i="136"/>
  <c r="H53" i="136"/>
  <c r="H11" i="136"/>
  <c r="E11" i="136"/>
  <c r="H104" i="136"/>
  <c r="E104" i="136"/>
  <c r="M240" i="137" l="1"/>
  <c r="M196" i="137"/>
  <c r="F240" i="137"/>
  <c r="N240" i="137"/>
  <c r="N196" i="137"/>
  <c r="F196" i="137"/>
  <c r="H142" i="136"/>
  <c r="H132" i="136"/>
  <c r="H130" i="136"/>
  <c r="H65" i="136" l="1"/>
  <c r="H95" i="136"/>
  <c r="H110" i="136"/>
  <c r="H114" i="136"/>
  <c r="H113" i="136"/>
  <c r="E114" i="136"/>
  <c r="E113" i="136"/>
  <c r="E95" i="136"/>
  <c r="E110" i="136"/>
  <c r="E65" i="136"/>
  <c r="H23" i="136" l="1"/>
  <c r="H14" i="136"/>
  <c r="E23" i="136"/>
  <c r="E14" i="136"/>
  <c r="H19" i="136" l="1"/>
  <c r="H42" i="136"/>
  <c r="H48" i="136"/>
  <c r="E48" i="136"/>
  <c r="E42" i="136"/>
  <c r="E19" i="136"/>
  <c r="H146" i="136" l="1"/>
  <c r="H144" i="136"/>
  <c r="H137" i="136"/>
  <c r="H32" i="136"/>
  <c r="H24" i="136"/>
  <c r="E47" i="136"/>
  <c r="E32" i="136"/>
  <c r="E24" i="136"/>
  <c r="H83" i="136" l="1"/>
  <c r="H60" i="136"/>
  <c r="H56" i="136"/>
  <c r="H46" i="136"/>
  <c r="H33" i="136"/>
  <c r="H22" i="136"/>
  <c r="H20" i="136"/>
  <c r="E83" i="136"/>
  <c r="E56" i="136"/>
  <c r="D47" i="136" l="1"/>
  <c r="H47" i="136" s="1"/>
  <c r="D140" i="136" s="1"/>
  <c r="E46" i="136"/>
  <c r="F45" i="136"/>
  <c r="E33" i="136"/>
  <c r="E30" i="136"/>
  <c r="E22" i="136"/>
  <c r="E135" i="136" s="1"/>
  <c r="F135" i="136" s="1"/>
  <c r="E20" i="136"/>
  <c r="F14" i="136"/>
  <c r="H178" i="136"/>
  <c r="H174" i="136" s="1"/>
  <c r="D174" i="136" s="1"/>
  <c r="H87" i="136"/>
  <c r="F113" i="136"/>
  <c r="E87" i="136"/>
  <c r="E166" i="136" s="1"/>
  <c r="D78" i="136"/>
  <c r="B191" i="136"/>
  <c r="B125" i="136"/>
  <c r="L240" i="136"/>
  <c r="B235" i="136"/>
  <c r="H215" i="136"/>
  <c r="C215" i="136"/>
  <c r="C204" i="136"/>
  <c r="H203" i="136"/>
  <c r="C202" i="136"/>
  <c r="L196" i="136"/>
  <c r="H184" i="136"/>
  <c r="H228" i="136" s="1"/>
  <c r="C184" i="136"/>
  <c r="C228" i="136" s="1"/>
  <c r="H182" i="136"/>
  <c r="C182" i="136"/>
  <c r="C178" i="136"/>
  <c r="C224" i="136" s="1"/>
  <c r="H176" i="136"/>
  <c r="H223" i="136" s="1"/>
  <c r="D176" i="136"/>
  <c r="C176" i="136"/>
  <c r="C223" i="136" s="1"/>
  <c r="C222" i="136" s="1"/>
  <c r="C174" i="136"/>
  <c r="H172" i="136"/>
  <c r="H220" i="136" s="1"/>
  <c r="C172" i="136"/>
  <c r="C220" i="136" s="1"/>
  <c r="H170" i="136"/>
  <c r="H219" i="136" s="1"/>
  <c r="D219" i="136" s="1"/>
  <c r="C170" i="136"/>
  <c r="C219" i="136" s="1"/>
  <c r="C218" i="136" s="1"/>
  <c r="C166" i="136"/>
  <c r="C216" i="136" s="1"/>
  <c r="H164" i="136"/>
  <c r="D164" i="136"/>
  <c r="C164" i="136"/>
  <c r="C162" i="136"/>
  <c r="C160" i="136"/>
  <c r="C212" i="136" s="1"/>
  <c r="E158" i="136"/>
  <c r="C158" i="136"/>
  <c r="H154" i="136"/>
  <c r="C154" i="136"/>
  <c r="C208" i="136" s="1"/>
  <c r="H152" i="136"/>
  <c r="H207" i="136" s="1"/>
  <c r="C152" i="136"/>
  <c r="C207" i="136" s="1"/>
  <c r="C206" i="136" s="1"/>
  <c r="H148" i="136"/>
  <c r="D148" i="136" s="1"/>
  <c r="C148" i="136"/>
  <c r="D146" i="136"/>
  <c r="C146" i="136"/>
  <c r="C203" i="136" s="1"/>
  <c r="D203" i="136" s="1"/>
  <c r="D144" i="136"/>
  <c r="C144" i="136"/>
  <c r="C142" i="136"/>
  <c r="C200" i="136" s="1"/>
  <c r="C140" i="136"/>
  <c r="H139" i="136"/>
  <c r="C139" i="136"/>
  <c r="C137" i="136"/>
  <c r="H135" i="136"/>
  <c r="C135" i="136"/>
  <c r="C134" i="136"/>
  <c r="C132" i="136"/>
  <c r="L130" i="136"/>
  <c r="D113" i="136"/>
  <c r="D107" i="136"/>
  <c r="C107" i="136"/>
  <c r="F105" i="136"/>
  <c r="D105" i="136"/>
  <c r="F101" i="136"/>
  <c r="E101" i="136"/>
  <c r="E176" i="136" s="1"/>
  <c r="E223" i="136" s="1"/>
  <c r="D101" i="136"/>
  <c r="C98" i="136"/>
  <c r="F96" i="136"/>
  <c r="E96" i="136"/>
  <c r="D96" i="136"/>
  <c r="F92" i="136"/>
  <c r="E92" i="136"/>
  <c r="E170" i="136" s="1"/>
  <c r="D92" i="136"/>
  <c r="D89" i="136"/>
  <c r="C89" i="136"/>
  <c r="H166" i="136"/>
  <c r="F86" i="136"/>
  <c r="D86" i="136"/>
  <c r="E164" i="136"/>
  <c r="D80" i="136"/>
  <c r="C80" i="136"/>
  <c r="F78" i="136"/>
  <c r="F77" i="136"/>
  <c r="D77" i="136"/>
  <c r="H77" i="136" s="1"/>
  <c r="H160" i="136" s="1"/>
  <c r="F74" i="136"/>
  <c r="D74" i="136"/>
  <c r="E71" i="136"/>
  <c r="F71" i="136" s="1"/>
  <c r="C71" i="136"/>
  <c r="F69" i="136"/>
  <c r="D69" i="136"/>
  <c r="E154" i="136"/>
  <c r="F65" i="136"/>
  <c r="E152" i="136"/>
  <c r="E207" i="136" s="1"/>
  <c r="D65" i="136"/>
  <c r="E62" i="136"/>
  <c r="F62" i="136" s="1"/>
  <c r="C62" i="136"/>
  <c r="D62" i="136" s="1"/>
  <c r="E60" i="136"/>
  <c r="F60" i="136" s="1"/>
  <c r="F59" i="136"/>
  <c r="D59" i="136"/>
  <c r="E146" i="136"/>
  <c r="C53" i="136"/>
  <c r="J52" i="136"/>
  <c r="E142" i="136"/>
  <c r="F48" i="136"/>
  <c r="D48" i="136"/>
  <c r="F47" i="136"/>
  <c r="F46" i="136"/>
  <c r="D45" i="136"/>
  <c r="E43" i="136"/>
  <c r="F43" i="136" s="1"/>
  <c r="F42" i="136"/>
  <c r="E139" i="136"/>
  <c r="F139" i="136" s="1"/>
  <c r="D42" i="136"/>
  <c r="H40" i="136"/>
  <c r="H39" i="136"/>
  <c r="H38" i="136"/>
  <c r="F36" i="136"/>
  <c r="E36" i="136"/>
  <c r="D36" i="136"/>
  <c r="F35" i="136"/>
  <c r="D35" i="136"/>
  <c r="H35" i="136" s="1"/>
  <c r="F34" i="136"/>
  <c r="D34" i="136"/>
  <c r="H34" i="136" s="1"/>
  <c r="F33" i="136"/>
  <c r="F32" i="136"/>
  <c r="D32" i="136"/>
  <c r="H31" i="136"/>
  <c r="E137" i="136"/>
  <c r="F137" i="136" s="1"/>
  <c r="H28" i="136"/>
  <c r="H27" i="136"/>
  <c r="H26" i="136"/>
  <c r="F24" i="136"/>
  <c r="F23" i="136"/>
  <c r="D23" i="136"/>
  <c r="F20" i="136"/>
  <c r="D20" i="136"/>
  <c r="F19" i="136"/>
  <c r="H18" i="136"/>
  <c r="H17" i="136"/>
  <c r="H16" i="136"/>
  <c r="H15" i="136"/>
  <c r="D14" i="136"/>
  <c r="C11" i="136"/>
  <c r="C9" i="136" s="1"/>
  <c r="D172" i="136" l="1"/>
  <c r="D152" i="136"/>
  <c r="H150" i="136"/>
  <c r="F152" i="136"/>
  <c r="F11" i="136"/>
  <c r="H204" i="136"/>
  <c r="H202" i="136" s="1"/>
  <c r="D202" i="136" s="1"/>
  <c r="H98" i="136"/>
  <c r="D98" i="136" s="1"/>
  <c r="D184" i="136"/>
  <c r="E160" i="136"/>
  <c r="F160" i="136" s="1"/>
  <c r="E208" i="136"/>
  <c r="F208" i="136" s="1"/>
  <c r="F154" i="136"/>
  <c r="E150" i="136"/>
  <c r="H212" i="136"/>
  <c r="D212" i="136" s="1"/>
  <c r="D160" i="136"/>
  <c r="E200" i="136"/>
  <c r="F142" i="136"/>
  <c r="H158" i="136"/>
  <c r="H71" i="136"/>
  <c r="E203" i="136"/>
  <c r="F164" i="136"/>
  <c r="E162" i="136"/>
  <c r="F162" i="136" s="1"/>
  <c r="E215" i="136"/>
  <c r="H216" i="136"/>
  <c r="D216" i="136" s="1"/>
  <c r="H162" i="136"/>
  <c r="D162" i="136" s="1"/>
  <c r="D166" i="136"/>
  <c r="E219" i="136"/>
  <c r="F170" i="136"/>
  <c r="E172" i="136"/>
  <c r="E168" i="136" s="1"/>
  <c r="F168" i="136" s="1"/>
  <c r="F95" i="136"/>
  <c r="D95" i="136"/>
  <c r="E89" i="136"/>
  <c r="F89" i="136" s="1"/>
  <c r="E182" i="136"/>
  <c r="F110" i="136"/>
  <c r="D110" i="136"/>
  <c r="E107" i="136"/>
  <c r="F107" i="136" s="1"/>
  <c r="E134" i="136"/>
  <c r="H134" i="136"/>
  <c r="D19" i="136"/>
  <c r="D22" i="136"/>
  <c r="F22" i="136"/>
  <c r="D24" i="136"/>
  <c r="D30" i="136"/>
  <c r="H30" i="136" s="1"/>
  <c r="D137" i="136" s="1"/>
  <c r="F30" i="136"/>
  <c r="D33" i="136"/>
  <c r="D43" i="136"/>
  <c r="E140" i="136"/>
  <c r="F140" i="136" s="1"/>
  <c r="D46" i="136"/>
  <c r="D51" i="136"/>
  <c r="F51" i="136"/>
  <c r="E53" i="136"/>
  <c r="D56" i="136"/>
  <c r="F56" i="136"/>
  <c r="E148" i="136"/>
  <c r="D60" i="136"/>
  <c r="F207" i="136"/>
  <c r="D68" i="136"/>
  <c r="F68" i="136"/>
  <c r="E212" i="136"/>
  <c r="F212" i="136" s="1"/>
  <c r="E80" i="136"/>
  <c r="F80" i="136" s="1"/>
  <c r="D83" i="136"/>
  <c r="F83" i="136"/>
  <c r="E216" i="136"/>
  <c r="F216" i="136" s="1"/>
  <c r="F166" i="136"/>
  <c r="F87" i="136"/>
  <c r="D87" i="136"/>
  <c r="E178" i="136"/>
  <c r="F104" i="136"/>
  <c r="D104" i="136"/>
  <c r="E98" i="136"/>
  <c r="F98" i="136" s="1"/>
  <c r="C199" i="136"/>
  <c r="C150" i="136"/>
  <c r="D150" i="136" s="1"/>
  <c r="D207" i="136"/>
  <c r="C211" i="136"/>
  <c r="C210" i="136" s="1"/>
  <c r="C156" i="136"/>
  <c r="F114" i="136"/>
  <c r="D114" i="136"/>
  <c r="D135" i="136"/>
  <c r="D139" i="136"/>
  <c r="H200" i="136"/>
  <c r="D142" i="136"/>
  <c r="F146" i="136"/>
  <c r="H208" i="136"/>
  <c r="D208" i="136" s="1"/>
  <c r="D154" i="136"/>
  <c r="E211" i="136"/>
  <c r="F158" i="136"/>
  <c r="E156" i="136"/>
  <c r="F223" i="136"/>
  <c r="E184" i="136"/>
  <c r="C168" i="136"/>
  <c r="H168" i="136"/>
  <c r="D168" i="136" s="1"/>
  <c r="D170" i="136"/>
  <c r="D220" i="136"/>
  <c r="D223" i="136"/>
  <c r="C227" i="136"/>
  <c r="C226" i="136" s="1"/>
  <c r="C180" i="136"/>
  <c r="H227" i="136"/>
  <c r="D182" i="136"/>
  <c r="H180" i="136"/>
  <c r="D228" i="136"/>
  <c r="H218" i="136"/>
  <c r="D218" i="136" s="1"/>
  <c r="E174" i="136"/>
  <c r="F174" i="136" s="1"/>
  <c r="F176" i="136"/>
  <c r="H224" i="136"/>
  <c r="D224" i="136" s="1"/>
  <c r="D178" i="136"/>
  <c r="C244" i="136"/>
  <c r="C214" i="136"/>
  <c r="D215" i="136"/>
  <c r="H214" i="136"/>
  <c r="D214" i="136" s="1"/>
  <c r="E114" i="135"/>
  <c r="E87" i="135"/>
  <c r="E86" i="135"/>
  <c r="E60" i="135"/>
  <c r="E51" i="135"/>
  <c r="D71" i="136" l="1"/>
  <c r="H9" i="136"/>
  <c r="D11" i="136"/>
  <c r="H206" i="136"/>
  <c r="D206" i="136" s="1"/>
  <c r="D204" i="136"/>
  <c r="H244" i="136"/>
  <c r="D244" i="136" s="1"/>
  <c r="H222" i="136"/>
  <c r="D222" i="136" s="1"/>
  <c r="E228" i="136"/>
  <c r="F228" i="136" s="1"/>
  <c r="F184" i="136"/>
  <c r="E204" i="136"/>
  <c r="E202" i="136" s="1"/>
  <c r="F202" i="136" s="1"/>
  <c r="F148" i="136"/>
  <c r="H199" i="136"/>
  <c r="D134" i="136"/>
  <c r="D132" i="136"/>
  <c r="D180" i="136"/>
  <c r="D227" i="136"/>
  <c r="H226" i="136"/>
  <c r="D226" i="136" s="1"/>
  <c r="F156" i="136"/>
  <c r="F211" i="136"/>
  <c r="E210" i="136"/>
  <c r="F210" i="136" s="1"/>
  <c r="C243" i="136"/>
  <c r="C242" i="136"/>
  <c r="C198" i="136"/>
  <c r="C196" i="136" s="1"/>
  <c r="K196" i="136" s="1"/>
  <c r="E224" i="136"/>
  <c r="F178" i="136"/>
  <c r="E206" i="136"/>
  <c r="F206" i="136" s="1"/>
  <c r="F53" i="136"/>
  <c r="D53" i="136"/>
  <c r="E9" i="136"/>
  <c r="E199" i="136"/>
  <c r="F134" i="136"/>
  <c r="E132" i="136"/>
  <c r="F219" i="136"/>
  <c r="F215" i="136"/>
  <c r="E214" i="136"/>
  <c r="F214" i="136" s="1"/>
  <c r="F203" i="136"/>
  <c r="H211" i="136"/>
  <c r="D158" i="136"/>
  <c r="H156" i="136"/>
  <c r="D156" i="136" s="1"/>
  <c r="F200" i="136"/>
  <c r="C130" i="136"/>
  <c r="K130" i="136" s="1"/>
  <c r="H243" i="136"/>
  <c r="D243" i="136" s="1"/>
  <c r="D200" i="136"/>
  <c r="E227" i="136"/>
  <c r="E243" i="136" s="1"/>
  <c r="F243" i="136" s="1"/>
  <c r="F182" i="136"/>
  <c r="E180" i="136"/>
  <c r="F180" i="136" s="1"/>
  <c r="E220" i="136"/>
  <c r="F220" i="136" s="1"/>
  <c r="F172" i="136"/>
  <c r="E144" i="136"/>
  <c r="F144" i="136" s="1"/>
  <c r="F150" i="136"/>
  <c r="E48" i="135"/>
  <c r="E46" i="135"/>
  <c r="E45" i="135"/>
  <c r="E36" i="135"/>
  <c r="E33" i="135"/>
  <c r="E30" i="135"/>
  <c r="E24" i="135"/>
  <c r="E19" i="135"/>
  <c r="H210" i="136" l="1"/>
  <c r="D210" i="136" s="1"/>
  <c r="D211" i="136"/>
  <c r="F9" i="136"/>
  <c r="D9" i="136"/>
  <c r="E218" i="136"/>
  <c r="F218" i="136" s="1"/>
  <c r="F132" i="136"/>
  <c r="E130" i="136"/>
  <c r="E242" i="136"/>
  <c r="F199" i="136"/>
  <c r="E198" i="136"/>
  <c r="F224" i="136"/>
  <c r="E222" i="136"/>
  <c r="F222" i="136" s="1"/>
  <c r="C240" i="136"/>
  <c r="K240" i="136" s="1"/>
  <c r="H242" i="136"/>
  <c r="D199" i="136"/>
  <c r="H198" i="136"/>
  <c r="E244" i="136"/>
  <c r="F244" i="136" s="1"/>
  <c r="F204" i="136"/>
  <c r="F227" i="136"/>
  <c r="E226" i="136"/>
  <c r="F226" i="136" s="1"/>
  <c r="E113" i="135"/>
  <c r="E96" i="135"/>
  <c r="E95" i="135"/>
  <c r="H87" i="135"/>
  <c r="E78" i="135"/>
  <c r="E69" i="135"/>
  <c r="N130" i="136" l="1"/>
  <c r="F130" i="136"/>
  <c r="D130" i="136"/>
  <c r="M130" i="136" s="1"/>
  <c r="H196" i="136"/>
  <c r="D196" i="136" s="1"/>
  <c r="D198" i="136"/>
  <c r="D242" i="136"/>
  <c r="H240" i="136"/>
  <c r="D240" i="136" s="1"/>
  <c r="F198" i="136"/>
  <c r="E196" i="136"/>
  <c r="F242" i="136"/>
  <c r="E240" i="136"/>
  <c r="E42" i="135"/>
  <c r="E32" i="135"/>
  <c r="E22" i="135"/>
  <c r="E20" i="135"/>
  <c r="E14" i="135"/>
  <c r="M240" i="136" l="1"/>
  <c r="F240" i="136"/>
  <c r="N240" i="136"/>
  <c r="F196" i="136"/>
  <c r="N196" i="136"/>
  <c r="M196" i="136"/>
  <c r="E101" i="135"/>
  <c r="E176" i="135" s="1"/>
  <c r="E92" i="135"/>
  <c r="E83" i="135"/>
  <c r="E65" i="135"/>
  <c r="E56" i="135"/>
  <c r="E146" i="135" s="1"/>
  <c r="E43" i="135"/>
  <c r="B125" i="135"/>
  <c r="L240" i="135"/>
  <c r="B235" i="135"/>
  <c r="H224" i="135"/>
  <c r="D224" i="135"/>
  <c r="C224" i="135"/>
  <c r="C220" i="135"/>
  <c r="C219" i="135"/>
  <c r="C218" i="135" s="1"/>
  <c r="C215" i="135"/>
  <c r="C208" i="135"/>
  <c r="C204" i="135"/>
  <c r="H203" i="135"/>
  <c r="C203" i="135"/>
  <c r="C202" i="135" s="1"/>
  <c r="L196" i="135"/>
  <c r="B191" i="135"/>
  <c r="C184" i="135"/>
  <c r="C228" i="135" s="1"/>
  <c r="H182" i="135"/>
  <c r="D182" i="135" s="1"/>
  <c r="C182" i="135"/>
  <c r="H178" i="135"/>
  <c r="D178" i="135" s="1"/>
  <c r="E178" i="135"/>
  <c r="E224" i="135" s="1"/>
  <c r="F224" i="135" s="1"/>
  <c r="C178" i="135"/>
  <c r="H176" i="135"/>
  <c r="C176" i="135"/>
  <c r="C223" i="135" s="1"/>
  <c r="C222" i="135" s="1"/>
  <c r="C172" i="135"/>
  <c r="E170" i="135"/>
  <c r="F170" i="135" s="1"/>
  <c r="C170" i="135"/>
  <c r="C168" i="135"/>
  <c r="H166" i="135"/>
  <c r="C166" i="135"/>
  <c r="H164" i="135"/>
  <c r="H215" i="135" s="1"/>
  <c r="D164" i="135"/>
  <c r="C164" i="135"/>
  <c r="C160" i="135"/>
  <c r="C212" i="135" s="1"/>
  <c r="C158" i="135"/>
  <c r="H154" i="135"/>
  <c r="D154" i="135" s="1"/>
  <c r="E154" i="135"/>
  <c r="E208" i="135" s="1"/>
  <c r="F208" i="135" s="1"/>
  <c r="C154" i="135"/>
  <c r="H152" i="135"/>
  <c r="C152" i="135"/>
  <c r="C207" i="135" s="1"/>
  <c r="C206" i="135" s="1"/>
  <c r="H148" i="135"/>
  <c r="D148" i="135" s="1"/>
  <c r="C148" i="135"/>
  <c r="D146" i="135"/>
  <c r="C146" i="135"/>
  <c r="D144" i="135"/>
  <c r="C144" i="135"/>
  <c r="H142" i="135"/>
  <c r="H200" i="135" s="1"/>
  <c r="C142" i="135"/>
  <c r="C200" i="135" s="1"/>
  <c r="C140" i="135"/>
  <c r="C139" i="135"/>
  <c r="C137" i="135"/>
  <c r="C135" i="135"/>
  <c r="C134" i="135"/>
  <c r="L130" i="135"/>
  <c r="F114" i="135"/>
  <c r="E184" i="135"/>
  <c r="E228" i="135" s="1"/>
  <c r="D114" i="135"/>
  <c r="F113" i="135"/>
  <c r="D113" i="135"/>
  <c r="F110" i="135"/>
  <c r="E110" i="135"/>
  <c r="E107" i="135"/>
  <c r="F107" i="135" s="1"/>
  <c r="C107" i="135"/>
  <c r="E105" i="135"/>
  <c r="D105" i="135" s="1"/>
  <c r="E104" i="135"/>
  <c r="D104" i="135"/>
  <c r="F101" i="135"/>
  <c r="D101" i="135"/>
  <c r="H98" i="135"/>
  <c r="D98" i="135" s="1"/>
  <c r="C98" i="135"/>
  <c r="H172" i="135"/>
  <c r="H220" i="135" s="1"/>
  <c r="D220" i="135" s="1"/>
  <c r="E172" i="135"/>
  <c r="F95" i="135"/>
  <c r="D95" i="135"/>
  <c r="H170" i="135"/>
  <c r="F92" i="135"/>
  <c r="D92" i="135"/>
  <c r="C89" i="135"/>
  <c r="F87" i="135"/>
  <c r="D87" i="135"/>
  <c r="F86" i="135"/>
  <c r="F83" i="135"/>
  <c r="D83" i="135"/>
  <c r="D80" i="135"/>
  <c r="C80" i="135"/>
  <c r="F78" i="135"/>
  <c r="D78" i="135"/>
  <c r="E77" i="135"/>
  <c r="F74" i="135"/>
  <c r="E74" i="135"/>
  <c r="E71" i="135"/>
  <c r="F71" i="135" s="1"/>
  <c r="C71" i="135"/>
  <c r="D69" i="135"/>
  <c r="E68" i="135"/>
  <c r="D68" i="135"/>
  <c r="F65" i="135"/>
  <c r="E152" i="135"/>
  <c r="D65" i="135"/>
  <c r="C62" i="135"/>
  <c r="D62" i="135" s="1"/>
  <c r="D60" i="135"/>
  <c r="F59" i="135"/>
  <c r="E59" i="135"/>
  <c r="E148" i="135" s="1"/>
  <c r="D59" i="135"/>
  <c r="D56" i="135"/>
  <c r="C53" i="135"/>
  <c r="J52" i="135"/>
  <c r="E142" i="135"/>
  <c r="D51" i="135"/>
  <c r="F48" i="135"/>
  <c r="D48" i="135"/>
  <c r="H47" i="135"/>
  <c r="H140" i="135" s="1"/>
  <c r="D140" i="135" s="1"/>
  <c r="F47" i="135"/>
  <c r="E47" i="135"/>
  <c r="D47" i="135"/>
  <c r="D46" i="135"/>
  <c r="E140" i="135"/>
  <c r="F140" i="135" s="1"/>
  <c r="D45" i="135"/>
  <c r="F43" i="135"/>
  <c r="D43" i="135"/>
  <c r="H139" i="135" s="1"/>
  <c r="D139" i="135" s="1"/>
  <c r="F42" i="135"/>
  <c r="E139" i="135"/>
  <c r="F139" i="135" s="1"/>
  <c r="D42" i="135"/>
  <c r="H40" i="135"/>
  <c r="H39" i="135"/>
  <c r="H38" i="135"/>
  <c r="F36" i="135"/>
  <c r="D36" i="135"/>
  <c r="F35" i="135"/>
  <c r="D35" i="135"/>
  <c r="H35" i="135" s="1"/>
  <c r="H34" i="135"/>
  <c r="F34" i="135"/>
  <c r="D34" i="135"/>
  <c r="D33" i="135"/>
  <c r="F32" i="135"/>
  <c r="D32" i="135"/>
  <c r="H31" i="135"/>
  <c r="E137" i="135"/>
  <c r="F137" i="135" s="1"/>
  <c r="H28" i="135"/>
  <c r="H27" i="135"/>
  <c r="H26" i="135"/>
  <c r="F24" i="135"/>
  <c r="D24" i="135"/>
  <c r="H135" i="135" s="1"/>
  <c r="D135" i="135" s="1"/>
  <c r="E23" i="135"/>
  <c r="F23" i="135" s="1"/>
  <c r="D23" i="135"/>
  <c r="F22" i="135"/>
  <c r="D22" i="135"/>
  <c r="D20" i="135"/>
  <c r="F19" i="135"/>
  <c r="D19" i="135"/>
  <c r="H18" i="135"/>
  <c r="H17" i="135"/>
  <c r="H16" i="135"/>
  <c r="H15" i="135"/>
  <c r="F14" i="135"/>
  <c r="D14" i="135"/>
  <c r="C11" i="135"/>
  <c r="C9" i="135" s="1"/>
  <c r="H204" i="135" l="1"/>
  <c r="H202" i="135" s="1"/>
  <c r="D202" i="135" s="1"/>
  <c r="D203" i="135"/>
  <c r="H208" i="135"/>
  <c r="D208" i="135" s="1"/>
  <c r="D166" i="135"/>
  <c r="D142" i="135"/>
  <c r="E204" i="135"/>
  <c r="F148" i="135"/>
  <c r="E220" i="135"/>
  <c r="F220" i="135" s="1"/>
  <c r="F172" i="135"/>
  <c r="H184" i="135"/>
  <c r="E144" i="135"/>
  <c r="F144" i="135" s="1"/>
  <c r="E203" i="135"/>
  <c r="F146" i="135"/>
  <c r="H134" i="135"/>
  <c r="H219" i="135"/>
  <c r="D170" i="135"/>
  <c r="F30" i="135"/>
  <c r="E160" i="135"/>
  <c r="D77" i="135"/>
  <c r="H77" i="135" s="1"/>
  <c r="H160" i="135" s="1"/>
  <c r="H89" i="135"/>
  <c r="D89" i="135" s="1"/>
  <c r="F104" i="135"/>
  <c r="E98" i="135"/>
  <c r="F98" i="135" s="1"/>
  <c r="D200" i="135"/>
  <c r="F152" i="135"/>
  <c r="F154" i="135"/>
  <c r="C174" i="135"/>
  <c r="F178" i="135"/>
  <c r="F184" i="135"/>
  <c r="F45" i="135"/>
  <c r="E200" i="135"/>
  <c r="F142" i="135"/>
  <c r="F60" i="135"/>
  <c r="E207" i="135"/>
  <c r="E150" i="135"/>
  <c r="F77" i="135"/>
  <c r="E223" i="135"/>
  <c r="E174" i="135"/>
  <c r="F174" i="135" s="1"/>
  <c r="E134" i="135"/>
  <c r="H207" i="135"/>
  <c r="D152" i="135"/>
  <c r="H168" i="135"/>
  <c r="D168" i="135" s="1"/>
  <c r="H223" i="135"/>
  <c r="D176" i="135"/>
  <c r="E89" i="135"/>
  <c r="F89" i="135" s="1"/>
  <c r="F96" i="135"/>
  <c r="F20" i="135"/>
  <c r="F33" i="135"/>
  <c r="F46" i="135"/>
  <c r="E62" i="135"/>
  <c r="F62" i="135" s="1"/>
  <c r="F68" i="135"/>
  <c r="F228" i="135"/>
  <c r="C150" i="135"/>
  <c r="C156" i="135"/>
  <c r="C211" i="135"/>
  <c r="C210" i="135" s="1"/>
  <c r="C216" i="135"/>
  <c r="C244" i="135" s="1"/>
  <c r="C162" i="135"/>
  <c r="F176" i="135"/>
  <c r="C180" i="135"/>
  <c r="C227" i="135"/>
  <c r="C226" i="135" s="1"/>
  <c r="E11" i="135"/>
  <c r="E135" i="135"/>
  <c r="F135" i="135" s="1"/>
  <c r="D30" i="135"/>
  <c r="H30" i="135" s="1"/>
  <c r="H137" i="135" s="1"/>
  <c r="D137" i="135" s="1"/>
  <c r="F51" i="135"/>
  <c r="F69" i="135"/>
  <c r="D74" i="135"/>
  <c r="H74" i="135" s="1"/>
  <c r="E158" i="135"/>
  <c r="E80" i="135"/>
  <c r="F80" i="135" s="1"/>
  <c r="D86" i="135"/>
  <c r="E166" i="135"/>
  <c r="D96" i="135"/>
  <c r="F105" i="135"/>
  <c r="D110" i="135"/>
  <c r="E182" i="135"/>
  <c r="D107" i="135"/>
  <c r="C132" i="135"/>
  <c r="C243" i="135"/>
  <c r="H150" i="135"/>
  <c r="E164" i="135"/>
  <c r="H216" i="135"/>
  <c r="D216" i="135" s="1"/>
  <c r="H162" i="135"/>
  <c r="D162" i="135" s="1"/>
  <c r="D172" i="135"/>
  <c r="H174" i="135"/>
  <c r="H180" i="135"/>
  <c r="D180" i="135" s="1"/>
  <c r="H227" i="135"/>
  <c r="C199" i="135"/>
  <c r="C214" i="135"/>
  <c r="E168" i="135"/>
  <c r="F168" i="135" s="1"/>
  <c r="E219" i="135"/>
  <c r="F56" i="135"/>
  <c r="E53" i="135"/>
  <c r="D204" i="135"/>
  <c r="D215" i="135"/>
  <c r="E101" i="134"/>
  <c r="E51" i="134"/>
  <c r="E9" i="135" l="1"/>
  <c r="F11" i="135"/>
  <c r="D11" i="135"/>
  <c r="E206" i="135"/>
  <c r="F206" i="135" s="1"/>
  <c r="F207" i="135"/>
  <c r="H212" i="135"/>
  <c r="D160" i="135"/>
  <c r="D219" i="135"/>
  <c r="H218" i="135"/>
  <c r="D218" i="135" s="1"/>
  <c r="C130" i="135"/>
  <c r="K130" i="135" s="1"/>
  <c r="H214" i="135"/>
  <c r="D214" i="135" s="1"/>
  <c r="H132" i="135"/>
  <c r="H199" i="135"/>
  <c r="D134" i="135"/>
  <c r="F204" i="135"/>
  <c r="E218" i="135"/>
  <c r="F218" i="135" s="1"/>
  <c r="F219" i="135"/>
  <c r="D174" i="135"/>
  <c r="E215" i="135"/>
  <c r="F164" i="135"/>
  <c r="E162" i="135"/>
  <c r="F162" i="135" s="1"/>
  <c r="E211" i="135"/>
  <c r="F158" i="135"/>
  <c r="E156" i="135"/>
  <c r="F156" i="135" s="1"/>
  <c r="D207" i="135"/>
  <c r="H206" i="135"/>
  <c r="D206" i="135" s="1"/>
  <c r="F53" i="135"/>
  <c r="D53" i="135"/>
  <c r="D227" i="135"/>
  <c r="E222" i="135"/>
  <c r="F222" i="135" s="1"/>
  <c r="F223" i="135"/>
  <c r="E212" i="135"/>
  <c r="F212" i="135" s="1"/>
  <c r="F160" i="135"/>
  <c r="H228" i="135"/>
  <c r="D228" i="135" s="1"/>
  <c r="D184" i="135"/>
  <c r="C242" i="135"/>
  <c r="C240" i="135" s="1"/>
  <c r="C198" i="135"/>
  <c r="C196" i="135" s="1"/>
  <c r="K196" i="135" s="1"/>
  <c r="D150" i="135"/>
  <c r="E227" i="135"/>
  <c r="F182" i="135"/>
  <c r="E180" i="135"/>
  <c r="F180" i="135" s="1"/>
  <c r="E216" i="135"/>
  <c r="F216" i="135" s="1"/>
  <c r="F166" i="135"/>
  <c r="H71" i="135"/>
  <c r="D71" i="135" s="1"/>
  <c r="H158" i="135"/>
  <c r="D223" i="135"/>
  <c r="H222" i="135"/>
  <c r="D222" i="135" s="1"/>
  <c r="E199" i="135"/>
  <c r="F134" i="135"/>
  <c r="E132" i="135"/>
  <c r="F150" i="135"/>
  <c r="F200" i="135"/>
  <c r="F203" i="135"/>
  <c r="E202" i="135"/>
  <c r="F202" i="135" s="1"/>
  <c r="E48" i="134"/>
  <c r="E46" i="134"/>
  <c r="E45" i="134"/>
  <c r="E36" i="134"/>
  <c r="E33" i="134"/>
  <c r="E23" i="134"/>
  <c r="E20" i="134"/>
  <c r="F227" i="135" l="1"/>
  <c r="E226" i="135"/>
  <c r="F226" i="135" s="1"/>
  <c r="H242" i="135"/>
  <c r="D199" i="135"/>
  <c r="H198" i="135"/>
  <c r="F9" i="135"/>
  <c r="D9" i="135"/>
  <c r="E130" i="135"/>
  <c r="F132" i="135"/>
  <c r="F215" i="135"/>
  <c r="E214" i="135"/>
  <c r="F214" i="135" s="1"/>
  <c r="E244" i="135"/>
  <c r="F244" i="135" s="1"/>
  <c r="D132" i="135"/>
  <c r="H156" i="135"/>
  <c r="D156" i="135" s="1"/>
  <c r="H211" i="135"/>
  <c r="D158" i="135"/>
  <c r="F211" i="135"/>
  <c r="E210" i="135"/>
  <c r="F210" i="135" s="1"/>
  <c r="E243" i="135"/>
  <c r="F243" i="135" s="1"/>
  <c r="E242" i="135"/>
  <c r="E198" i="135"/>
  <c r="F199" i="135"/>
  <c r="K240" i="135"/>
  <c r="H226" i="135"/>
  <c r="D226" i="135" s="1"/>
  <c r="D212" i="135"/>
  <c r="H244" i="135"/>
  <c r="D244" i="135" s="1"/>
  <c r="E105" i="134"/>
  <c r="E104" i="134"/>
  <c r="E87" i="134"/>
  <c r="E78" i="134"/>
  <c r="E77" i="134"/>
  <c r="E69" i="134"/>
  <c r="F242" i="135" l="1"/>
  <c r="E240" i="135"/>
  <c r="D198" i="135"/>
  <c r="H210" i="135"/>
  <c r="D210" i="135" s="1"/>
  <c r="D211" i="135"/>
  <c r="H243" i="135"/>
  <c r="D243" i="135" s="1"/>
  <c r="D130" i="135"/>
  <c r="M130" i="135" s="1"/>
  <c r="N130" i="135"/>
  <c r="F130" i="135"/>
  <c r="H240" i="135"/>
  <c r="D240" i="135" s="1"/>
  <c r="D242" i="135"/>
  <c r="F198" i="135"/>
  <c r="E196" i="135"/>
  <c r="E114" i="134"/>
  <c r="E68" i="134"/>
  <c r="H196" i="135" l="1"/>
  <c r="D196" i="135" s="1"/>
  <c r="M196" i="135" s="1"/>
  <c r="N196" i="135"/>
  <c r="F196" i="135"/>
  <c r="N240" i="135"/>
  <c r="F240" i="135"/>
  <c r="E60" i="134"/>
  <c r="E59" i="134"/>
  <c r="M240" i="135" l="1"/>
  <c r="E86" i="134"/>
  <c r="E83" i="134"/>
  <c r="E24" i="134"/>
  <c r="E22" i="134"/>
  <c r="E14" i="134"/>
  <c r="E53" i="134" l="1"/>
  <c r="D53" i="134" s="1"/>
  <c r="E32" i="134" l="1"/>
  <c r="B125" i="133" l="1"/>
  <c r="B125" i="134"/>
  <c r="L240" i="134"/>
  <c r="B235" i="134"/>
  <c r="C224" i="134"/>
  <c r="C223" i="134"/>
  <c r="C222" i="134" s="1"/>
  <c r="C219" i="134"/>
  <c r="E211" i="134"/>
  <c r="F211" i="134" s="1"/>
  <c r="C208" i="134"/>
  <c r="C204" i="134"/>
  <c r="H203" i="134"/>
  <c r="C203" i="134"/>
  <c r="D203" i="134" s="1"/>
  <c r="C202" i="134"/>
  <c r="L196" i="134"/>
  <c r="B191" i="134"/>
  <c r="E184" i="134"/>
  <c r="E228" i="134" s="1"/>
  <c r="F228" i="134" s="1"/>
  <c r="C184" i="134"/>
  <c r="C228" i="134" s="1"/>
  <c r="C226" i="134" s="1"/>
  <c r="H182" i="134"/>
  <c r="H227" i="134" s="1"/>
  <c r="C182" i="134"/>
  <c r="C227" i="134" s="1"/>
  <c r="C180" i="134"/>
  <c r="C178" i="134"/>
  <c r="C176" i="134"/>
  <c r="C174" i="134"/>
  <c r="C172" i="134"/>
  <c r="C220" i="134" s="1"/>
  <c r="C218" i="134" s="1"/>
  <c r="C170" i="134"/>
  <c r="C168" i="134"/>
  <c r="C166" i="134"/>
  <c r="C216" i="134" s="1"/>
  <c r="C164" i="134"/>
  <c r="C162" i="134" s="1"/>
  <c r="C160" i="134"/>
  <c r="C212" i="134" s="1"/>
  <c r="F158" i="134"/>
  <c r="C158" i="134"/>
  <c r="C211" i="134" s="1"/>
  <c r="C210" i="134" s="1"/>
  <c r="C156" i="134"/>
  <c r="E154" i="134"/>
  <c r="E208" i="134" s="1"/>
  <c r="F208" i="134" s="1"/>
  <c r="C154" i="134"/>
  <c r="H152" i="134"/>
  <c r="D152" i="134" s="1"/>
  <c r="C152" i="134"/>
  <c r="C207" i="134" s="1"/>
  <c r="C206" i="134" s="1"/>
  <c r="C150" i="134"/>
  <c r="E148" i="134"/>
  <c r="F148" i="134" s="1"/>
  <c r="C148" i="134"/>
  <c r="H146" i="134"/>
  <c r="D146" i="134"/>
  <c r="C146" i="134"/>
  <c r="C144" i="134"/>
  <c r="H142" i="134"/>
  <c r="H200" i="134" s="1"/>
  <c r="C142" i="134"/>
  <c r="C200" i="134" s="1"/>
  <c r="C140" i="134"/>
  <c r="C139" i="134"/>
  <c r="C137" i="134"/>
  <c r="C135" i="134"/>
  <c r="C134" i="134"/>
  <c r="C132" i="134" s="1"/>
  <c r="L130" i="134"/>
  <c r="C130" i="134"/>
  <c r="F114" i="134"/>
  <c r="D114" i="134"/>
  <c r="H114" i="134" s="1"/>
  <c r="H184" i="134" s="1"/>
  <c r="H113" i="134"/>
  <c r="F113" i="134"/>
  <c r="D113" i="134"/>
  <c r="F110" i="134"/>
  <c r="E110" i="134"/>
  <c r="E182" i="134" s="1"/>
  <c r="E227" i="134" s="1"/>
  <c r="D110" i="134"/>
  <c r="E107" i="134"/>
  <c r="F107" i="134" s="1"/>
  <c r="C107" i="134"/>
  <c r="F105" i="134"/>
  <c r="D105" i="134"/>
  <c r="F104" i="134"/>
  <c r="D104" i="134"/>
  <c r="H178" i="134" s="1"/>
  <c r="E176" i="134"/>
  <c r="D101" i="134"/>
  <c r="C98" i="134"/>
  <c r="H96" i="134"/>
  <c r="E96" i="134"/>
  <c r="D96" i="134" s="1"/>
  <c r="H172" i="134"/>
  <c r="F95" i="134"/>
  <c r="D95" i="134"/>
  <c r="E92" i="134"/>
  <c r="C89" i="134"/>
  <c r="F86" i="134"/>
  <c r="D86" i="134"/>
  <c r="F83" i="134"/>
  <c r="D83" i="134"/>
  <c r="E80" i="134"/>
  <c r="F80" i="134" s="1"/>
  <c r="C80" i="134"/>
  <c r="F78" i="134"/>
  <c r="D78" i="134"/>
  <c r="H78" i="134" s="1"/>
  <c r="F77" i="134"/>
  <c r="D77" i="134"/>
  <c r="H77" i="134" s="1"/>
  <c r="H160" i="134" s="1"/>
  <c r="F74" i="134"/>
  <c r="E74" i="134"/>
  <c r="E158" i="134" s="1"/>
  <c r="D74" i="134"/>
  <c r="H74" i="134" s="1"/>
  <c r="F71" i="134"/>
  <c r="E71" i="134"/>
  <c r="C71" i="134"/>
  <c r="F69" i="134"/>
  <c r="D69" i="134"/>
  <c r="F68" i="134"/>
  <c r="D68" i="134"/>
  <c r="H154" i="134" s="1"/>
  <c r="E65" i="134"/>
  <c r="F65" i="134" s="1"/>
  <c r="D65" i="134"/>
  <c r="E62" i="134"/>
  <c r="F62" i="134" s="1"/>
  <c r="C62" i="134"/>
  <c r="F60" i="134"/>
  <c r="D60" i="134"/>
  <c r="F59" i="134"/>
  <c r="D59" i="134"/>
  <c r="H148" i="134" s="1"/>
  <c r="E56" i="134"/>
  <c r="C53" i="134"/>
  <c r="J52" i="134"/>
  <c r="E47" i="134"/>
  <c r="F46" i="134"/>
  <c r="D46" i="134"/>
  <c r="F45" i="134"/>
  <c r="E140" i="134"/>
  <c r="F140" i="134" s="1"/>
  <c r="D45" i="134"/>
  <c r="H43" i="134"/>
  <c r="H139" i="134" s="1"/>
  <c r="D139" i="134" s="1"/>
  <c r="F43" i="134"/>
  <c r="D43" i="134"/>
  <c r="E42" i="134"/>
  <c r="H40" i="134"/>
  <c r="H39" i="134"/>
  <c r="H38" i="134"/>
  <c r="F36" i="134"/>
  <c r="D36" i="134"/>
  <c r="H35" i="134"/>
  <c r="F35" i="134"/>
  <c r="D35" i="134"/>
  <c r="F34" i="134"/>
  <c r="D34" i="134"/>
  <c r="H34" i="134" s="1"/>
  <c r="F33" i="134"/>
  <c r="D33" i="134"/>
  <c r="F32" i="134"/>
  <c r="D32" i="134"/>
  <c r="H31" i="134"/>
  <c r="E30" i="134"/>
  <c r="H28" i="134"/>
  <c r="H27" i="134"/>
  <c r="H26" i="134"/>
  <c r="F24" i="134"/>
  <c r="D24" i="134"/>
  <c r="H24" i="134" s="1"/>
  <c r="F23" i="134"/>
  <c r="D23" i="134"/>
  <c r="F22" i="134"/>
  <c r="D22" i="134"/>
  <c r="F20" i="134"/>
  <c r="D20" i="134"/>
  <c r="F19" i="134"/>
  <c r="D19" i="134"/>
  <c r="H19" i="134" s="1"/>
  <c r="H18" i="134"/>
  <c r="H17" i="134"/>
  <c r="H16" i="134"/>
  <c r="H134" i="134" s="1"/>
  <c r="H15" i="134"/>
  <c r="F14" i="134"/>
  <c r="D14" i="134"/>
  <c r="C11" i="134"/>
  <c r="F184" i="134" l="1"/>
  <c r="H135" i="134"/>
  <c r="D135" i="134" s="1"/>
  <c r="D134" i="134"/>
  <c r="F47" i="134"/>
  <c r="D47" i="134"/>
  <c r="H47" i="134" s="1"/>
  <c r="H140" i="134" s="1"/>
  <c r="D140" i="134" s="1"/>
  <c r="H208" i="134"/>
  <c r="D208" i="134" s="1"/>
  <c r="H150" i="134"/>
  <c r="D150" i="134" s="1"/>
  <c r="D154" i="134"/>
  <c r="D172" i="134"/>
  <c r="H220" i="134"/>
  <c r="D220" i="134" s="1"/>
  <c r="H98" i="134"/>
  <c r="D98" i="134" s="1"/>
  <c r="H176" i="134"/>
  <c r="D184" i="134"/>
  <c r="H228" i="134"/>
  <c r="D228" i="134" s="1"/>
  <c r="H180" i="134"/>
  <c r="D180" i="134" s="1"/>
  <c r="F48" i="134"/>
  <c r="D48" i="134"/>
  <c r="D62" i="134"/>
  <c r="H164" i="134"/>
  <c r="F92" i="134"/>
  <c r="E89" i="134"/>
  <c r="F89" i="134" s="1"/>
  <c r="E170" i="134"/>
  <c r="D92" i="134"/>
  <c r="H92" i="134" s="1"/>
  <c r="E223" i="134"/>
  <c r="F176" i="134"/>
  <c r="E137" i="134"/>
  <c r="F137" i="134" s="1"/>
  <c r="F30" i="134"/>
  <c r="D30" i="134"/>
  <c r="H30" i="134" s="1"/>
  <c r="H137" i="134" s="1"/>
  <c r="D137" i="134" s="1"/>
  <c r="E142" i="134"/>
  <c r="F51" i="134"/>
  <c r="D51" i="134"/>
  <c r="F56" i="134"/>
  <c r="E146" i="134"/>
  <c r="D56" i="134"/>
  <c r="E166" i="134"/>
  <c r="D87" i="134"/>
  <c r="H166" i="134" s="1"/>
  <c r="F87" i="134"/>
  <c r="D178" i="134"/>
  <c r="H224" i="134"/>
  <c r="D224" i="134" s="1"/>
  <c r="H226" i="134"/>
  <c r="D226" i="134" s="1"/>
  <c r="C9" i="134"/>
  <c r="F42" i="134"/>
  <c r="E139" i="134"/>
  <c r="F139" i="134" s="1"/>
  <c r="D42" i="134"/>
  <c r="H144" i="134"/>
  <c r="D144" i="134" s="1"/>
  <c r="H204" i="134"/>
  <c r="D148" i="134"/>
  <c r="D160" i="134"/>
  <c r="H212" i="134"/>
  <c r="D212" i="134" s="1"/>
  <c r="F227" i="134"/>
  <c r="E226" i="134"/>
  <c r="F226" i="134" s="1"/>
  <c r="C244" i="134"/>
  <c r="D227" i="134"/>
  <c r="K130" i="134"/>
  <c r="E134" i="134"/>
  <c r="E152" i="134"/>
  <c r="E160" i="134"/>
  <c r="E164" i="134"/>
  <c r="E172" i="134"/>
  <c r="E178" i="134"/>
  <c r="E174" i="134" s="1"/>
  <c r="F174" i="134" s="1"/>
  <c r="E180" i="134"/>
  <c r="F180" i="134" s="1"/>
  <c r="F182" i="134"/>
  <c r="H71" i="134"/>
  <c r="D71" i="134" s="1"/>
  <c r="F154" i="134"/>
  <c r="H158" i="134"/>
  <c r="C199" i="134"/>
  <c r="D200" i="134"/>
  <c r="E204" i="134"/>
  <c r="E11" i="134"/>
  <c r="E135" i="134"/>
  <c r="F135" i="134" s="1"/>
  <c r="F96" i="134"/>
  <c r="E98" i="134"/>
  <c r="F98" i="134" s="1"/>
  <c r="F101" i="134"/>
  <c r="H107" i="134"/>
  <c r="D107" i="134" s="1"/>
  <c r="D142" i="134"/>
  <c r="D182" i="134"/>
  <c r="H207" i="134"/>
  <c r="C215" i="134"/>
  <c r="C214" i="134" s="1"/>
  <c r="L240" i="133"/>
  <c r="B235" i="133"/>
  <c r="L196" i="133"/>
  <c r="B191" i="133"/>
  <c r="E184" i="133"/>
  <c r="C184" i="133"/>
  <c r="C228" i="133" s="1"/>
  <c r="H182" i="133"/>
  <c r="H227" i="133" s="1"/>
  <c r="D182" i="133"/>
  <c r="C182" i="133"/>
  <c r="C227" i="133" s="1"/>
  <c r="C226" i="133" s="1"/>
  <c r="C178" i="133"/>
  <c r="C224" i="133" s="1"/>
  <c r="E176" i="133"/>
  <c r="C176" i="133"/>
  <c r="H172" i="133"/>
  <c r="E172" i="133"/>
  <c r="C172" i="133"/>
  <c r="C220" i="133" s="1"/>
  <c r="C170" i="133"/>
  <c r="C219" i="133" s="1"/>
  <c r="C166" i="133"/>
  <c r="C216" i="133" s="1"/>
  <c r="C164" i="133"/>
  <c r="E160" i="133"/>
  <c r="C160" i="133"/>
  <c r="C212" i="133" s="1"/>
  <c r="C158" i="133"/>
  <c r="C211" i="133" s="1"/>
  <c r="C210" i="133" s="1"/>
  <c r="C156" i="133"/>
  <c r="F154" i="133"/>
  <c r="C154" i="133"/>
  <c r="C208" i="133" s="1"/>
  <c r="H152" i="133"/>
  <c r="C152" i="133"/>
  <c r="C148" i="133"/>
  <c r="C204" i="133" s="1"/>
  <c r="C244" i="133" s="1"/>
  <c r="H146" i="133"/>
  <c r="H203" i="133" s="1"/>
  <c r="D146" i="133"/>
  <c r="C146" i="133"/>
  <c r="C203" i="133" s="1"/>
  <c r="C202" i="133" s="1"/>
  <c r="H142" i="133"/>
  <c r="H200" i="133" s="1"/>
  <c r="D200" i="133" s="1"/>
  <c r="D142" i="133"/>
  <c r="C142" i="133"/>
  <c r="C200" i="133" s="1"/>
  <c r="C140" i="133"/>
  <c r="C139" i="133"/>
  <c r="C137" i="133"/>
  <c r="C135" i="133"/>
  <c r="C134" i="133"/>
  <c r="C132" i="133" s="1"/>
  <c r="L130" i="133"/>
  <c r="F114" i="133"/>
  <c r="E114" i="133"/>
  <c r="D114" i="133"/>
  <c r="H114" i="133" s="1"/>
  <c r="F113" i="133"/>
  <c r="D113" i="133"/>
  <c r="H113" i="133" s="1"/>
  <c r="H107" i="133" s="1"/>
  <c r="D107" i="133" s="1"/>
  <c r="F110" i="133"/>
  <c r="E110" i="133"/>
  <c r="E182" i="133" s="1"/>
  <c r="E227" i="133" s="1"/>
  <c r="D110" i="133"/>
  <c r="F107" i="133"/>
  <c r="E107" i="133"/>
  <c r="C107" i="133"/>
  <c r="E105" i="133"/>
  <c r="F104" i="133"/>
  <c r="D104" i="133"/>
  <c r="H104" i="133" s="1"/>
  <c r="F101" i="133"/>
  <c r="E101" i="133"/>
  <c r="D101" i="133"/>
  <c r="H101" i="133" s="1"/>
  <c r="C98" i="133"/>
  <c r="F96" i="133"/>
  <c r="E96" i="133"/>
  <c r="D96" i="133"/>
  <c r="H95" i="133"/>
  <c r="F95" i="133"/>
  <c r="D95" i="133"/>
  <c r="E92" i="133"/>
  <c r="E89" i="133"/>
  <c r="F89" i="133" s="1"/>
  <c r="C89" i="133"/>
  <c r="F87" i="133"/>
  <c r="E87" i="133"/>
  <c r="E166" i="133" s="1"/>
  <c r="E216" i="133" s="1"/>
  <c r="F216" i="133" s="1"/>
  <c r="D87" i="133"/>
  <c r="H87" i="133" s="1"/>
  <c r="F86" i="133"/>
  <c r="D86" i="133"/>
  <c r="H86" i="133" s="1"/>
  <c r="E83" i="133"/>
  <c r="C80" i="133"/>
  <c r="F78" i="133"/>
  <c r="E78" i="133"/>
  <c r="D78" i="133"/>
  <c r="H78" i="133" s="1"/>
  <c r="F77" i="133"/>
  <c r="D77" i="133"/>
  <c r="H77" i="133" s="1"/>
  <c r="H160" i="133" s="1"/>
  <c r="E74" i="133"/>
  <c r="E71" i="133"/>
  <c r="F71" i="133" s="1"/>
  <c r="C71" i="133"/>
  <c r="F69" i="133"/>
  <c r="E69" i="133"/>
  <c r="E154" i="133" s="1"/>
  <c r="E208" i="133" s="1"/>
  <c r="D69" i="133"/>
  <c r="H69" i="133" s="1"/>
  <c r="H62" i="133" s="1"/>
  <c r="D62" i="133" s="1"/>
  <c r="F68" i="133"/>
  <c r="D68" i="133"/>
  <c r="H68" i="133" s="1"/>
  <c r="E65" i="133"/>
  <c r="D65" i="133" s="1"/>
  <c r="E62" i="133"/>
  <c r="F62" i="133" s="1"/>
  <c r="C62" i="133"/>
  <c r="C9" i="133" s="1"/>
  <c r="F60" i="133"/>
  <c r="E60" i="133"/>
  <c r="D60" i="133"/>
  <c r="H60" i="133" s="1"/>
  <c r="F59" i="133"/>
  <c r="E59" i="133"/>
  <c r="E148" i="133" s="1"/>
  <c r="D59" i="133"/>
  <c r="H59" i="133" s="1"/>
  <c r="E56" i="133"/>
  <c r="E146" i="133" s="1"/>
  <c r="E203" i="133" s="1"/>
  <c r="D53" i="133"/>
  <c r="C53" i="133"/>
  <c r="J52" i="133"/>
  <c r="E51" i="133"/>
  <c r="E142" i="133" s="1"/>
  <c r="E200" i="133" s="1"/>
  <c r="E48" i="133"/>
  <c r="D48" i="133" s="1"/>
  <c r="H48" i="133" s="1"/>
  <c r="E47" i="133"/>
  <c r="D47" i="133" s="1"/>
  <c r="H47" i="133" s="1"/>
  <c r="H140" i="133" s="1"/>
  <c r="D140" i="133" s="1"/>
  <c r="F46" i="133"/>
  <c r="E46" i="133"/>
  <c r="D46" i="133"/>
  <c r="E45" i="133"/>
  <c r="F45" i="133" s="1"/>
  <c r="H43" i="133"/>
  <c r="F43" i="133"/>
  <c r="D43" i="133"/>
  <c r="F42" i="133"/>
  <c r="E42" i="133"/>
  <c r="E139" i="133" s="1"/>
  <c r="F139" i="133" s="1"/>
  <c r="D42" i="133"/>
  <c r="H42" i="133" s="1"/>
  <c r="H139" i="133" s="1"/>
  <c r="D139" i="133" s="1"/>
  <c r="H40" i="133"/>
  <c r="H39" i="133"/>
  <c r="H38" i="133"/>
  <c r="F36" i="133"/>
  <c r="E36" i="133"/>
  <c r="D36" i="133"/>
  <c r="F35" i="133"/>
  <c r="D35" i="133"/>
  <c r="H35" i="133" s="1"/>
  <c r="H34" i="133"/>
  <c r="F34" i="133"/>
  <c r="D34" i="133"/>
  <c r="E33" i="133"/>
  <c r="D33" i="133" s="1"/>
  <c r="E32" i="133"/>
  <c r="D32" i="133" s="1"/>
  <c r="H32" i="133" s="1"/>
  <c r="H31" i="133"/>
  <c r="F30" i="133"/>
  <c r="E30" i="133"/>
  <c r="E137" i="133" s="1"/>
  <c r="F137" i="133" s="1"/>
  <c r="D30" i="133"/>
  <c r="H30" i="133" s="1"/>
  <c r="H28" i="133"/>
  <c r="H27" i="133"/>
  <c r="H26" i="133"/>
  <c r="E24" i="133"/>
  <c r="D24" i="133" s="1"/>
  <c r="H24" i="133" s="1"/>
  <c r="E23" i="133"/>
  <c r="D23" i="133" s="1"/>
  <c r="H23" i="133" s="1"/>
  <c r="E22" i="133"/>
  <c r="E135" i="133" s="1"/>
  <c r="F135" i="133" s="1"/>
  <c r="F20" i="133"/>
  <c r="D20" i="133"/>
  <c r="H20" i="133" s="1"/>
  <c r="F19" i="133"/>
  <c r="D19" i="133"/>
  <c r="H19" i="133" s="1"/>
  <c r="H18" i="133"/>
  <c r="H17" i="133"/>
  <c r="H16" i="133"/>
  <c r="H15" i="133"/>
  <c r="E14" i="133"/>
  <c r="F14" i="133" s="1"/>
  <c r="D11" i="133"/>
  <c r="C11" i="133"/>
  <c r="D11" i="134" l="1"/>
  <c r="E9" i="134"/>
  <c r="F53" i="134"/>
  <c r="F172" i="134"/>
  <c r="E220" i="134"/>
  <c r="F220" i="134" s="1"/>
  <c r="F134" i="134"/>
  <c r="E199" i="134"/>
  <c r="E132" i="134"/>
  <c r="C243" i="134"/>
  <c r="H216" i="134"/>
  <c r="D216" i="134" s="1"/>
  <c r="D166" i="134"/>
  <c r="E200" i="134"/>
  <c r="F142" i="134"/>
  <c r="E219" i="134"/>
  <c r="E168" i="134"/>
  <c r="F168" i="134" s="1"/>
  <c r="F170" i="134"/>
  <c r="H80" i="134"/>
  <c r="D80" i="134" s="1"/>
  <c r="D176" i="134"/>
  <c r="H223" i="134"/>
  <c r="H174" i="134"/>
  <c r="D174" i="134" s="1"/>
  <c r="C242" i="134"/>
  <c r="C240" i="134" s="1"/>
  <c r="K240" i="134" s="1"/>
  <c r="C198" i="134"/>
  <c r="C196" i="134" s="1"/>
  <c r="K196" i="134" s="1"/>
  <c r="F164" i="134"/>
  <c r="E215" i="134"/>
  <c r="E162" i="134"/>
  <c r="F162" i="134" s="1"/>
  <c r="E216" i="134"/>
  <c r="F216" i="134" s="1"/>
  <c r="F166" i="134"/>
  <c r="F223" i="134"/>
  <c r="H199" i="134"/>
  <c r="H206" i="134"/>
  <c r="D206" i="134" s="1"/>
  <c r="D207" i="134"/>
  <c r="F11" i="134"/>
  <c r="H211" i="134"/>
  <c r="H156" i="134"/>
  <c r="D156" i="134" s="1"/>
  <c r="D158" i="134"/>
  <c r="E212" i="134"/>
  <c r="F160" i="134"/>
  <c r="E156" i="134"/>
  <c r="F156" i="134" s="1"/>
  <c r="D204" i="134"/>
  <c r="H244" i="134"/>
  <c r="D244" i="134" s="1"/>
  <c r="H202" i="134"/>
  <c r="D202" i="134" s="1"/>
  <c r="F204" i="134"/>
  <c r="E224" i="134"/>
  <c r="F224" i="134" s="1"/>
  <c r="F178" i="134"/>
  <c r="E150" i="134"/>
  <c r="F150" i="134" s="1"/>
  <c r="E207" i="134"/>
  <c r="F152" i="134"/>
  <c r="E203" i="134"/>
  <c r="E144" i="134"/>
  <c r="F144" i="134" s="1"/>
  <c r="F146" i="134"/>
  <c r="H170" i="134"/>
  <c r="H89" i="134"/>
  <c r="D89" i="134" s="1"/>
  <c r="H162" i="134"/>
  <c r="D162" i="134" s="1"/>
  <c r="D164" i="134"/>
  <c r="H215" i="134"/>
  <c r="H132" i="134"/>
  <c r="H148" i="133"/>
  <c r="E204" i="133"/>
  <c r="F148" i="133"/>
  <c r="H212" i="133"/>
  <c r="D212" i="133" s="1"/>
  <c r="D160" i="133"/>
  <c r="H137" i="133"/>
  <c r="D137" i="133" s="1"/>
  <c r="F200" i="133"/>
  <c r="D83" i="133"/>
  <c r="H83" i="133" s="1"/>
  <c r="F83" i="133"/>
  <c r="E144" i="133"/>
  <c r="F144" i="133" s="1"/>
  <c r="E152" i="133"/>
  <c r="E212" i="133"/>
  <c r="F212" i="133" s="1"/>
  <c r="F160" i="133"/>
  <c r="C215" i="133"/>
  <c r="C214" i="133" s="1"/>
  <c r="C162" i="133"/>
  <c r="E180" i="133"/>
  <c r="F180" i="133" s="1"/>
  <c r="F182" i="133"/>
  <c r="H184" i="133"/>
  <c r="D14" i="133"/>
  <c r="H14" i="133" s="1"/>
  <c r="H134" i="133" s="1"/>
  <c r="F22" i="133"/>
  <c r="F23" i="133"/>
  <c r="F24" i="133"/>
  <c r="F32" i="133"/>
  <c r="F33" i="133"/>
  <c r="D45" i="133"/>
  <c r="F47" i="133"/>
  <c r="F48" i="133"/>
  <c r="F51" i="133"/>
  <c r="E53" i="133"/>
  <c r="F53" i="133" s="1"/>
  <c r="F56" i="133"/>
  <c r="F65" i="133"/>
  <c r="F208" i="133"/>
  <c r="E134" i="133"/>
  <c r="E140" i="133"/>
  <c r="F140" i="133" s="1"/>
  <c r="F142" i="133"/>
  <c r="D203" i="133"/>
  <c r="H207" i="133"/>
  <c r="D152" i="133"/>
  <c r="E164" i="133"/>
  <c r="F166" i="133"/>
  <c r="C218" i="133"/>
  <c r="E220" i="133"/>
  <c r="F220" i="133" s="1"/>
  <c r="F172" i="133"/>
  <c r="C174" i="133"/>
  <c r="C223" i="133"/>
  <c r="C222" i="133" s="1"/>
  <c r="D227" i="133"/>
  <c r="C199" i="133"/>
  <c r="H154" i="133"/>
  <c r="D74" i="133"/>
  <c r="H74" i="133" s="1"/>
  <c r="E158" i="133"/>
  <c r="F74" i="133"/>
  <c r="E80" i="133"/>
  <c r="F80" i="133" s="1"/>
  <c r="H166" i="133"/>
  <c r="E170" i="133"/>
  <c r="D92" i="133"/>
  <c r="H92" i="133" s="1"/>
  <c r="F92" i="133"/>
  <c r="F227" i="133"/>
  <c r="C168" i="133"/>
  <c r="H220" i="133"/>
  <c r="D220" i="133" s="1"/>
  <c r="D172" i="133"/>
  <c r="E223" i="133"/>
  <c r="F176" i="133"/>
  <c r="E11" i="133"/>
  <c r="D22" i="133"/>
  <c r="H22" i="133" s="1"/>
  <c r="H135" i="133" s="1"/>
  <c r="D135" i="133" s="1"/>
  <c r="D51" i="133"/>
  <c r="D56" i="133"/>
  <c r="E178" i="133"/>
  <c r="F105" i="133"/>
  <c r="E98" i="133"/>
  <c r="F98" i="133" s="1"/>
  <c r="D105" i="133"/>
  <c r="H105" i="133" s="1"/>
  <c r="H178" i="133" s="1"/>
  <c r="C243" i="133"/>
  <c r="C144" i="133"/>
  <c r="C130" i="133" s="1"/>
  <c r="K130" i="133" s="1"/>
  <c r="C150" i="133"/>
  <c r="C207" i="133"/>
  <c r="C206" i="133" s="1"/>
  <c r="H176" i="133"/>
  <c r="C180" i="133"/>
  <c r="E228" i="133"/>
  <c r="F228" i="133" s="1"/>
  <c r="F184" i="133"/>
  <c r="E202" i="133"/>
  <c r="F202" i="133" s="1"/>
  <c r="F203" i="133"/>
  <c r="F146" i="133"/>
  <c r="D170" i="134" l="1"/>
  <c r="H219" i="134"/>
  <c r="H168" i="134"/>
  <c r="D168" i="134" s="1"/>
  <c r="F212" i="134"/>
  <c r="E210" i="134"/>
  <c r="F210" i="134" s="1"/>
  <c r="H242" i="134"/>
  <c r="D199" i="134"/>
  <c r="H198" i="134"/>
  <c r="F219" i="134"/>
  <c r="E218" i="134"/>
  <c r="F218" i="134" s="1"/>
  <c r="D215" i="134"/>
  <c r="H214" i="134"/>
  <c r="D214" i="134" s="1"/>
  <c r="F207" i="134"/>
  <c r="E206" i="134"/>
  <c r="F206" i="134" s="1"/>
  <c r="E222" i="134"/>
  <c r="F222" i="134" s="1"/>
  <c r="E244" i="134"/>
  <c r="F244" i="134" s="1"/>
  <c r="E214" i="134"/>
  <c r="F214" i="134" s="1"/>
  <c r="F215" i="134"/>
  <c r="E243" i="134"/>
  <c r="F243" i="134" s="1"/>
  <c r="F200" i="134"/>
  <c r="F132" i="134"/>
  <c r="E130" i="134"/>
  <c r="D9" i="134"/>
  <c r="F9" i="134"/>
  <c r="D132" i="134"/>
  <c r="F203" i="134"/>
  <c r="E202" i="134"/>
  <c r="F202" i="134" s="1"/>
  <c r="H210" i="134"/>
  <c r="D210" i="134" s="1"/>
  <c r="D211" i="134"/>
  <c r="H222" i="134"/>
  <c r="D222" i="134" s="1"/>
  <c r="D223" i="134"/>
  <c r="E198" i="134"/>
  <c r="F199" i="134"/>
  <c r="E242" i="134"/>
  <c r="H243" i="134"/>
  <c r="D243" i="134" s="1"/>
  <c r="H224" i="133"/>
  <c r="D224" i="133" s="1"/>
  <c r="D178" i="133"/>
  <c r="H174" i="133"/>
  <c r="D174" i="133" s="1"/>
  <c r="H223" i="133"/>
  <c r="D176" i="133"/>
  <c r="E224" i="133"/>
  <c r="F224" i="133" s="1"/>
  <c r="F178" i="133"/>
  <c r="F11" i="133"/>
  <c r="E9" i="133"/>
  <c r="E226" i="133"/>
  <c r="F226" i="133" s="1"/>
  <c r="E219" i="133"/>
  <c r="F170" i="133"/>
  <c r="E168" i="133"/>
  <c r="F168" i="133" s="1"/>
  <c r="E211" i="133"/>
  <c r="F158" i="133"/>
  <c r="E156" i="133"/>
  <c r="F156" i="133" s="1"/>
  <c r="E162" i="133"/>
  <c r="F162" i="133" s="1"/>
  <c r="E215" i="133"/>
  <c r="F164" i="133"/>
  <c r="E132" i="133"/>
  <c r="F134" i="133"/>
  <c r="E199" i="133"/>
  <c r="H228" i="133"/>
  <c r="D184" i="133"/>
  <c r="H180" i="133"/>
  <c r="D180" i="133" s="1"/>
  <c r="H204" i="133"/>
  <c r="D148" i="133"/>
  <c r="H144" i="133"/>
  <c r="D144" i="133" s="1"/>
  <c r="E174" i="133"/>
  <c r="F174" i="133" s="1"/>
  <c r="H216" i="133"/>
  <c r="D216" i="133" s="1"/>
  <c r="D166" i="133"/>
  <c r="H158" i="133"/>
  <c r="H71" i="133"/>
  <c r="D71" i="133" s="1"/>
  <c r="H98" i="133"/>
  <c r="D98" i="133" s="1"/>
  <c r="H208" i="133"/>
  <c r="D208" i="133" s="1"/>
  <c r="D154" i="133"/>
  <c r="D207" i="133"/>
  <c r="H80" i="133"/>
  <c r="D80" i="133" s="1"/>
  <c r="H164" i="133"/>
  <c r="E222" i="133"/>
  <c r="F222" i="133" s="1"/>
  <c r="F223" i="133"/>
  <c r="H170" i="133"/>
  <c r="H89" i="133"/>
  <c r="D89" i="133" s="1"/>
  <c r="C198" i="133"/>
  <c r="C196" i="133" s="1"/>
  <c r="K196" i="133" s="1"/>
  <c r="C242" i="133"/>
  <c r="C240" i="133" s="1"/>
  <c r="K240" i="133" s="1"/>
  <c r="H150" i="133"/>
  <c r="D150" i="133" s="1"/>
  <c r="D134" i="133"/>
  <c r="H132" i="133"/>
  <c r="H199" i="133"/>
  <c r="E207" i="133"/>
  <c r="F152" i="133"/>
  <c r="E150" i="133"/>
  <c r="F150" i="133" s="1"/>
  <c r="F204" i="133"/>
  <c r="E244" i="133"/>
  <c r="F244" i="133" s="1"/>
  <c r="H130" i="134" l="1"/>
  <c r="D198" i="134"/>
  <c r="F242" i="134"/>
  <c r="E240" i="134"/>
  <c r="D130" i="134"/>
  <c r="M130" i="134" s="1"/>
  <c r="N130" i="134"/>
  <c r="F130" i="134"/>
  <c r="D242" i="134"/>
  <c r="H240" i="134"/>
  <c r="D240" i="134" s="1"/>
  <c r="D219" i="134"/>
  <c r="H218" i="134"/>
  <c r="D218" i="134" s="1"/>
  <c r="F198" i="134"/>
  <c r="E196" i="134"/>
  <c r="D9" i="133"/>
  <c r="F9" i="133"/>
  <c r="E206" i="133"/>
  <c r="F206" i="133" s="1"/>
  <c r="F207" i="133"/>
  <c r="E243" i="133"/>
  <c r="F243" i="133" s="1"/>
  <c r="H219" i="133"/>
  <c r="D170" i="133"/>
  <c r="H168" i="133"/>
  <c r="D168" i="133" s="1"/>
  <c r="H215" i="133"/>
  <c r="D164" i="133"/>
  <c r="H162" i="133"/>
  <c r="D162" i="133" s="1"/>
  <c r="H211" i="133"/>
  <c r="H156" i="133"/>
  <c r="D156" i="133" s="1"/>
  <c r="D158" i="133"/>
  <c r="F132" i="133"/>
  <c r="E130" i="133"/>
  <c r="D223" i="133"/>
  <c r="H222" i="133"/>
  <c r="D222" i="133" s="1"/>
  <c r="H198" i="133"/>
  <c r="H242" i="133"/>
  <c r="D199" i="133"/>
  <c r="D228" i="133"/>
  <c r="H226" i="133"/>
  <c r="D226" i="133" s="1"/>
  <c r="E218" i="133"/>
  <c r="F218" i="133" s="1"/>
  <c r="F219" i="133"/>
  <c r="D132" i="133"/>
  <c r="H206" i="133"/>
  <c r="D206" i="133" s="1"/>
  <c r="H244" i="133"/>
  <c r="D244" i="133" s="1"/>
  <c r="D204" i="133"/>
  <c r="H202" i="133"/>
  <c r="D202" i="133" s="1"/>
  <c r="E242" i="133"/>
  <c r="F199" i="133"/>
  <c r="E198" i="133"/>
  <c r="F215" i="133"/>
  <c r="E214" i="133"/>
  <c r="F214" i="133" s="1"/>
  <c r="F211" i="133"/>
  <c r="E210" i="133"/>
  <c r="F210" i="133" s="1"/>
  <c r="N240" i="134" l="1"/>
  <c r="F240" i="134"/>
  <c r="H196" i="134"/>
  <c r="D196" i="134" s="1"/>
  <c r="M196" i="134" s="1"/>
  <c r="F196" i="134"/>
  <c r="N196" i="134"/>
  <c r="H214" i="133"/>
  <c r="D214" i="133" s="1"/>
  <c r="D215" i="133"/>
  <c r="F242" i="133"/>
  <c r="E240" i="133"/>
  <c r="H240" i="133"/>
  <c r="D240" i="133" s="1"/>
  <c r="D242" i="133"/>
  <c r="F130" i="133"/>
  <c r="D130" i="133"/>
  <c r="M130" i="133" s="1"/>
  <c r="N130" i="133"/>
  <c r="H210" i="133"/>
  <c r="D210" i="133" s="1"/>
  <c r="D211" i="133"/>
  <c r="H243" i="133"/>
  <c r="D243" i="133" s="1"/>
  <c r="D198" i="133"/>
  <c r="E196" i="133"/>
  <c r="F198" i="133"/>
  <c r="H130" i="133"/>
  <c r="D219" i="133"/>
  <c r="H218" i="133"/>
  <c r="D218" i="133" s="1"/>
  <c r="M240" i="134" l="1"/>
  <c r="M240" i="133"/>
  <c r="N240" i="133"/>
  <c r="F240" i="133"/>
  <c r="F196" i="133"/>
  <c r="N196" i="133"/>
  <c r="H196" i="133"/>
  <c r="D196" i="133" s="1"/>
  <c r="M196" i="133" s="1"/>
  <c r="E114" i="131" l="1"/>
  <c r="E110" i="131" l="1"/>
  <c r="E101" i="131"/>
  <c r="E92" i="131"/>
  <c r="E83" i="131"/>
  <c r="E65" i="131"/>
  <c r="E56" i="131"/>
  <c r="E105" i="131"/>
  <c r="E96" i="131"/>
  <c r="E87" i="131"/>
  <c r="E78" i="131"/>
  <c r="E46" i="131" l="1"/>
  <c r="E33" i="131"/>
  <c r="E23" i="131"/>
  <c r="E22" i="131"/>
  <c r="E51" i="131" l="1"/>
  <c r="E45" i="131"/>
  <c r="E30" i="131"/>
  <c r="E24" i="131"/>
  <c r="E60" i="131" l="1"/>
  <c r="E69" i="131" l="1"/>
  <c r="E48" i="131"/>
  <c r="E42" i="131"/>
  <c r="E36" i="131"/>
  <c r="E32" i="131"/>
  <c r="E14" i="131"/>
  <c r="L240" i="131" l="1"/>
  <c r="B235" i="131"/>
  <c r="L196" i="131"/>
  <c r="B191" i="131"/>
  <c r="E184" i="131"/>
  <c r="E228" i="131" s="1"/>
  <c r="C184" i="131"/>
  <c r="C228" i="131" s="1"/>
  <c r="C182" i="131"/>
  <c r="C180" i="131" s="1"/>
  <c r="E178" i="131"/>
  <c r="E224" i="131" s="1"/>
  <c r="C178" i="131"/>
  <c r="C224" i="131" s="1"/>
  <c r="C176" i="131"/>
  <c r="C223" i="131" s="1"/>
  <c r="C222" i="131" s="1"/>
  <c r="C174" i="131"/>
  <c r="E172" i="131"/>
  <c r="E220" i="131" s="1"/>
  <c r="C172" i="131"/>
  <c r="C220" i="131" s="1"/>
  <c r="C170" i="131"/>
  <c r="C219" i="131" s="1"/>
  <c r="C218" i="131" s="1"/>
  <c r="E166" i="131"/>
  <c r="E216" i="131" s="1"/>
  <c r="C166" i="131"/>
  <c r="C216" i="131" s="1"/>
  <c r="C164" i="131"/>
  <c r="C215" i="131" s="1"/>
  <c r="C214" i="131" s="1"/>
  <c r="E160" i="131"/>
  <c r="E212" i="131" s="1"/>
  <c r="C160" i="131"/>
  <c r="C212" i="131" s="1"/>
  <c r="C158" i="131"/>
  <c r="C156" i="131" s="1"/>
  <c r="C154" i="131"/>
  <c r="C208" i="131" s="1"/>
  <c r="H152" i="131"/>
  <c r="H207" i="131" s="1"/>
  <c r="C152" i="131"/>
  <c r="C207" i="131" s="1"/>
  <c r="C150" i="131"/>
  <c r="E148" i="131"/>
  <c r="E204" i="131" s="1"/>
  <c r="C148" i="131"/>
  <c r="C204" i="131" s="1"/>
  <c r="H146" i="131"/>
  <c r="H203" i="131" s="1"/>
  <c r="C146" i="131"/>
  <c r="C203" i="131" s="1"/>
  <c r="H142" i="131"/>
  <c r="H200" i="131" s="1"/>
  <c r="C142" i="131"/>
  <c r="C200" i="131" s="1"/>
  <c r="C140" i="131"/>
  <c r="C139" i="131"/>
  <c r="C137" i="131"/>
  <c r="C135" i="131"/>
  <c r="E134" i="131"/>
  <c r="F134" i="131" s="1"/>
  <c r="C134" i="131"/>
  <c r="C199" i="131" s="1"/>
  <c r="C132" i="131"/>
  <c r="L130" i="131"/>
  <c r="B125" i="131"/>
  <c r="F114" i="131"/>
  <c r="D114" i="131"/>
  <c r="H114" i="131" s="1"/>
  <c r="F113" i="131"/>
  <c r="D113" i="131"/>
  <c r="H113" i="131" s="1"/>
  <c r="F110" i="131"/>
  <c r="E182" i="131"/>
  <c r="D110" i="131"/>
  <c r="H110" i="131" s="1"/>
  <c r="E107" i="131"/>
  <c r="F107" i="131" s="1"/>
  <c r="C107" i="131"/>
  <c r="F105" i="131"/>
  <c r="D105" i="131"/>
  <c r="H105" i="131" s="1"/>
  <c r="F104" i="131"/>
  <c r="D104" i="131"/>
  <c r="H104" i="131" s="1"/>
  <c r="C98" i="131"/>
  <c r="F96" i="131"/>
  <c r="D96" i="131"/>
  <c r="H96" i="131" s="1"/>
  <c r="F95" i="131"/>
  <c r="D95" i="131"/>
  <c r="H95" i="131" s="1"/>
  <c r="F92" i="131"/>
  <c r="E170" i="131"/>
  <c r="D92" i="131"/>
  <c r="H92" i="131" s="1"/>
  <c r="E89" i="131"/>
  <c r="F89" i="131" s="1"/>
  <c r="C89" i="131"/>
  <c r="F87" i="131"/>
  <c r="D87" i="131"/>
  <c r="H87" i="131" s="1"/>
  <c r="F86" i="131"/>
  <c r="D86" i="131"/>
  <c r="H86" i="131" s="1"/>
  <c r="E80" i="131"/>
  <c r="C80" i="131"/>
  <c r="F78" i="131"/>
  <c r="D78" i="131"/>
  <c r="H78" i="131" s="1"/>
  <c r="H77" i="131"/>
  <c r="H160" i="131" s="1"/>
  <c r="F77" i="131"/>
  <c r="D77" i="131"/>
  <c r="F74" i="131"/>
  <c r="E74" i="131"/>
  <c r="E158" i="131" s="1"/>
  <c r="D74" i="131"/>
  <c r="H74" i="131" s="1"/>
  <c r="F71" i="131"/>
  <c r="E71" i="131"/>
  <c r="C71" i="131"/>
  <c r="H68" i="131"/>
  <c r="F68" i="131"/>
  <c r="D68" i="131"/>
  <c r="E62" i="131"/>
  <c r="F62" i="131" s="1"/>
  <c r="C62" i="131"/>
  <c r="F60" i="131"/>
  <c r="D60" i="131"/>
  <c r="H60" i="131" s="1"/>
  <c r="H59" i="131"/>
  <c r="F59" i="131"/>
  <c r="D59" i="131"/>
  <c r="D53" i="131"/>
  <c r="C53" i="131"/>
  <c r="J52" i="131"/>
  <c r="E47" i="131"/>
  <c r="F45" i="131"/>
  <c r="D45" i="131"/>
  <c r="H45" i="131" s="1"/>
  <c r="H43" i="131"/>
  <c r="F43" i="131"/>
  <c r="D43" i="131"/>
  <c r="E139" i="131"/>
  <c r="F139" i="131" s="1"/>
  <c r="H40" i="131"/>
  <c r="H39" i="131"/>
  <c r="H38" i="131"/>
  <c r="F36" i="131"/>
  <c r="D36" i="131"/>
  <c r="H36" i="131" s="1"/>
  <c r="F35" i="131"/>
  <c r="D35" i="131"/>
  <c r="H35" i="131" s="1"/>
  <c r="H34" i="131"/>
  <c r="F34" i="131"/>
  <c r="D34" i="131"/>
  <c r="E137" i="131"/>
  <c r="F137" i="131" s="1"/>
  <c r="F32" i="131"/>
  <c r="D32" i="131"/>
  <c r="H32" i="131" s="1"/>
  <c r="H31" i="131"/>
  <c r="F30" i="131"/>
  <c r="D30" i="131"/>
  <c r="H30" i="131" s="1"/>
  <c r="H137" i="131" s="1"/>
  <c r="D137" i="131" s="1"/>
  <c r="H28" i="131"/>
  <c r="H27" i="131"/>
  <c r="H26" i="131"/>
  <c r="F24" i="131"/>
  <c r="D24" i="131"/>
  <c r="H24" i="131" s="1"/>
  <c r="F23" i="131"/>
  <c r="D23" i="131"/>
  <c r="H23" i="131" s="1"/>
  <c r="F22" i="131"/>
  <c r="E135" i="131"/>
  <c r="D22" i="131"/>
  <c r="H22" i="131" s="1"/>
  <c r="H20" i="131"/>
  <c r="F20" i="131"/>
  <c r="D20" i="131"/>
  <c r="H19" i="131"/>
  <c r="F19" i="131"/>
  <c r="D19" i="131"/>
  <c r="H18" i="131"/>
  <c r="H17" i="131"/>
  <c r="H16" i="131"/>
  <c r="H15" i="131"/>
  <c r="F14" i="131"/>
  <c r="D14" i="131"/>
  <c r="H14" i="131" s="1"/>
  <c r="H134" i="131" s="1"/>
  <c r="C11" i="131"/>
  <c r="D11" i="131" s="1"/>
  <c r="F184" i="131" l="1"/>
  <c r="D152" i="131"/>
  <c r="H172" i="131"/>
  <c r="H220" i="131" s="1"/>
  <c r="D220" i="131" s="1"/>
  <c r="F172" i="131"/>
  <c r="H166" i="131"/>
  <c r="D166" i="131" s="1"/>
  <c r="F160" i="131"/>
  <c r="H135" i="131"/>
  <c r="D135" i="131" s="1"/>
  <c r="H148" i="131"/>
  <c r="D148" i="131" s="1"/>
  <c r="F148" i="131"/>
  <c r="D134" i="131"/>
  <c r="D172" i="131"/>
  <c r="C9" i="131"/>
  <c r="H182" i="131"/>
  <c r="H107" i="131"/>
  <c r="D107" i="131" s="1"/>
  <c r="D203" i="131"/>
  <c r="F42" i="131"/>
  <c r="H212" i="131"/>
  <c r="D212" i="131" s="1"/>
  <c r="D160" i="131"/>
  <c r="F80" i="131"/>
  <c r="H216" i="131"/>
  <c r="D216" i="131" s="1"/>
  <c r="E176" i="131"/>
  <c r="D101" i="131"/>
  <c r="H101" i="131" s="1"/>
  <c r="F101" i="131"/>
  <c r="E227" i="131"/>
  <c r="F182" i="131"/>
  <c r="E180" i="131"/>
  <c r="F180" i="131" s="1"/>
  <c r="C243" i="131"/>
  <c r="C244" i="131"/>
  <c r="C206" i="131"/>
  <c r="E11" i="131"/>
  <c r="F135" i="131"/>
  <c r="F46" i="131"/>
  <c r="D46" i="131"/>
  <c r="H46" i="131" s="1"/>
  <c r="F48" i="131"/>
  <c r="D48" i="131"/>
  <c r="H48" i="131" s="1"/>
  <c r="E152" i="131"/>
  <c r="D65" i="131"/>
  <c r="F65" i="131"/>
  <c r="E154" i="131"/>
  <c r="F69" i="131"/>
  <c r="D69" i="131"/>
  <c r="H69" i="131" s="1"/>
  <c r="H62" i="131" s="1"/>
  <c r="D62" i="131" s="1"/>
  <c r="H89" i="131"/>
  <c r="D89" i="131" s="1"/>
  <c r="H170" i="131"/>
  <c r="C198" i="131"/>
  <c r="C242" i="131"/>
  <c r="D200" i="131"/>
  <c r="F204" i="131"/>
  <c r="F220" i="131"/>
  <c r="F228" i="131"/>
  <c r="F47" i="131"/>
  <c r="D47" i="131"/>
  <c r="H47" i="131" s="1"/>
  <c r="F51" i="131"/>
  <c r="E142" i="131"/>
  <c r="D51" i="131"/>
  <c r="H204" i="131"/>
  <c r="H158" i="131"/>
  <c r="H71" i="131"/>
  <c r="D71" i="131" s="1"/>
  <c r="F33" i="131"/>
  <c r="E146" i="131"/>
  <c r="F56" i="131"/>
  <c r="E53" i="131"/>
  <c r="F53" i="131" s="1"/>
  <c r="D56" i="131"/>
  <c r="H154" i="131"/>
  <c r="E211" i="131"/>
  <c r="F158" i="131"/>
  <c r="E156" i="131"/>
  <c r="F156" i="131" s="1"/>
  <c r="D33" i="131"/>
  <c r="D42" i="131"/>
  <c r="H42" i="131" s="1"/>
  <c r="H139" i="131" s="1"/>
  <c r="D139" i="131" s="1"/>
  <c r="E140" i="131"/>
  <c r="F140" i="131" s="1"/>
  <c r="F83" i="131"/>
  <c r="E164" i="131"/>
  <c r="D83" i="131"/>
  <c r="H83" i="131" s="1"/>
  <c r="E168" i="131"/>
  <c r="E219" i="131"/>
  <c r="F170" i="131"/>
  <c r="E98" i="131"/>
  <c r="F98" i="131" s="1"/>
  <c r="H178" i="131"/>
  <c r="H184" i="131"/>
  <c r="C202" i="131"/>
  <c r="D207" i="131"/>
  <c r="F212" i="131"/>
  <c r="F216" i="131"/>
  <c r="F224" i="131"/>
  <c r="D142" i="131"/>
  <c r="C144" i="131"/>
  <c r="C130" i="131" s="1"/>
  <c r="K130" i="131" s="1"/>
  <c r="C168" i="131"/>
  <c r="F178" i="131"/>
  <c r="C162" i="131"/>
  <c r="C211" i="131"/>
  <c r="C210" i="131" s="1"/>
  <c r="C227" i="131"/>
  <c r="C226" i="131" s="1"/>
  <c r="D146" i="131"/>
  <c r="F166" i="131"/>
  <c r="E69" i="130"/>
  <c r="H144" i="131" l="1"/>
  <c r="D144" i="131" s="1"/>
  <c r="H140" i="131"/>
  <c r="D140" i="131" s="1"/>
  <c r="E132" i="131"/>
  <c r="F132" i="131" s="1"/>
  <c r="E199" i="131"/>
  <c r="F199" i="131" s="1"/>
  <c r="E162" i="131"/>
  <c r="F162" i="131" s="1"/>
  <c r="E215" i="131"/>
  <c r="F164" i="131"/>
  <c r="H208" i="131"/>
  <c r="H150" i="131"/>
  <c r="D150" i="131" s="1"/>
  <c r="D154" i="131"/>
  <c r="D204" i="131"/>
  <c r="E226" i="131"/>
  <c r="F226" i="131" s="1"/>
  <c r="F227" i="131"/>
  <c r="H202" i="131"/>
  <c r="D202" i="131" s="1"/>
  <c r="F219" i="131"/>
  <c r="E218" i="131"/>
  <c r="F218" i="131" s="1"/>
  <c r="C240" i="131"/>
  <c r="K240" i="131" s="1"/>
  <c r="F11" i="131"/>
  <c r="E9" i="131"/>
  <c r="H224" i="131"/>
  <c r="D224" i="131" s="1"/>
  <c r="D178" i="131"/>
  <c r="F168" i="131"/>
  <c r="C196" i="131"/>
  <c r="K196" i="131" s="1"/>
  <c r="F152" i="131"/>
  <c r="E150" i="131"/>
  <c r="F150" i="131" s="1"/>
  <c r="E207" i="131"/>
  <c r="H176" i="131"/>
  <c r="H98" i="131"/>
  <c r="D98" i="131" s="1"/>
  <c r="H180" i="131"/>
  <c r="D180" i="131" s="1"/>
  <c r="H227" i="131"/>
  <c r="D182" i="131"/>
  <c r="H199" i="131"/>
  <c r="E144" i="131"/>
  <c r="F144" i="131" s="1"/>
  <c r="E203" i="131"/>
  <c r="F146" i="131"/>
  <c r="H228" i="131"/>
  <c r="D228" i="131" s="1"/>
  <c r="D184" i="131"/>
  <c r="H164" i="131"/>
  <c r="H80" i="131"/>
  <c r="D80" i="131" s="1"/>
  <c r="E210" i="131"/>
  <c r="F210" i="131" s="1"/>
  <c r="F211" i="131"/>
  <c r="H156" i="131"/>
  <c r="D156" i="131" s="1"/>
  <c r="H211" i="131"/>
  <c r="D158" i="131"/>
  <c r="E200" i="131"/>
  <c r="F142" i="131"/>
  <c r="H219" i="131"/>
  <c r="D170" i="131"/>
  <c r="H168" i="131"/>
  <c r="D168" i="131" s="1"/>
  <c r="E208" i="131"/>
  <c r="F154" i="131"/>
  <c r="F176" i="131"/>
  <c r="E174" i="131"/>
  <c r="F174" i="131" s="1"/>
  <c r="E223" i="131"/>
  <c r="E51" i="130"/>
  <c r="H244" i="131" l="1"/>
  <c r="D244" i="131" s="1"/>
  <c r="H132" i="131"/>
  <c r="D132" i="131" s="1"/>
  <c r="E242" i="131"/>
  <c r="F242" i="131" s="1"/>
  <c r="H198" i="131"/>
  <c r="H242" i="131"/>
  <c r="D199" i="131"/>
  <c r="F203" i="131"/>
  <c r="E202" i="131"/>
  <c r="F202" i="131" s="1"/>
  <c r="D208" i="131"/>
  <c r="H206" i="131"/>
  <c r="D206" i="131" s="1"/>
  <c r="F9" i="131"/>
  <c r="D9" i="131"/>
  <c r="F215" i="131"/>
  <c r="E214" i="131"/>
  <c r="F214" i="131" s="1"/>
  <c r="E243" i="131"/>
  <c r="F243" i="131" s="1"/>
  <c r="F200" i="131"/>
  <c r="H218" i="131"/>
  <c r="D218" i="131" s="1"/>
  <c r="D219" i="131"/>
  <c r="D211" i="131"/>
  <c r="H210" i="131"/>
  <c r="D210" i="131" s="1"/>
  <c r="E198" i="131"/>
  <c r="H174" i="131"/>
  <c r="D174" i="131" s="1"/>
  <c r="H223" i="131"/>
  <c r="D176" i="131"/>
  <c r="E222" i="131"/>
  <c r="F222" i="131" s="1"/>
  <c r="F223" i="131"/>
  <c r="F208" i="131"/>
  <c r="E244" i="131"/>
  <c r="F244" i="131" s="1"/>
  <c r="D164" i="131"/>
  <c r="H162" i="131"/>
  <c r="D162" i="131" s="1"/>
  <c r="H215" i="131"/>
  <c r="H243" i="131" s="1"/>
  <c r="D243" i="131" s="1"/>
  <c r="D227" i="131"/>
  <c r="H226" i="131"/>
  <c r="D226" i="131" s="1"/>
  <c r="E206" i="131"/>
  <c r="F206" i="131" s="1"/>
  <c r="F207" i="131"/>
  <c r="E130" i="131"/>
  <c r="E83" i="130"/>
  <c r="F198" i="131" l="1"/>
  <c r="E196" i="131"/>
  <c r="E240" i="131"/>
  <c r="D242" i="131"/>
  <c r="H240" i="131"/>
  <c r="D240" i="131" s="1"/>
  <c r="F130" i="131"/>
  <c r="D130" i="131"/>
  <c r="M130" i="131" s="1"/>
  <c r="N130" i="131"/>
  <c r="H214" i="131"/>
  <c r="D214" i="131" s="1"/>
  <c r="D215" i="131"/>
  <c r="D223" i="131"/>
  <c r="H222" i="131"/>
  <c r="D222" i="131" s="1"/>
  <c r="H130" i="131"/>
  <c r="D198" i="131"/>
  <c r="E45" i="130"/>
  <c r="H196" i="131" l="1"/>
  <c r="D196" i="131" s="1"/>
  <c r="M196" i="131" s="1"/>
  <c r="N196" i="131"/>
  <c r="F196" i="131"/>
  <c r="F240" i="131"/>
  <c r="N240" i="131"/>
  <c r="E101" i="130"/>
  <c r="E65" i="130"/>
  <c r="E56" i="130"/>
  <c r="M240" i="131" l="1"/>
  <c r="E22" i="130"/>
  <c r="E48" i="130" l="1"/>
  <c r="E47" i="130"/>
  <c r="E33" i="130"/>
  <c r="E23" i="130"/>
  <c r="E46" i="130" l="1"/>
  <c r="E110" i="130" l="1"/>
  <c r="E36" i="130" l="1"/>
  <c r="E74" i="130" l="1"/>
  <c r="E42" i="130" l="1"/>
  <c r="E24" i="130"/>
  <c r="E92" i="130" l="1"/>
  <c r="D32" i="130" l="1"/>
  <c r="E45" i="129" l="1"/>
  <c r="E22" i="129"/>
  <c r="L240" i="130"/>
  <c r="B235" i="130"/>
  <c r="L196" i="130"/>
  <c r="B191" i="130"/>
  <c r="F184" i="130"/>
  <c r="E184" i="130"/>
  <c r="E228" i="130" s="1"/>
  <c r="C184" i="130"/>
  <c r="C228" i="130" s="1"/>
  <c r="E182" i="130"/>
  <c r="C182" i="130"/>
  <c r="C180" i="130" s="1"/>
  <c r="H178" i="130"/>
  <c r="E178" i="130"/>
  <c r="E224" i="130" s="1"/>
  <c r="C178" i="130"/>
  <c r="E176" i="130"/>
  <c r="E223" i="130" s="1"/>
  <c r="C176" i="130"/>
  <c r="C223" i="130" s="1"/>
  <c r="F172" i="130"/>
  <c r="E172" i="130"/>
  <c r="E220" i="130" s="1"/>
  <c r="C172" i="130"/>
  <c r="C220" i="130" s="1"/>
  <c r="E170" i="130"/>
  <c r="E168" i="130" s="1"/>
  <c r="C170" i="130"/>
  <c r="E166" i="130"/>
  <c r="C166" i="130"/>
  <c r="C216" i="130" s="1"/>
  <c r="C164" i="130"/>
  <c r="C215" i="130" s="1"/>
  <c r="F160" i="130"/>
  <c r="E160" i="130"/>
  <c r="E212" i="130" s="1"/>
  <c r="F212" i="130" s="1"/>
  <c r="C160" i="130"/>
  <c r="C212" i="130" s="1"/>
  <c r="E158" i="130"/>
  <c r="C158" i="130"/>
  <c r="E154" i="130"/>
  <c r="C154" i="130"/>
  <c r="C208" i="130" s="1"/>
  <c r="H152" i="130"/>
  <c r="H207" i="130" s="1"/>
  <c r="C152" i="130"/>
  <c r="C207" i="130" s="1"/>
  <c r="C206" i="130" s="1"/>
  <c r="C150" i="130"/>
  <c r="F148" i="130"/>
  <c r="E148" i="130"/>
  <c r="E204" i="130" s="1"/>
  <c r="C148" i="130"/>
  <c r="C204" i="130" s="1"/>
  <c r="H146" i="130"/>
  <c r="E146" i="130"/>
  <c r="C146" i="130"/>
  <c r="H142" i="130"/>
  <c r="E142" i="130"/>
  <c r="C142" i="130"/>
  <c r="C200" i="130" s="1"/>
  <c r="C140" i="130"/>
  <c r="E139" i="130"/>
  <c r="C139" i="130"/>
  <c r="C137" i="130"/>
  <c r="C135" i="130"/>
  <c r="F134" i="130"/>
  <c r="E134" i="130"/>
  <c r="C134" i="130"/>
  <c r="C132" i="130"/>
  <c r="L130" i="130"/>
  <c r="B125" i="130"/>
  <c r="F114" i="130"/>
  <c r="D114" i="130"/>
  <c r="H114" i="130" s="1"/>
  <c r="F113" i="130"/>
  <c r="D113" i="130"/>
  <c r="H113" i="130" s="1"/>
  <c r="F110" i="130"/>
  <c r="D110" i="130"/>
  <c r="H110" i="130" s="1"/>
  <c r="H182" i="130" s="1"/>
  <c r="E107" i="130"/>
  <c r="C107" i="130"/>
  <c r="F105" i="130"/>
  <c r="D105" i="130"/>
  <c r="H105" i="130" s="1"/>
  <c r="H104" i="130"/>
  <c r="F104" i="130"/>
  <c r="D104" i="130"/>
  <c r="F101" i="130"/>
  <c r="D101" i="130"/>
  <c r="H101" i="130" s="1"/>
  <c r="H176" i="130" s="1"/>
  <c r="E98" i="130"/>
  <c r="C98" i="130"/>
  <c r="F96" i="130"/>
  <c r="D96" i="130"/>
  <c r="H96" i="130" s="1"/>
  <c r="F95" i="130"/>
  <c r="D95" i="130"/>
  <c r="H95" i="130" s="1"/>
  <c r="H172" i="130" s="1"/>
  <c r="F92" i="130"/>
  <c r="D92" i="130"/>
  <c r="H92" i="130" s="1"/>
  <c r="H170" i="130" s="1"/>
  <c r="E89" i="130"/>
  <c r="F89" i="130" s="1"/>
  <c r="C89" i="130"/>
  <c r="H87" i="130"/>
  <c r="F87" i="130"/>
  <c r="D87" i="130"/>
  <c r="F86" i="130"/>
  <c r="D86" i="130"/>
  <c r="H86" i="130" s="1"/>
  <c r="H166" i="130" s="1"/>
  <c r="E80" i="130"/>
  <c r="C80" i="130"/>
  <c r="F78" i="130"/>
  <c r="D78" i="130"/>
  <c r="H78" i="130" s="1"/>
  <c r="H77" i="130"/>
  <c r="H160" i="130" s="1"/>
  <c r="H212" i="130" s="1"/>
  <c r="D212" i="130" s="1"/>
  <c r="F77" i="130"/>
  <c r="D77" i="130"/>
  <c r="F74" i="130"/>
  <c r="D74" i="130"/>
  <c r="H74" i="130" s="1"/>
  <c r="H158" i="130" s="1"/>
  <c r="E71" i="130"/>
  <c r="C71" i="130"/>
  <c r="F69" i="130"/>
  <c r="D69" i="130"/>
  <c r="H69" i="130" s="1"/>
  <c r="F68" i="130"/>
  <c r="D68" i="130"/>
  <c r="H68" i="130" s="1"/>
  <c r="C62" i="130"/>
  <c r="F60" i="130"/>
  <c r="D60" i="130"/>
  <c r="H60" i="130" s="1"/>
  <c r="F59" i="130"/>
  <c r="D59" i="130"/>
  <c r="H59" i="130" s="1"/>
  <c r="E53" i="130"/>
  <c r="C53" i="130"/>
  <c r="J52" i="130"/>
  <c r="F51" i="130"/>
  <c r="D51" i="130"/>
  <c r="F48" i="130"/>
  <c r="D48" i="130"/>
  <c r="H48" i="130" s="1"/>
  <c r="F47" i="130"/>
  <c r="D47" i="130"/>
  <c r="H47" i="130" s="1"/>
  <c r="F46" i="130"/>
  <c r="D46" i="130"/>
  <c r="H46" i="130" s="1"/>
  <c r="F43" i="130"/>
  <c r="D43" i="130"/>
  <c r="H43" i="130" s="1"/>
  <c r="F42" i="130"/>
  <c r="D42" i="130"/>
  <c r="H42" i="130" s="1"/>
  <c r="H40" i="130"/>
  <c r="H39" i="130"/>
  <c r="H38" i="130"/>
  <c r="F36" i="130"/>
  <c r="D36" i="130"/>
  <c r="H36" i="130" s="1"/>
  <c r="F35" i="130"/>
  <c r="D35" i="130"/>
  <c r="H35" i="130" s="1"/>
  <c r="H34" i="130"/>
  <c r="F34" i="130"/>
  <c r="D34" i="130"/>
  <c r="E137" i="130"/>
  <c r="F137" i="130" s="1"/>
  <c r="H32" i="130"/>
  <c r="F32" i="130"/>
  <c r="H31" i="130"/>
  <c r="F30" i="130"/>
  <c r="D30" i="130"/>
  <c r="H30" i="130" s="1"/>
  <c r="H28" i="130"/>
  <c r="H27" i="130"/>
  <c r="H26" i="130"/>
  <c r="F24" i="130"/>
  <c r="D24" i="130"/>
  <c r="H24" i="130" s="1"/>
  <c r="D23" i="130"/>
  <c r="H23" i="130" s="1"/>
  <c r="D22" i="130"/>
  <c r="H22" i="130" s="1"/>
  <c r="F20" i="130"/>
  <c r="D20" i="130"/>
  <c r="H20" i="130" s="1"/>
  <c r="F19" i="130"/>
  <c r="D19" i="130"/>
  <c r="H19" i="130" s="1"/>
  <c r="H18" i="130"/>
  <c r="H17" i="130"/>
  <c r="H16" i="130"/>
  <c r="H15" i="130"/>
  <c r="H14" i="130"/>
  <c r="F14" i="130"/>
  <c r="D14" i="130"/>
  <c r="C11" i="130"/>
  <c r="C9" i="130"/>
  <c r="D152" i="130" l="1"/>
  <c r="F176" i="130"/>
  <c r="E174" i="130"/>
  <c r="H98" i="130"/>
  <c r="D98" i="130" s="1"/>
  <c r="H137" i="130"/>
  <c r="D137" i="130" s="1"/>
  <c r="H139" i="130"/>
  <c r="D139" i="130" s="1"/>
  <c r="H71" i="130"/>
  <c r="D71" i="130" s="1"/>
  <c r="H148" i="130"/>
  <c r="D53" i="130"/>
  <c r="H156" i="130"/>
  <c r="H211" i="130"/>
  <c r="D158" i="130"/>
  <c r="H184" i="130"/>
  <c r="H107" i="130"/>
  <c r="D107" i="130" s="1"/>
  <c r="H62" i="130"/>
  <c r="D62" i="130" s="1"/>
  <c r="H154" i="130"/>
  <c r="D172" i="130"/>
  <c r="H220" i="130"/>
  <c r="D220" i="130" s="1"/>
  <c r="H135" i="130"/>
  <c r="D135" i="130" s="1"/>
  <c r="H134" i="130"/>
  <c r="E152" i="130"/>
  <c r="D65" i="130"/>
  <c r="F65" i="130"/>
  <c r="E135" i="130"/>
  <c r="E200" i="130"/>
  <c r="F142" i="130"/>
  <c r="E222" i="130"/>
  <c r="F223" i="130"/>
  <c r="H224" i="130"/>
  <c r="D178" i="130"/>
  <c r="F23" i="130"/>
  <c r="F53" i="130"/>
  <c r="H216" i="130"/>
  <c r="D216" i="130" s="1"/>
  <c r="D166" i="130"/>
  <c r="F107" i="130"/>
  <c r="H200" i="130"/>
  <c r="D142" i="130"/>
  <c r="F204" i="130"/>
  <c r="D207" i="130"/>
  <c r="C214" i="130"/>
  <c r="E62" i="130"/>
  <c r="F62" i="130" s="1"/>
  <c r="H89" i="130"/>
  <c r="D89" i="130" s="1"/>
  <c r="F139" i="130"/>
  <c r="H203" i="130"/>
  <c r="D146" i="130"/>
  <c r="H144" i="130"/>
  <c r="D144" i="130" s="1"/>
  <c r="C162" i="130"/>
  <c r="C222" i="130"/>
  <c r="C224" i="130"/>
  <c r="C174" i="130"/>
  <c r="F228" i="130"/>
  <c r="C203" i="130"/>
  <c r="C202" i="130" s="1"/>
  <c r="C144" i="130"/>
  <c r="C130" i="130" s="1"/>
  <c r="K130" i="130" s="1"/>
  <c r="E211" i="130"/>
  <c r="F158" i="130"/>
  <c r="E156" i="130"/>
  <c r="F22" i="130"/>
  <c r="F33" i="130"/>
  <c r="F80" i="130"/>
  <c r="H174" i="130"/>
  <c r="D174" i="130" s="1"/>
  <c r="H223" i="130"/>
  <c r="E144" i="130"/>
  <c r="F144" i="130" s="1"/>
  <c r="E203" i="130"/>
  <c r="F146" i="130"/>
  <c r="E216" i="130"/>
  <c r="F216" i="130" s="1"/>
  <c r="F166" i="130"/>
  <c r="H219" i="130"/>
  <c r="D170" i="130"/>
  <c r="H168" i="130"/>
  <c r="E11" i="130"/>
  <c r="E9" i="130" s="1"/>
  <c r="D33" i="130"/>
  <c r="D45" i="130"/>
  <c r="H45" i="130" s="1"/>
  <c r="H140" i="130" s="1"/>
  <c r="D140" i="130" s="1"/>
  <c r="E140" i="130"/>
  <c r="F140" i="130" s="1"/>
  <c r="F45" i="130"/>
  <c r="F56" i="130"/>
  <c r="D56" i="130"/>
  <c r="F71" i="130"/>
  <c r="D83" i="130"/>
  <c r="H83" i="130" s="1"/>
  <c r="E164" i="130"/>
  <c r="F83" i="130"/>
  <c r="F98" i="130"/>
  <c r="H180" i="130"/>
  <c r="D180" i="130" s="1"/>
  <c r="H227" i="130"/>
  <c r="D182" i="130"/>
  <c r="C199" i="130"/>
  <c r="C244" i="130"/>
  <c r="E208" i="130"/>
  <c r="F208" i="130" s="1"/>
  <c r="F154" i="130"/>
  <c r="C156" i="130"/>
  <c r="C211" i="130"/>
  <c r="C210" i="130" s="1"/>
  <c r="D160" i="130"/>
  <c r="C219" i="130"/>
  <c r="C218" i="130" s="1"/>
  <c r="C168" i="130"/>
  <c r="F168" i="130" s="1"/>
  <c r="F220" i="130"/>
  <c r="D176" i="130"/>
  <c r="F224" i="130"/>
  <c r="E227" i="130"/>
  <c r="F182" i="130"/>
  <c r="E180" i="130"/>
  <c r="F180" i="130" s="1"/>
  <c r="F170" i="130"/>
  <c r="F178" i="130"/>
  <c r="E219" i="130"/>
  <c r="C227" i="130"/>
  <c r="C226" i="130" s="1"/>
  <c r="E42" i="129"/>
  <c r="F174" i="130" l="1"/>
  <c r="F156" i="130"/>
  <c r="D203" i="130"/>
  <c r="E244" i="130"/>
  <c r="F244" i="130" s="1"/>
  <c r="E199" i="130"/>
  <c r="D224" i="130"/>
  <c r="D211" i="130"/>
  <c r="H210" i="130"/>
  <c r="D210" i="130" s="1"/>
  <c r="F219" i="130"/>
  <c r="E218" i="130"/>
  <c r="F218" i="130" s="1"/>
  <c r="D227" i="130"/>
  <c r="E215" i="130"/>
  <c r="F164" i="130"/>
  <c r="E162" i="130"/>
  <c r="F162" i="130" s="1"/>
  <c r="H218" i="130"/>
  <c r="D218" i="130" s="1"/>
  <c r="D219" i="130"/>
  <c r="F203" i="130"/>
  <c r="E202" i="130"/>
  <c r="F202" i="130" s="1"/>
  <c r="F200" i="130"/>
  <c r="D156" i="130"/>
  <c r="E226" i="130"/>
  <c r="F226" i="130" s="1"/>
  <c r="F227" i="130"/>
  <c r="C243" i="130"/>
  <c r="H164" i="130"/>
  <c r="H80" i="130"/>
  <c r="D80" i="130" s="1"/>
  <c r="F11" i="130"/>
  <c r="E210" i="130"/>
  <c r="F210" i="130" s="1"/>
  <c r="F211" i="130"/>
  <c r="F222" i="130"/>
  <c r="F135" i="130"/>
  <c r="E132" i="130"/>
  <c r="E207" i="130"/>
  <c r="E150" i="130"/>
  <c r="F150" i="130" s="1"/>
  <c r="F152" i="130"/>
  <c r="H228" i="130"/>
  <c r="D228" i="130" s="1"/>
  <c r="D184" i="130"/>
  <c r="C198" i="130"/>
  <c r="C196" i="130" s="1"/>
  <c r="K196" i="130" s="1"/>
  <c r="C242" i="130"/>
  <c r="C240" i="130" s="1"/>
  <c r="D168" i="130"/>
  <c r="D223" i="130"/>
  <c r="H222" i="130"/>
  <c r="D222" i="130" s="1"/>
  <c r="D200" i="130"/>
  <c r="H199" i="130"/>
  <c r="D134" i="130"/>
  <c r="H132" i="130"/>
  <c r="H208" i="130"/>
  <c r="D154" i="130"/>
  <c r="H150" i="130"/>
  <c r="D150" i="130" s="1"/>
  <c r="H204" i="130"/>
  <c r="D148" i="130"/>
  <c r="D114" i="129"/>
  <c r="D113" i="129"/>
  <c r="D110" i="129"/>
  <c r="D105" i="129"/>
  <c r="D104" i="129"/>
  <c r="D101" i="129"/>
  <c r="D96" i="129"/>
  <c r="D95" i="129"/>
  <c r="D92" i="129"/>
  <c r="D87" i="129"/>
  <c r="D86" i="129"/>
  <c r="D78" i="129"/>
  <c r="D77" i="129"/>
  <c r="D74" i="129"/>
  <c r="D69" i="129"/>
  <c r="D68" i="129"/>
  <c r="D60" i="129"/>
  <c r="D59" i="129"/>
  <c r="D48" i="129"/>
  <c r="D47" i="129"/>
  <c r="D46" i="129"/>
  <c r="D43" i="129"/>
  <c r="D36" i="129"/>
  <c r="D35" i="129"/>
  <c r="D34" i="129"/>
  <c r="D30" i="129"/>
  <c r="D24" i="129"/>
  <c r="D20" i="129"/>
  <c r="D19" i="129"/>
  <c r="D14" i="129"/>
  <c r="E11" i="129"/>
  <c r="H198" i="130" l="1"/>
  <c r="H242" i="130"/>
  <c r="D199" i="130"/>
  <c r="E206" i="130"/>
  <c r="F206" i="130" s="1"/>
  <c r="F207" i="130"/>
  <c r="E243" i="130"/>
  <c r="F243" i="130" s="1"/>
  <c r="H226" i="130"/>
  <c r="D226" i="130" s="1"/>
  <c r="D208" i="130"/>
  <c r="H206" i="130"/>
  <c r="D206" i="130" s="1"/>
  <c r="E130" i="130"/>
  <c r="D130" i="130" s="1"/>
  <c r="F132" i="130"/>
  <c r="H244" i="130"/>
  <c r="D244" i="130" s="1"/>
  <c r="D204" i="130"/>
  <c r="D132" i="130"/>
  <c r="K240" i="130"/>
  <c r="H215" i="130"/>
  <c r="H162" i="130"/>
  <c r="D162" i="130" s="1"/>
  <c r="D164" i="130"/>
  <c r="H202" i="130"/>
  <c r="D202" i="130" s="1"/>
  <c r="F9" i="130"/>
  <c r="D9" i="130"/>
  <c r="F215" i="130"/>
  <c r="E214" i="130"/>
  <c r="F214" i="130" s="1"/>
  <c r="E242" i="130"/>
  <c r="F199" i="130"/>
  <c r="E198" i="130"/>
  <c r="D23" i="129"/>
  <c r="E23" i="129"/>
  <c r="D83" i="129"/>
  <c r="E83" i="129"/>
  <c r="D65" i="129"/>
  <c r="E65" i="129"/>
  <c r="D56" i="129"/>
  <c r="E56" i="129"/>
  <c r="D51" i="129"/>
  <c r="E51" i="129"/>
  <c r="D45" i="129"/>
  <c r="D33" i="129"/>
  <c r="E33" i="129"/>
  <c r="N130" i="130" l="1"/>
  <c r="F130" i="130"/>
  <c r="E240" i="130"/>
  <c r="F242" i="130"/>
  <c r="H214" i="130"/>
  <c r="D214" i="130" s="1"/>
  <c r="D215" i="130"/>
  <c r="H243" i="130"/>
  <c r="D243" i="130" s="1"/>
  <c r="D242" i="130"/>
  <c r="F198" i="130"/>
  <c r="E196" i="130"/>
  <c r="H130" i="130"/>
  <c r="M130" i="130" s="1"/>
  <c r="H196" i="130"/>
  <c r="D196" i="130" s="1"/>
  <c r="D198" i="130"/>
  <c r="L240" i="129"/>
  <c r="B235" i="129"/>
  <c r="L196" i="129"/>
  <c r="B191" i="129"/>
  <c r="F184" i="129"/>
  <c r="E184" i="129"/>
  <c r="E228" i="129" s="1"/>
  <c r="C184" i="129"/>
  <c r="C228" i="129" s="1"/>
  <c r="E182" i="129"/>
  <c r="C182" i="129"/>
  <c r="E178" i="129"/>
  <c r="C178" i="129"/>
  <c r="C224" i="129" s="1"/>
  <c r="F176" i="129"/>
  <c r="E176" i="129"/>
  <c r="E223" i="129" s="1"/>
  <c r="C176" i="129"/>
  <c r="C223" i="129" s="1"/>
  <c r="C222" i="129" s="1"/>
  <c r="C174" i="129"/>
  <c r="F172" i="129"/>
  <c r="E172" i="129"/>
  <c r="E220" i="129" s="1"/>
  <c r="F220" i="129" s="1"/>
  <c r="C172" i="129"/>
  <c r="C220" i="129" s="1"/>
  <c r="E170" i="129"/>
  <c r="C170" i="129"/>
  <c r="C168" i="129" s="1"/>
  <c r="E166" i="129"/>
  <c r="F166" i="129" s="1"/>
  <c r="C166" i="129"/>
  <c r="E164" i="129"/>
  <c r="E215" i="129" s="1"/>
  <c r="D164" i="129"/>
  <c r="C164" i="129"/>
  <c r="C215" i="129" s="1"/>
  <c r="F160" i="129"/>
  <c r="E160" i="129"/>
  <c r="E212" i="129" s="1"/>
  <c r="F212" i="129" s="1"/>
  <c r="C160" i="129"/>
  <c r="C212" i="129" s="1"/>
  <c r="H158" i="129"/>
  <c r="E158" i="129"/>
  <c r="C158" i="129"/>
  <c r="E154" i="129"/>
  <c r="C154" i="129"/>
  <c r="C208" i="129" s="1"/>
  <c r="F152" i="129"/>
  <c r="E152" i="129"/>
  <c r="E207" i="129" s="1"/>
  <c r="C152" i="129"/>
  <c r="C207" i="129" s="1"/>
  <c r="C206" i="129" s="1"/>
  <c r="C150" i="129"/>
  <c r="F148" i="129"/>
  <c r="E148" i="129"/>
  <c r="E204" i="129" s="1"/>
  <c r="C148" i="129"/>
  <c r="C204" i="129" s="1"/>
  <c r="H146" i="129"/>
  <c r="E146" i="129"/>
  <c r="C146" i="129"/>
  <c r="H142" i="129"/>
  <c r="E142" i="129"/>
  <c r="C142" i="129"/>
  <c r="C200" i="129" s="1"/>
  <c r="E140" i="129"/>
  <c r="F140" i="129" s="1"/>
  <c r="C140" i="129"/>
  <c r="E139" i="129"/>
  <c r="C139" i="129"/>
  <c r="C132" i="129" s="1"/>
  <c r="F137" i="129"/>
  <c r="E137" i="129"/>
  <c r="C137" i="129"/>
  <c r="E135" i="129"/>
  <c r="F135" i="129" s="1"/>
  <c r="C135" i="129"/>
  <c r="E134" i="129"/>
  <c r="C134" i="129"/>
  <c r="L130" i="129"/>
  <c r="B125" i="129"/>
  <c r="H114" i="129"/>
  <c r="F114" i="129"/>
  <c r="H113" i="129"/>
  <c r="H184" i="129" s="1"/>
  <c r="F113" i="129"/>
  <c r="H110" i="129"/>
  <c r="H107" i="129" s="1"/>
  <c r="D107" i="129" s="1"/>
  <c r="F110" i="129"/>
  <c r="E107" i="129"/>
  <c r="C107" i="129"/>
  <c r="H105" i="129"/>
  <c r="F105" i="129"/>
  <c r="H104" i="129"/>
  <c r="H178" i="129" s="1"/>
  <c r="F104" i="129"/>
  <c r="H101" i="129"/>
  <c r="H176" i="129" s="1"/>
  <c r="F101" i="129"/>
  <c r="E98" i="129"/>
  <c r="F98" i="129" s="1"/>
  <c r="C98" i="129"/>
  <c r="H96" i="129"/>
  <c r="F96" i="129"/>
  <c r="H95" i="129"/>
  <c r="H172" i="129" s="1"/>
  <c r="H220" i="129" s="1"/>
  <c r="D220" i="129" s="1"/>
  <c r="F95" i="129"/>
  <c r="H92" i="129"/>
  <c r="H170" i="129" s="1"/>
  <c r="H219" i="129" s="1"/>
  <c r="F92" i="129"/>
  <c r="E89" i="129"/>
  <c r="C89" i="129"/>
  <c r="H87" i="129"/>
  <c r="F87" i="129"/>
  <c r="H86" i="129"/>
  <c r="H166" i="129" s="1"/>
  <c r="F86" i="129"/>
  <c r="H83" i="129"/>
  <c r="H164" i="129" s="1"/>
  <c r="F83" i="129"/>
  <c r="E80" i="129"/>
  <c r="C80" i="129"/>
  <c r="H78" i="129"/>
  <c r="F78" i="129"/>
  <c r="H77" i="129"/>
  <c r="H160" i="129" s="1"/>
  <c r="F77" i="129"/>
  <c r="H74" i="129"/>
  <c r="H71" i="129" s="1"/>
  <c r="D71" i="129" s="1"/>
  <c r="F74" i="129"/>
  <c r="F71" i="129"/>
  <c r="E71" i="129"/>
  <c r="C71" i="129"/>
  <c r="H69" i="129"/>
  <c r="F69" i="129"/>
  <c r="H68" i="129"/>
  <c r="H62" i="129" s="1"/>
  <c r="D62" i="129" s="1"/>
  <c r="F68" i="129"/>
  <c r="H152" i="129"/>
  <c r="H207" i="129" s="1"/>
  <c r="F65" i="129"/>
  <c r="E62" i="129"/>
  <c r="F62" i="129" s="1"/>
  <c r="C62" i="129"/>
  <c r="H60" i="129"/>
  <c r="F60" i="129"/>
  <c r="H59" i="129"/>
  <c r="H148" i="129" s="1"/>
  <c r="H204" i="129" s="1"/>
  <c r="F59" i="129"/>
  <c r="F56" i="129"/>
  <c r="H53" i="129"/>
  <c r="D53" i="129" s="1"/>
  <c r="F53" i="129"/>
  <c r="E53" i="129"/>
  <c r="C53" i="129"/>
  <c r="J52" i="129"/>
  <c r="F51" i="129"/>
  <c r="H48" i="129"/>
  <c r="F48" i="129"/>
  <c r="H47" i="129"/>
  <c r="F47" i="129"/>
  <c r="H46" i="129"/>
  <c r="F46" i="129"/>
  <c r="H45" i="129"/>
  <c r="F45" i="129"/>
  <c r="H43" i="129"/>
  <c r="F43" i="129"/>
  <c r="F42" i="129"/>
  <c r="D42" i="129"/>
  <c r="H42" i="129" s="1"/>
  <c r="H40" i="129"/>
  <c r="H39" i="129"/>
  <c r="H38" i="129"/>
  <c r="H36" i="129"/>
  <c r="F36" i="129"/>
  <c r="H35" i="129"/>
  <c r="F35" i="129"/>
  <c r="H34" i="129"/>
  <c r="F34" i="129"/>
  <c r="F33" i="129"/>
  <c r="H32" i="129"/>
  <c r="F32" i="129"/>
  <c r="H31" i="129"/>
  <c r="H30" i="129"/>
  <c r="H137" i="129" s="1"/>
  <c r="D137" i="129" s="1"/>
  <c r="F30" i="129"/>
  <c r="H28" i="129"/>
  <c r="H27" i="129"/>
  <c r="H26" i="129"/>
  <c r="H24" i="129"/>
  <c r="F24" i="129"/>
  <c r="H23" i="129"/>
  <c r="F23" i="129"/>
  <c r="F22" i="129"/>
  <c r="D22" i="129"/>
  <c r="H22" i="129" s="1"/>
  <c r="H20" i="129"/>
  <c r="F20" i="129"/>
  <c r="H19" i="129"/>
  <c r="F19" i="129"/>
  <c r="H18" i="129"/>
  <c r="H17" i="129"/>
  <c r="H16" i="129"/>
  <c r="H15" i="129"/>
  <c r="H14" i="129"/>
  <c r="F14" i="129"/>
  <c r="C11" i="129"/>
  <c r="C9" i="129" s="1"/>
  <c r="M196" i="130" l="1"/>
  <c r="F89" i="129"/>
  <c r="E9" i="129"/>
  <c r="H140" i="129"/>
  <c r="D140" i="129" s="1"/>
  <c r="N196" i="130"/>
  <c r="F196" i="130"/>
  <c r="F240" i="130"/>
  <c r="N240" i="130"/>
  <c r="H240" i="130"/>
  <c r="D240" i="130" s="1"/>
  <c r="M240" i="130" s="1"/>
  <c r="H89" i="129"/>
  <c r="D89" i="129" s="1"/>
  <c r="E199" i="129"/>
  <c r="F199" i="129" s="1"/>
  <c r="F134" i="129"/>
  <c r="F107" i="129"/>
  <c r="H182" i="129"/>
  <c r="D182" i="129" s="1"/>
  <c r="H98" i="129"/>
  <c r="D98" i="129" s="1"/>
  <c r="H139" i="129"/>
  <c r="D139" i="129" s="1"/>
  <c r="H135" i="129"/>
  <c r="D135" i="129" s="1"/>
  <c r="H80" i="129"/>
  <c r="D80" i="129" s="1"/>
  <c r="E162" i="129"/>
  <c r="F164" i="129"/>
  <c r="D152" i="129"/>
  <c r="E132" i="129"/>
  <c r="F132" i="129" s="1"/>
  <c r="H11" i="129"/>
  <c r="D11" i="129" s="1"/>
  <c r="H216" i="129"/>
  <c r="D166" i="129"/>
  <c r="E208" i="129"/>
  <c r="F208" i="129" s="1"/>
  <c r="F154" i="129"/>
  <c r="E224" i="129"/>
  <c r="F224" i="129" s="1"/>
  <c r="E174" i="129"/>
  <c r="F174" i="129" s="1"/>
  <c r="F178" i="129"/>
  <c r="F142" i="129"/>
  <c r="E200" i="129"/>
  <c r="C144" i="129"/>
  <c r="C130" i="129" s="1"/>
  <c r="K130" i="129" s="1"/>
  <c r="C203" i="129"/>
  <c r="C202" i="129" s="1"/>
  <c r="D148" i="129"/>
  <c r="E150" i="129"/>
  <c r="F150" i="129" s="1"/>
  <c r="F207" i="129"/>
  <c r="E206" i="129"/>
  <c r="F206" i="129" s="1"/>
  <c r="H154" i="129"/>
  <c r="F158" i="129"/>
  <c r="E156" i="129"/>
  <c r="F156" i="129" s="1"/>
  <c r="E211" i="129"/>
  <c r="F215" i="129"/>
  <c r="E214" i="129"/>
  <c r="H218" i="129"/>
  <c r="D218" i="129" s="1"/>
  <c r="F223" i="129"/>
  <c r="E222" i="129"/>
  <c r="F222" i="129" s="1"/>
  <c r="H224" i="129"/>
  <c r="D224" i="129" s="1"/>
  <c r="D178" i="129"/>
  <c r="C156" i="129"/>
  <c r="C211" i="129"/>
  <c r="C210" i="129" s="1"/>
  <c r="E168" i="129"/>
  <c r="F168" i="129" s="1"/>
  <c r="E219" i="129"/>
  <c r="F170" i="129"/>
  <c r="H162" i="129"/>
  <c r="D162" i="129" s="1"/>
  <c r="H215" i="129"/>
  <c r="H223" i="129"/>
  <c r="D176" i="129"/>
  <c r="H228" i="129"/>
  <c r="D228" i="129" s="1"/>
  <c r="D184" i="129"/>
  <c r="C199" i="129"/>
  <c r="F139" i="129"/>
  <c r="H200" i="129"/>
  <c r="D142" i="129"/>
  <c r="E144" i="129"/>
  <c r="E203" i="129"/>
  <c r="F146" i="129"/>
  <c r="F204" i="129"/>
  <c r="H150" i="129"/>
  <c r="D150" i="129" s="1"/>
  <c r="H156" i="129"/>
  <c r="D156" i="129" s="1"/>
  <c r="H211" i="129"/>
  <c r="D158" i="129"/>
  <c r="F162" i="129"/>
  <c r="C180" i="129"/>
  <c r="C227" i="129"/>
  <c r="C226" i="129" s="1"/>
  <c r="F228" i="129"/>
  <c r="D204" i="129"/>
  <c r="H227" i="129"/>
  <c r="H134" i="129"/>
  <c r="F11" i="129"/>
  <c r="D207" i="129"/>
  <c r="H212" i="129"/>
  <c r="D212" i="129" s="1"/>
  <c r="D160" i="129"/>
  <c r="F80" i="129"/>
  <c r="H203" i="129"/>
  <c r="D146" i="129"/>
  <c r="H144" i="129"/>
  <c r="D144" i="129" s="1"/>
  <c r="C214" i="129"/>
  <c r="C162" i="129"/>
  <c r="C216" i="129"/>
  <c r="C244" i="129" s="1"/>
  <c r="D172" i="129"/>
  <c r="H174" i="129"/>
  <c r="D174" i="129" s="1"/>
  <c r="F182" i="129"/>
  <c r="E216" i="129"/>
  <c r="F216" i="129" s="1"/>
  <c r="C219" i="129"/>
  <c r="C218" i="129" s="1"/>
  <c r="E227" i="129"/>
  <c r="H168" i="129"/>
  <c r="D168" i="129" s="1"/>
  <c r="E180" i="129"/>
  <c r="D170" i="129"/>
  <c r="D22" i="128"/>
  <c r="F9" i="129" l="1"/>
  <c r="D9" i="129"/>
  <c r="E242" i="129"/>
  <c r="H180" i="129"/>
  <c r="D180" i="129" s="1"/>
  <c r="H9" i="129"/>
  <c r="F242" i="129"/>
  <c r="E243" i="129"/>
  <c r="E240" i="129" s="1"/>
  <c r="F200" i="129"/>
  <c r="F180" i="129"/>
  <c r="E244" i="129"/>
  <c r="F244" i="129" s="1"/>
  <c r="F144" i="129"/>
  <c r="C242" i="129"/>
  <c r="C240" i="129" s="1"/>
  <c r="C198" i="129"/>
  <c r="C196" i="129" s="1"/>
  <c r="K196" i="129" s="1"/>
  <c r="D223" i="129"/>
  <c r="H222" i="129"/>
  <c r="D222" i="129" s="1"/>
  <c r="F219" i="129"/>
  <c r="E218" i="129"/>
  <c r="F218" i="129" s="1"/>
  <c r="H208" i="129"/>
  <c r="D154" i="129"/>
  <c r="D216" i="129"/>
  <c r="H243" i="129"/>
  <c r="D243" i="129" s="1"/>
  <c r="D200" i="129"/>
  <c r="C243" i="129"/>
  <c r="D227" i="129"/>
  <c r="H226" i="129"/>
  <c r="D226" i="129" s="1"/>
  <c r="F203" i="129"/>
  <c r="E202" i="129"/>
  <c r="F202" i="129" s="1"/>
  <c r="F214" i="129"/>
  <c r="H202" i="129"/>
  <c r="D202" i="129" s="1"/>
  <c r="D203" i="129"/>
  <c r="H199" i="129"/>
  <c r="D134" i="129"/>
  <c r="H132" i="129"/>
  <c r="E198" i="129"/>
  <c r="E130" i="129"/>
  <c r="D211" i="129"/>
  <c r="H210" i="129"/>
  <c r="D210" i="129" s="1"/>
  <c r="H214" i="129"/>
  <c r="D214" i="129" s="1"/>
  <c r="D215" i="129"/>
  <c r="D219" i="129"/>
  <c r="E210" i="129"/>
  <c r="F210" i="129" s="1"/>
  <c r="F211" i="129"/>
  <c r="E226" i="129"/>
  <c r="F226" i="129" s="1"/>
  <c r="F227" i="129"/>
  <c r="D42" i="128"/>
  <c r="F240" i="129" l="1"/>
  <c r="N130" i="129"/>
  <c r="F130" i="129"/>
  <c r="H242" i="129"/>
  <c r="D199" i="129"/>
  <c r="H198" i="129"/>
  <c r="D132" i="129"/>
  <c r="H130" i="129"/>
  <c r="D130" i="129" s="1"/>
  <c r="M130" i="129" s="1"/>
  <c r="K240" i="129"/>
  <c r="F198" i="129"/>
  <c r="E196" i="129"/>
  <c r="D208" i="129"/>
  <c r="H206" i="129"/>
  <c r="D206" i="129" s="1"/>
  <c r="H244" i="129"/>
  <c r="D244" i="129" s="1"/>
  <c r="F243" i="129"/>
  <c r="F243" i="128"/>
  <c r="F244" i="128"/>
  <c r="D243" i="128"/>
  <c r="D244" i="128"/>
  <c r="K240" i="128"/>
  <c r="F228" i="128"/>
  <c r="F227" i="128"/>
  <c r="F226" i="128"/>
  <c r="F224" i="128"/>
  <c r="F223" i="128"/>
  <c r="F222" i="128"/>
  <c r="F220" i="128"/>
  <c r="F219" i="128"/>
  <c r="F218" i="128"/>
  <c r="F216" i="128"/>
  <c r="F215" i="128"/>
  <c r="F214" i="128"/>
  <c r="F212" i="128"/>
  <c r="F211" i="128"/>
  <c r="F210" i="128"/>
  <c r="F208" i="128"/>
  <c r="F207" i="128"/>
  <c r="F206" i="128"/>
  <c r="F204" i="128"/>
  <c r="F203" i="128"/>
  <c r="F202" i="128"/>
  <c r="F200" i="128"/>
  <c r="D228" i="128"/>
  <c r="D227" i="128"/>
  <c r="D226" i="128"/>
  <c r="D224" i="128"/>
  <c r="D223" i="128"/>
  <c r="D222" i="128"/>
  <c r="D220" i="128"/>
  <c r="D219" i="128"/>
  <c r="D218" i="128"/>
  <c r="D216" i="128"/>
  <c r="D215" i="128"/>
  <c r="D214" i="128"/>
  <c r="D212" i="128"/>
  <c r="D211" i="128"/>
  <c r="D210" i="128"/>
  <c r="D208" i="128"/>
  <c r="D207" i="128"/>
  <c r="D206" i="128"/>
  <c r="D204" i="128"/>
  <c r="D203" i="128"/>
  <c r="D202" i="128"/>
  <c r="D200" i="128"/>
  <c r="K196" i="128"/>
  <c r="F184" i="128"/>
  <c r="F182" i="128"/>
  <c r="F180" i="128"/>
  <c r="F178" i="128"/>
  <c r="F176" i="128"/>
  <c r="F174" i="128"/>
  <c r="F172" i="128"/>
  <c r="F170" i="128"/>
  <c r="F168" i="128"/>
  <c r="F166" i="128"/>
  <c r="F164" i="128"/>
  <c r="F162" i="128"/>
  <c r="F160" i="128"/>
  <c r="F158" i="128"/>
  <c r="F156" i="128"/>
  <c r="F154" i="128"/>
  <c r="F152" i="128"/>
  <c r="F150" i="128"/>
  <c r="F148" i="128"/>
  <c r="F146" i="128"/>
  <c r="F144" i="128"/>
  <c r="H134" i="128"/>
  <c r="D134" i="128" s="1"/>
  <c r="E134" i="128"/>
  <c r="F134" i="128" s="1"/>
  <c r="F137" i="128"/>
  <c r="F140" i="128"/>
  <c r="F142" i="128"/>
  <c r="D184" i="128"/>
  <c r="D182" i="128"/>
  <c r="D180" i="128"/>
  <c r="D178" i="128"/>
  <c r="D176" i="128"/>
  <c r="D174" i="128"/>
  <c r="D172" i="128"/>
  <c r="D170" i="128"/>
  <c r="D168" i="128"/>
  <c r="D166" i="128"/>
  <c r="D164" i="128"/>
  <c r="D162" i="128"/>
  <c r="D160" i="128"/>
  <c r="D158" i="128"/>
  <c r="D156" i="128"/>
  <c r="D154" i="128"/>
  <c r="D152" i="128"/>
  <c r="D150" i="128"/>
  <c r="D148" i="128"/>
  <c r="D146" i="128"/>
  <c r="D144" i="128"/>
  <c r="D137" i="128"/>
  <c r="D140" i="128"/>
  <c r="D142" i="128"/>
  <c r="C134" i="128"/>
  <c r="N196" i="129" l="1"/>
  <c r="F196" i="129"/>
  <c r="H196" i="129"/>
  <c r="D196" i="129" s="1"/>
  <c r="M196" i="129" s="1"/>
  <c r="D198" i="129"/>
  <c r="N240" i="129"/>
  <c r="D242" i="129"/>
  <c r="H240" i="129"/>
  <c r="D240" i="129" s="1"/>
  <c r="H114" i="128"/>
  <c r="H113" i="128"/>
  <c r="H110" i="128"/>
  <c r="H105" i="128"/>
  <c r="H104" i="128"/>
  <c r="H101" i="128"/>
  <c r="H96" i="128"/>
  <c r="H95" i="128"/>
  <c r="H92" i="128"/>
  <c r="H87" i="128"/>
  <c r="H86" i="128"/>
  <c r="H83" i="128"/>
  <c r="H78" i="128"/>
  <c r="H77" i="128"/>
  <c r="H74" i="128"/>
  <c r="H69" i="128"/>
  <c r="H68" i="128"/>
  <c r="H65" i="128"/>
  <c r="H60" i="128"/>
  <c r="H59" i="128"/>
  <c r="H56" i="128"/>
  <c r="H15" i="128"/>
  <c r="H16" i="128"/>
  <c r="H17" i="128"/>
  <c r="H18" i="128"/>
  <c r="H19" i="128"/>
  <c r="H20" i="128"/>
  <c r="H22" i="128"/>
  <c r="H23" i="128"/>
  <c r="H24" i="128"/>
  <c r="H26" i="128"/>
  <c r="H27" i="128"/>
  <c r="H28" i="128"/>
  <c r="H30" i="128"/>
  <c r="H31" i="128"/>
  <c r="H32" i="128"/>
  <c r="H33" i="128"/>
  <c r="H34" i="128"/>
  <c r="H35" i="128"/>
  <c r="H36" i="128"/>
  <c r="H38" i="128"/>
  <c r="H39" i="128"/>
  <c r="H40" i="128"/>
  <c r="H42" i="128"/>
  <c r="H43" i="128"/>
  <c r="H45" i="128"/>
  <c r="H46" i="128"/>
  <c r="H47" i="128"/>
  <c r="H48" i="128"/>
  <c r="H51" i="128"/>
  <c r="H14" i="128"/>
  <c r="M240" i="129" l="1"/>
  <c r="F114" i="128"/>
  <c r="F113" i="128"/>
  <c r="F110" i="128"/>
  <c r="F105" i="128"/>
  <c r="F104" i="128"/>
  <c r="F101" i="128"/>
  <c r="F96" i="128"/>
  <c r="F95" i="128"/>
  <c r="F92" i="128"/>
  <c r="F87" i="128"/>
  <c r="F86" i="128"/>
  <c r="F83" i="128"/>
  <c r="F78" i="128"/>
  <c r="F77" i="128"/>
  <c r="F74" i="128"/>
  <c r="F69" i="128"/>
  <c r="F68" i="128"/>
  <c r="F65" i="128"/>
  <c r="F60" i="128"/>
  <c r="F59" i="128"/>
  <c r="F56" i="128"/>
  <c r="F20" i="128"/>
  <c r="F46" i="128"/>
  <c r="F34" i="128"/>
  <c r="F35" i="128"/>
  <c r="F19" i="128"/>
  <c r="F22" i="128"/>
  <c r="F23" i="128"/>
  <c r="F24" i="128"/>
  <c r="F30" i="128"/>
  <c r="F32" i="128"/>
  <c r="F33" i="128"/>
  <c r="F36" i="128"/>
  <c r="F42" i="128"/>
  <c r="F43" i="128"/>
  <c r="F45" i="128"/>
  <c r="F47" i="128"/>
  <c r="F48" i="128"/>
  <c r="F51" i="128"/>
  <c r="F14" i="128"/>
  <c r="E53" i="128" l="1"/>
  <c r="E107" i="128"/>
  <c r="E98" i="128"/>
  <c r="E89" i="128"/>
  <c r="E80" i="128"/>
  <c r="E71" i="128"/>
  <c r="E62" i="128"/>
  <c r="E11" i="128" l="1"/>
  <c r="E9" i="128" l="1"/>
  <c r="B235" i="128" l="1"/>
  <c r="B191" i="128"/>
  <c r="B125" i="128"/>
  <c r="E142" i="128" l="1"/>
  <c r="E140" i="128"/>
  <c r="E139" i="128"/>
  <c r="F139" i="128" s="1"/>
  <c r="E137" i="128"/>
  <c r="E135" i="128"/>
  <c r="F135" i="128" s="1"/>
  <c r="C140" i="128"/>
  <c r="C139" i="128"/>
  <c r="C137" i="128"/>
  <c r="C135" i="128"/>
  <c r="E184" i="128" l="1"/>
  <c r="C184" i="128"/>
  <c r="C228" i="128" s="1"/>
  <c r="E182" i="128"/>
  <c r="C182" i="128"/>
  <c r="C227" i="128" s="1"/>
  <c r="E178" i="128"/>
  <c r="C178" i="128"/>
  <c r="E176" i="128"/>
  <c r="C176" i="128"/>
  <c r="C223" i="128" s="1"/>
  <c r="E172" i="128"/>
  <c r="C172" i="128"/>
  <c r="C220" i="128" s="1"/>
  <c r="E170" i="128"/>
  <c r="C170" i="128"/>
  <c r="C219" i="128" s="1"/>
  <c r="E166" i="128"/>
  <c r="C166" i="128"/>
  <c r="E164" i="128"/>
  <c r="C164" i="128"/>
  <c r="C215" i="128" s="1"/>
  <c r="E160" i="128"/>
  <c r="C160" i="128"/>
  <c r="E158" i="128"/>
  <c r="C158" i="128"/>
  <c r="C211" i="128" s="1"/>
  <c r="E154" i="128"/>
  <c r="C154" i="128"/>
  <c r="E152" i="128"/>
  <c r="C152" i="128"/>
  <c r="C207" i="128" s="1"/>
  <c r="E148" i="128"/>
  <c r="C148" i="128"/>
  <c r="C204" i="128" s="1"/>
  <c r="E146" i="128"/>
  <c r="C146" i="128"/>
  <c r="C203" i="128" s="1"/>
  <c r="C142" i="128"/>
  <c r="C200" i="128" s="1"/>
  <c r="C199" i="128"/>
  <c r="C107" i="128"/>
  <c r="F107" i="128" s="1"/>
  <c r="C98" i="128"/>
  <c r="F98" i="128" s="1"/>
  <c r="C89" i="128"/>
  <c r="F89" i="128" s="1"/>
  <c r="C80" i="128"/>
  <c r="F80" i="128" s="1"/>
  <c r="C71" i="128"/>
  <c r="F71" i="128" s="1"/>
  <c r="H152" i="128"/>
  <c r="H207" i="128" s="1"/>
  <c r="C62" i="128"/>
  <c r="F62" i="128" s="1"/>
  <c r="H146" i="128"/>
  <c r="H203" i="128" s="1"/>
  <c r="C53" i="128"/>
  <c r="F53" i="128" s="1"/>
  <c r="J52" i="128"/>
  <c r="C11" i="128"/>
  <c r="F11" i="128" s="1"/>
  <c r="H182" i="128" l="1"/>
  <c r="H227" i="128" s="1"/>
  <c r="H107" i="128"/>
  <c r="D107" i="128" s="1"/>
  <c r="H176" i="128"/>
  <c r="H223" i="128" s="1"/>
  <c r="H98" i="128"/>
  <c r="D98" i="128" s="1"/>
  <c r="H170" i="128"/>
  <c r="H219" i="128" s="1"/>
  <c r="H89" i="128"/>
  <c r="D89" i="128" s="1"/>
  <c r="H164" i="128"/>
  <c r="H215" i="128" s="1"/>
  <c r="H80" i="128"/>
  <c r="D80" i="128" s="1"/>
  <c r="H158" i="128"/>
  <c r="H211" i="128" s="1"/>
  <c r="H71" i="128"/>
  <c r="D71" i="128" s="1"/>
  <c r="H139" i="128"/>
  <c r="D139" i="128" s="1"/>
  <c r="H135" i="128"/>
  <c r="D135" i="128" s="1"/>
  <c r="H142" i="128"/>
  <c r="H200" i="128" s="1"/>
  <c r="H137" i="128"/>
  <c r="H140" i="128"/>
  <c r="C216" i="128"/>
  <c r="C214" i="128" s="1"/>
  <c r="C208" i="128"/>
  <c r="C206" i="128" s="1"/>
  <c r="C180" i="128"/>
  <c r="C224" i="128"/>
  <c r="C222" i="128" s="1"/>
  <c r="C144" i="128"/>
  <c r="C212" i="128"/>
  <c r="C202" i="128"/>
  <c r="H154" i="128"/>
  <c r="H150" i="128" s="1"/>
  <c r="H184" i="128"/>
  <c r="H148" i="128"/>
  <c r="H204" i="128" s="1"/>
  <c r="H178" i="128"/>
  <c r="H224" i="128" s="1"/>
  <c r="C162" i="128"/>
  <c r="E168" i="128"/>
  <c r="H11" i="128"/>
  <c r="D11" i="128" s="1"/>
  <c r="C156" i="128"/>
  <c r="E162" i="128"/>
  <c r="H160" i="128"/>
  <c r="H212" i="128" s="1"/>
  <c r="C9" i="128"/>
  <c r="F9" i="128" s="1"/>
  <c r="H166" i="128"/>
  <c r="C132" i="128"/>
  <c r="C150" i="128"/>
  <c r="E156" i="128"/>
  <c r="C174" i="128"/>
  <c r="H172" i="128"/>
  <c r="H220" i="128" s="1"/>
  <c r="E150" i="128"/>
  <c r="C168" i="128"/>
  <c r="E174" i="128"/>
  <c r="C243" i="128"/>
  <c r="C218" i="128"/>
  <c r="C242" i="128"/>
  <c r="C198" i="128"/>
  <c r="C226" i="128"/>
  <c r="H53" i="128"/>
  <c r="D53" i="128" s="1"/>
  <c r="H62" i="128"/>
  <c r="D62" i="128" s="1"/>
  <c r="E180" i="128"/>
  <c r="E199" i="128"/>
  <c r="F199" i="128" s="1"/>
  <c r="E200" i="128"/>
  <c r="E203" i="128"/>
  <c r="E204" i="128"/>
  <c r="E207" i="128"/>
  <c r="E208" i="128"/>
  <c r="E211" i="128"/>
  <c r="E212" i="128"/>
  <c r="E215" i="128"/>
  <c r="E216" i="128"/>
  <c r="E219" i="128"/>
  <c r="E220" i="128"/>
  <c r="E223" i="128"/>
  <c r="E224" i="128"/>
  <c r="E227" i="128"/>
  <c r="E228" i="128"/>
  <c r="E132" i="128"/>
  <c r="F132" i="128" s="1"/>
  <c r="E144" i="128"/>
  <c r="H180" i="128" l="1"/>
  <c r="H162" i="128"/>
  <c r="E130" i="128"/>
  <c r="H174" i="128"/>
  <c r="H208" i="128"/>
  <c r="C244" i="128"/>
  <c r="C240" i="128" s="1"/>
  <c r="H132" i="128"/>
  <c r="D132" i="128" s="1"/>
  <c r="H228" i="128"/>
  <c r="H216" i="128"/>
  <c r="H156" i="128"/>
  <c r="E244" i="128"/>
  <c r="H199" i="128"/>
  <c r="H243" i="128"/>
  <c r="C130" i="128"/>
  <c r="K130" i="128" s="1"/>
  <c r="C210" i="128"/>
  <c r="C196" i="128" s="1"/>
  <c r="H144" i="128"/>
  <c r="L130" i="128"/>
  <c r="H168" i="128"/>
  <c r="H210" i="128"/>
  <c r="E206" i="128"/>
  <c r="E226" i="128"/>
  <c r="E214" i="128"/>
  <c r="E202" i="128"/>
  <c r="H222" i="128"/>
  <c r="E218" i="128"/>
  <c r="E222" i="128"/>
  <c r="E210" i="128"/>
  <c r="E243" i="128"/>
  <c r="E242" i="128"/>
  <c r="F242" i="128" s="1"/>
  <c r="E198" i="128"/>
  <c r="F198" i="128" s="1"/>
  <c r="H218" i="128"/>
  <c r="H9" i="128"/>
  <c r="D9" i="128" s="1"/>
  <c r="H202" i="128"/>
  <c r="H198" i="128" l="1"/>
  <c r="D198" i="128" s="1"/>
  <c r="D199" i="128"/>
  <c r="N130" i="128"/>
  <c r="F130" i="128"/>
  <c r="H206" i="128"/>
  <c r="L240" i="128"/>
  <c r="L196" i="128"/>
  <c r="H226" i="128"/>
  <c r="H244" i="128"/>
  <c r="H214" i="128"/>
  <c r="H242" i="128"/>
  <c r="D242" i="128" s="1"/>
  <c r="H130" i="128"/>
  <c r="D130" i="128" s="1"/>
  <c r="E240" i="128"/>
  <c r="F240" i="128" s="1"/>
  <c r="E196" i="128"/>
  <c r="F196" i="128" s="1"/>
  <c r="M130" i="128" l="1"/>
  <c r="N196" i="128"/>
  <c r="N240" i="128"/>
  <c r="H196" i="128"/>
  <c r="H240" i="128"/>
  <c r="D240" i="128" s="1"/>
  <c r="D196" i="128" l="1"/>
  <c r="M196" i="128" s="1"/>
  <c r="M240" i="128" l="1"/>
  <c r="D11" i="130"/>
</calcChain>
</file>

<file path=xl/sharedStrings.xml><?xml version="1.0" encoding="utf-8"?>
<sst xmlns="http://schemas.openxmlformats.org/spreadsheetml/2006/main" count="7658" uniqueCount="147">
  <si>
    <t>Sub Unit</t>
  </si>
  <si>
    <t>Unit</t>
  </si>
  <si>
    <t>Keterangan</t>
  </si>
  <si>
    <t>Kecamatan Sungai Kunjang</t>
  </si>
  <si>
    <t>Kelurahan Karang Anyar</t>
  </si>
  <si>
    <t>Kelurahan Karang Asam Ulu</t>
  </si>
  <si>
    <t>Kelurahan Karang Asam Ilir</t>
  </si>
  <si>
    <t>Kelurahan Loa Bahu</t>
  </si>
  <si>
    <t>Kelurahan Loa Buah</t>
  </si>
  <si>
    <t>Kelurahan Loa Bakung</t>
  </si>
  <si>
    <t>Penyediaan Gaji dan Tunjangan ASN</t>
  </si>
  <si>
    <t>Penyediaan Administrasi Pelaksanaan Tugas ASN</t>
  </si>
  <si>
    <t>Pengadaan Pakaian Dinas Beserta Atribut Kelengkapannya</t>
  </si>
  <si>
    <t>Pendidikan dan Pelatihan Pegawai Berdasarkan Tugas dan Fungsi</t>
  </si>
  <si>
    <t>Penyediaan Komponen Instalasi Listrik/Penerangan Bangunan Kantor</t>
  </si>
  <si>
    <t>Penyediaan Peralatan dan Perlengkapan Kantor</t>
  </si>
  <si>
    <t>Penyediaan Bahan Logistik Kantor</t>
  </si>
  <si>
    <t>Penyediaan Barang Cetakan dan Penggandaan</t>
  </si>
  <si>
    <t>Penyelenggaraan Rapat Koordinasi dan Konsultasi SKPD</t>
  </si>
  <si>
    <t>Penyediaan Jasa Komunikasi, Sumber Daya Air dan Listrik</t>
  </si>
  <si>
    <t>Penyediaan Jasa Pelayanan Umum Kantor</t>
  </si>
  <si>
    <t>Pemeliharaan/Rehabilitasi Gedung Kantor dan Bangunan Lainnya</t>
  </si>
  <si>
    <t>Koordinasi dan Penyusunan Laporan Capaian Kinerja dan Ikhtisar Realisasi Kinerja SKPD</t>
  </si>
  <si>
    <t>Pemeliharaan/Rehabilitasi Sarana dan Prasarana Gedung Kantor atau Bangunan Lainnya</t>
  </si>
  <si>
    <t>PROGRAM PENUNJANG URUSAN PEMERINTAHAN DAERAH KABUPATEN/KOTA</t>
  </si>
  <si>
    <t>Perencanaan, Penganggaran, dan Evaluasi Kinerja Perangkat Daerah</t>
  </si>
  <si>
    <t>Administrasi Keuangan Perangkat Daerah</t>
  </si>
  <si>
    <t>Administrasi Kepegawaian Perangkat Daerah</t>
  </si>
  <si>
    <t>Administrasi Umum Perangkat Daerah</t>
  </si>
  <si>
    <t>Penyediaan Jasa Penunjang Urusan Pemerintahan Daerah</t>
  </si>
  <si>
    <t>Pemeliharaan Barang Milik Daerah Penunjang Urusan Pemerintahan Daerah</t>
  </si>
  <si>
    <t>Kode</t>
  </si>
  <si>
    <t>Program</t>
  </si>
  <si>
    <t>Sub Kegiatan</t>
  </si>
  <si>
    <t>Bimbingan Teknis Implementasi Peraturan Perundang-Undangan</t>
  </si>
  <si>
    <t>PROGRAM PENYELENGGARAAN PEMERINTAHAN DAN PELAYANAN PUBLIK</t>
  </si>
  <si>
    <t>PROGRAM PEMBERDAYAAN MASYARAKAT DESA DAN KELURAHAN</t>
  </si>
  <si>
    <t>7.01.01</t>
  </si>
  <si>
    <t>7.01.02</t>
  </si>
  <si>
    <t>7.01.03</t>
  </si>
  <si>
    <t>Pembangunan Sarana dan Prasarana Kelurahan</t>
  </si>
  <si>
    <t>Pemberdayaan Masyarakat di Kelurahan</t>
  </si>
  <si>
    <t>Realisasi</t>
  </si>
  <si>
    <t>Fisik</t>
  </si>
  <si>
    <t>Keuangan</t>
  </si>
  <si>
    <t>(%)</t>
  </si>
  <si>
    <t>(Rp)</t>
  </si>
  <si>
    <t>Program / Kegiatan / Sub Kegiatan</t>
  </si>
  <si>
    <t xml:space="preserve">Bulan </t>
  </si>
  <si>
    <t xml:space="preserve">Instansi </t>
  </si>
  <si>
    <t>RESUME SUB KEGIATAN PERANGKAT DAERAH</t>
  </si>
  <si>
    <t>Pagu (Rp)</t>
  </si>
  <si>
    <t>RESUME KEGIATAN PERANGKAT DAERAH</t>
  </si>
  <si>
    <t>RESUME PROGRAM PERANGKAT DAERAH</t>
  </si>
  <si>
    <t>Keterangan:</t>
  </si>
  <si>
    <t>2. Mohon tidak melakukan perubahan pada kolom yang dikunci</t>
  </si>
  <si>
    <t>3. Silahkan dilakuan penyesuaian jika terdapat data yang belum sesuai.</t>
  </si>
  <si>
    <t>4. Data yang telah disesuaikan mohon untuk dilaporkan ke Bagian Administrasi Pembangunan Kota Samarinda</t>
  </si>
  <si>
    <t>Murni</t>
  </si>
  <si>
    <t>Penyusunan Dokumen Perencanaan Perangkat Daerah</t>
  </si>
  <si>
    <t>Koordinasi dan Penyusunan Laporan Keuangan Akhir Tahun SKPD</t>
  </si>
  <si>
    <t xml:space="preserve">Kegiatan </t>
  </si>
  <si>
    <t>Penyediaan Bahan Bacaan dan Peraturan Perundang-undangan</t>
  </si>
  <si>
    <t>Pengadaan Barang Milik Daerah Penunjang Urusan Pemerintah Daerah</t>
  </si>
  <si>
    <t>Pengadaan Kendaraan Dinas Operasional atau Lapangan</t>
  </si>
  <si>
    <t>Pengadaan Mebel</t>
  </si>
  <si>
    <t>Pemeliharaan Peralatan dan Mesin Lainnya</t>
  </si>
  <si>
    <r>
      <t xml:space="preserve">1. Yang diisi hanya </t>
    </r>
    <r>
      <rPr>
        <b/>
        <sz val="10"/>
        <rFont val="Calibri"/>
        <family val="2"/>
        <scheme val="minor"/>
      </rPr>
      <t>Realisasi Fisik dan Keuangan (Rp)</t>
    </r>
  </si>
  <si>
    <t>Program / Kegiatan</t>
  </si>
  <si>
    <t>Fasilitasi Kunjungan Tamu</t>
  </si>
  <si>
    <t>Koordinasi dan Penyusunan Dokumen RKA-SKPD</t>
  </si>
  <si>
    <t>Koordinasi dan Penyusunan DPA-SKPD</t>
  </si>
  <si>
    <t>Evaluasi Kinerja Perangkat Daerah</t>
  </si>
  <si>
    <t>7.01.01.2.01</t>
  </si>
  <si>
    <t>7.01.01.2.01.01</t>
  </si>
  <si>
    <t>7.01.01.2.01.06</t>
  </si>
  <si>
    <t>7.01.01.2.02</t>
  </si>
  <si>
    <t>7.01.01.2.02.01</t>
  </si>
  <si>
    <t>7.01.01.2.02.02</t>
  </si>
  <si>
    <t>7.01.01.2.02.05</t>
  </si>
  <si>
    <t>7.01.01.2.05</t>
  </si>
  <si>
    <t>7.01.01.2.05.02</t>
  </si>
  <si>
    <t>7.01.01.2.05.11</t>
  </si>
  <si>
    <t>7.01.01.2.06</t>
  </si>
  <si>
    <t>7.01.01.2.06.01</t>
  </si>
  <si>
    <t>7.01.01.2.06.02</t>
  </si>
  <si>
    <t>7.01.01.2.06.04</t>
  </si>
  <si>
    <t>7.01.01.2.06.05</t>
  </si>
  <si>
    <t>7.01.01.2.06.09</t>
  </si>
  <si>
    <t>7.01.01.2.07</t>
  </si>
  <si>
    <t>7.01.01.2.07.05</t>
  </si>
  <si>
    <t>7.01.01.2.08</t>
  </si>
  <si>
    <t>7.01.01.2.08.02</t>
  </si>
  <si>
    <t>7.01.01.2.08.04</t>
  </si>
  <si>
    <t>7.01.01.2.09</t>
  </si>
  <si>
    <t>7.01.01.2.09.06</t>
  </si>
  <si>
    <t>7.01.01.2.09.09</t>
  </si>
  <si>
    <t>7.01.01.2.09.10</t>
  </si>
  <si>
    <t>7.01.02.2.01</t>
  </si>
  <si>
    <t>Koordinasi Penyelenggaraan Kegiatan Pemerintahan di Tingkat Kecamatan</t>
  </si>
  <si>
    <t>7.01.02.2.01.02</t>
  </si>
  <si>
    <t>Peningkatan Efektifitas Kegiatan Pemerintahan di Tingkat Kecamatan</t>
  </si>
  <si>
    <t>7.01.03.2.02</t>
  </si>
  <si>
    <t>Kegiatan Pemberdayaan Kelurahan</t>
  </si>
  <si>
    <t>7.01.03.2.02.02</t>
  </si>
  <si>
    <t>7.01.03.2.02.03</t>
  </si>
  <si>
    <t>7.01.01.2.05.09</t>
  </si>
  <si>
    <t>7.01.01.2.09.01</t>
  </si>
  <si>
    <t xml:space="preserve">: Kecamatan Sungai Kunjang Kota Samarinda </t>
  </si>
  <si>
    <t>7.01.0.00.0.00.06</t>
  </si>
  <si>
    <t>7.01.0.00.0.00.06.0000</t>
  </si>
  <si>
    <t>7.01.01.2.07.02</t>
  </si>
  <si>
    <t xml:space="preserve">117828000
</t>
  </si>
  <si>
    <t>7.01.0.00.0.00.06.0001</t>
  </si>
  <si>
    <t>Kelurahan Teluk Lerong Ulu</t>
  </si>
  <si>
    <t>7.01.0.00.0.00.06.0002</t>
  </si>
  <si>
    <t>7.01.0.00.0.00.06.0003</t>
  </si>
  <si>
    <t>7.01.0.00.0.00.06.0004</t>
  </si>
  <si>
    <t>7.01.0.00.0.00.06.0005</t>
  </si>
  <si>
    <t>7.01.0.00.0.00.06.0007</t>
  </si>
  <si>
    <t>7.01.0.00.0.00.06.0008</t>
  </si>
  <si>
    <t>7.01.01.2.07.01</t>
  </si>
  <si>
    <t>7.01.01.2.06.06</t>
  </si>
  <si>
    <t>7.01.01.2.01.07</t>
  </si>
  <si>
    <t>: Januari 2023</t>
  </si>
  <si>
    <t>7.01.01.2.06.08</t>
  </si>
  <si>
    <t>7.01.01.2.01.02</t>
  </si>
  <si>
    <t>7.01.01.2.01.03</t>
  </si>
  <si>
    <t>7.01.01.2.01.04</t>
  </si>
  <si>
    <t>Koordinasi dan Penyusunan Dokumen Perubahan RKA-SKPD</t>
  </si>
  <si>
    <t>7.01.01.2.01.05</t>
  </si>
  <si>
    <t>Koordinasi dan Penyusunan Perubahan DPA- SKPD</t>
  </si>
  <si>
    <t>Penyediaan Jasa Pemeliharaan, Biaya Pemeliharaan, dan Pajak Kendaraan Perorangan Dinas atau Kendaraan Dinas Jabatan</t>
  </si>
  <si>
    <t>: Februari 2023</t>
  </si>
  <si>
    <t>: Maret  2023</t>
  </si>
  <si>
    <t xml:space="preserve">  </t>
  </si>
  <si>
    <t>: April 2023</t>
  </si>
  <si>
    <t>: Mei 2023</t>
  </si>
  <si>
    <t>: Juni 2023</t>
  </si>
  <si>
    <t>: Juli 2023</t>
  </si>
  <si>
    <t>: Agustus 2023</t>
  </si>
  <si>
    <t>: September 2023</t>
  </si>
  <si>
    <t>: Oktober 2023</t>
  </si>
  <si>
    <t>: Oktober 2023 PERUBAHAN</t>
  </si>
  <si>
    <t xml:space="preserve"> </t>
  </si>
  <si>
    <t>: November 2023 PERUBAHAN</t>
  </si>
  <si>
    <t>: Desember 2023 PERUBAHAN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</si>
</sst>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_-;\-* #,##0_-;_-* &quot;-&quot;_-;_-@_-"/>
    <numFmt numFmtId="166" formatCode="_-* #,##0.00_-;\-* #,##0.00_-;_-* &quot;-&quot;??_-;_-@_-"/>
  </numFmts>
  <fonts count="57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name val="Segoe UI"/>
      <family val="2"/>
    </font>
    <font>
      <b/>
      <sz val="18"/>
      <name val="Calibri"/>
      <family val="2"/>
      <scheme val="minor"/>
    </font>
    <font>
      <b/>
      <i/>
      <sz val="11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67757C"/>
      <name val="Segoe U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F1F2F7"/>
      </left>
      <right/>
      <top style="medium">
        <color rgb="FFE4E7EA"/>
      </top>
      <bottom style="medium">
        <color rgb="FFE4E7E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90">
    <xf numFmtId="0" fontId="0" fillId="0" borderId="0"/>
    <xf numFmtId="0" fontId="32" fillId="0" borderId="0"/>
    <xf numFmtId="0" fontId="27" fillId="0" borderId="0"/>
    <xf numFmtId="165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5" fillId="0" borderId="0"/>
    <xf numFmtId="165" fontId="36" fillId="0" borderId="0" applyFont="0" applyFill="0" applyBorder="0" applyAlignment="0" applyProtection="0"/>
    <xf numFmtId="0" fontId="36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37" fillId="0" borderId="0"/>
    <xf numFmtId="0" fontId="22" fillId="0" borderId="0"/>
    <xf numFmtId="9" fontId="22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8" fillId="0" borderId="0"/>
    <xf numFmtId="0" fontId="37" fillId="0" borderId="0"/>
    <xf numFmtId="165" fontId="32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6" fillId="0" borderId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19" fillId="0" borderId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8" fillId="0" borderId="0"/>
    <xf numFmtId="165" fontId="39" fillId="0" borderId="0" applyFont="0" applyFill="0" applyBorder="0" applyAlignment="0" applyProtection="0"/>
    <xf numFmtId="0" fontId="39" fillId="0" borderId="0"/>
    <xf numFmtId="165" fontId="27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40" fillId="0" borderId="0"/>
    <xf numFmtId="0" fontId="18" fillId="0" borderId="0"/>
    <xf numFmtId="9" fontId="18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41" fillId="0" borderId="0"/>
    <xf numFmtId="0" fontId="40" fillId="0" borderId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9" fillId="0" borderId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8" fillId="0" borderId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2" fillId="0" borderId="0"/>
    <xf numFmtId="9" fontId="41" fillId="0" borderId="0" applyFont="0" applyFill="0" applyBorder="0" applyAlignment="0" applyProtection="0"/>
    <xf numFmtId="0" fontId="43" fillId="0" borderId="0">
      <alignment vertical="top"/>
    </xf>
    <xf numFmtId="0" fontId="17" fillId="0" borderId="0"/>
    <xf numFmtId="0" fontId="16" fillId="0" borderId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5" fillId="0" borderId="0"/>
    <xf numFmtId="0" fontId="15" fillId="0" borderId="0"/>
    <xf numFmtId="41" fontId="27" fillId="0" borderId="0" applyFont="0" applyFill="0" applyBorder="0" applyAlignment="0" applyProtection="0"/>
    <xf numFmtId="0" fontId="27" fillId="0" borderId="0"/>
    <xf numFmtId="0" fontId="14" fillId="0" borderId="0"/>
    <xf numFmtId="165" fontId="14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27" fillId="0" borderId="0"/>
    <xf numFmtId="0" fontId="13" fillId="0" borderId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3" fillId="0" borderId="0"/>
    <xf numFmtId="0" fontId="13" fillId="0" borderId="0"/>
    <xf numFmtId="41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12" fillId="0" borderId="0"/>
    <xf numFmtId="165" fontId="27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2" fillId="0" borderId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2" fillId="0" borderId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0" fontId="12" fillId="0" borderId="0"/>
    <xf numFmtId="165" fontId="32" fillId="0" borderId="0" applyFont="0" applyFill="0" applyBorder="0" applyAlignment="0" applyProtection="0"/>
    <xf numFmtId="0" fontId="11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0" fontId="11" fillId="0" borderId="0"/>
    <xf numFmtId="165" fontId="52" fillId="0" borderId="0" applyFont="0" applyFill="0" applyBorder="0" applyAlignment="0" applyProtection="0"/>
    <xf numFmtId="0" fontId="52" fillId="0" borderId="0"/>
    <xf numFmtId="165" fontId="27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5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53" fillId="0" borderId="0"/>
    <xf numFmtId="0" fontId="11" fillId="0" borderId="0"/>
    <xf numFmtId="9" fontId="11" fillId="0" borderId="0" applyFont="0" applyFill="0" applyBorder="0" applyAlignment="0" applyProtection="0"/>
    <xf numFmtId="165" fontId="52" fillId="0" borderId="0" applyFont="0" applyFill="0" applyBorder="0" applyAlignment="0" applyProtection="0"/>
    <xf numFmtId="0" fontId="54" fillId="0" borderId="0"/>
    <xf numFmtId="0" fontId="53" fillId="0" borderId="0"/>
    <xf numFmtId="165" fontId="3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52" fillId="0" borderId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5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52" fillId="0" borderId="0" applyFont="0" applyFill="0" applyBorder="0" applyAlignment="0" applyProtection="0"/>
    <xf numFmtId="0" fontId="11" fillId="0" borderId="0"/>
    <xf numFmtId="165" fontId="5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5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5" fillId="0" borderId="0"/>
    <xf numFmtId="9" fontId="54" fillId="0" borderId="0" applyFont="0" applyFill="0" applyBorder="0" applyAlignment="0" applyProtection="0"/>
    <xf numFmtId="0" fontId="56" fillId="0" borderId="0">
      <alignment vertical="top"/>
    </xf>
    <xf numFmtId="0" fontId="11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0" fillId="0" borderId="0"/>
    <xf numFmtId="165" fontId="27" fillId="0" borderId="0" applyFont="0" applyFill="0" applyBorder="0" applyAlignment="0" applyProtection="0"/>
    <xf numFmtId="0" fontId="27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7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0" fillId="0" borderId="0"/>
    <xf numFmtId="165" fontId="27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27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0" fillId="0" borderId="0"/>
    <xf numFmtId="165" fontId="27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0" fillId="0" borderId="0"/>
    <xf numFmtId="165" fontId="27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7" fillId="0" borderId="0"/>
    <xf numFmtId="166" fontId="2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/>
    <xf numFmtId="164" fontId="27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0" fontId="2" fillId="0" borderId="0"/>
    <xf numFmtId="165" fontId="8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7" fillId="0" borderId="0" applyFont="0" applyFill="0" applyBorder="0" applyAlignment="0" applyProtection="0"/>
    <xf numFmtId="0" fontId="43" fillId="0" borderId="0">
      <alignment vertical="top"/>
    </xf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7" fillId="0" borderId="0" applyFont="0" applyFill="0" applyBorder="0" applyAlignment="0" applyProtection="0"/>
    <xf numFmtId="0" fontId="1" fillId="0" borderId="0"/>
    <xf numFmtId="165" fontId="27" fillId="0" borderId="0" applyFont="0" applyFill="0" applyBorder="0" applyAlignment="0" applyProtection="0"/>
  </cellStyleXfs>
  <cellXfs count="144">
    <xf numFmtId="0" fontId="0" fillId="0" borderId="0" xfId="0"/>
    <xf numFmtId="0" fontId="31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3" fillId="0" borderId="0" xfId="312" applyFont="1" applyAlignment="1" applyProtection="1">
      <alignment vertical="center"/>
      <protection locked="0"/>
    </xf>
    <xf numFmtId="0" fontId="34" fillId="0" borderId="0" xfId="1" applyFont="1" applyAlignment="1">
      <alignment vertical="center" wrapText="1"/>
    </xf>
    <xf numFmtId="0" fontId="33" fillId="0" borderId="0" xfId="170" applyFont="1" applyAlignment="1" applyProtection="1">
      <alignment vertical="center"/>
      <protection locked="0"/>
    </xf>
    <xf numFmtId="0" fontId="39" fillId="0" borderId="0" xfId="158" applyAlignment="1">
      <alignment vertical="center" wrapText="1"/>
    </xf>
    <xf numFmtId="0" fontId="39" fillId="0" borderId="0" xfId="158" applyAlignment="1">
      <alignment horizontal="center" vertical="center"/>
    </xf>
    <xf numFmtId="0" fontId="39" fillId="0" borderId="0" xfId="158" applyProtection="1">
      <protection locked="0"/>
    </xf>
    <xf numFmtId="0" fontId="28" fillId="0" borderId="0" xfId="158" applyFont="1" applyAlignment="1">
      <alignment vertical="center" wrapText="1"/>
    </xf>
    <xf numFmtId="0" fontId="28" fillId="0" borderId="0" xfId="158" applyFont="1" applyAlignment="1">
      <alignment horizontal="left" vertical="center" wrapText="1"/>
    </xf>
    <xf numFmtId="0" fontId="28" fillId="0" borderId="0" xfId="158" applyFont="1" applyAlignment="1">
      <alignment horizontal="center" vertical="center" wrapText="1"/>
    </xf>
    <xf numFmtId="0" fontId="47" fillId="0" borderId="0" xfId="158" applyFont="1" applyAlignment="1">
      <alignment vertical="center" wrapText="1"/>
    </xf>
    <xf numFmtId="0" fontId="26" fillId="4" borderId="1" xfId="158" applyFont="1" applyFill="1" applyBorder="1" applyAlignment="1">
      <alignment vertical="center"/>
    </xf>
    <xf numFmtId="4" fontId="44" fillId="4" borderId="1" xfId="158" applyNumberFormat="1" applyFont="1" applyFill="1" applyBorder="1" applyAlignment="1">
      <alignment horizontal="right" vertical="center"/>
    </xf>
    <xf numFmtId="0" fontId="26" fillId="4" borderId="1" xfId="158" applyFont="1" applyFill="1" applyBorder="1" applyAlignment="1">
      <alignment horizontal="center" vertical="center"/>
    </xf>
    <xf numFmtId="0" fontId="26" fillId="3" borderId="1" xfId="158" applyFont="1" applyFill="1" applyBorder="1" applyAlignment="1">
      <alignment vertical="center"/>
    </xf>
    <xf numFmtId="0" fontId="26" fillId="3" borderId="1" xfId="158" applyFont="1" applyFill="1" applyBorder="1" applyAlignment="1">
      <alignment vertical="center" wrapText="1"/>
    </xf>
    <xf numFmtId="0" fontId="26" fillId="3" borderId="1" xfId="158" applyFont="1" applyFill="1" applyBorder="1" applyAlignment="1">
      <alignment horizontal="center" vertical="center"/>
    </xf>
    <xf numFmtId="21" fontId="26" fillId="6" borderId="1" xfId="158" quotePrefix="1" applyNumberFormat="1" applyFont="1" applyFill="1" applyBorder="1" applyAlignment="1" applyProtection="1">
      <alignment vertical="center" wrapText="1"/>
      <protection locked="0"/>
    </xf>
    <xf numFmtId="4" fontId="28" fillId="6" borderId="1" xfId="158" applyNumberFormat="1" applyFont="1" applyFill="1" applyBorder="1" applyAlignment="1" applyProtection="1">
      <alignment horizontal="right" vertical="center"/>
      <protection locked="0"/>
    </xf>
    <xf numFmtId="0" fontId="27" fillId="6" borderId="1" xfId="158" applyFont="1" applyFill="1" applyBorder="1" applyAlignment="1">
      <alignment horizontal="center" vertical="center"/>
    </xf>
    <xf numFmtId="0" fontId="26" fillId="7" borderId="1" xfId="158" applyFont="1" applyFill="1" applyBorder="1" applyAlignment="1" applyProtection="1">
      <alignment vertical="center" wrapText="1"/>
      <protection locked="0"/>
    </xf>
    <xf numFmtId="4" fontId="28" fillId="7" borderId="1" xfId="158" applyNumberFormat="1" applyFont="1" applyFill="1" applyBorder="1" applyAlignment="1" applyProtection="1">
      <alignment horizontal="right" vertical="center"/>
      <protection locked="0"/>
    </xf>
    <xf numFmtId="0" fontId="27" fillId="7" borderId="1" xfId="158" applyFont="1" applyFill="1" applyBorder="1" applyAlignment="1">
      <alignment horizontal="center" vertical="center"/>
    </xf>
    <xf numFmtId="0" fontId="27" fillId="0" borderId="1" xfId="158" applyFont="1" applyBorder="1" applyAlignment="1" applyProtection="1">
      <alignment vertical="center" wrapText="1"/>
      <protection locked="0"/>
    </xf>
    <xf numFmtId="4" fontId="28" fillId="9" borderId="1" xfId="158" applyNumberFormat="1" applyFont="1" applyFill="1" applyBorder="1" applyAlignment="1" applyProtection="1">
      <alignment horizontal="right" vertical="center" wrapText="1"/>
      <protection locked="0"/>
    </xf>
    <xf numFmtId="0" fontId="27" fillId="0" borderId="1" xfId="158" applyFont="1" applyBorder="1" applyAlignment="1">
      <alignment horizontal="center" vertical="center"/>
    </xf>
    <xf numFmtId="0" fontId="39" fillId="0" borderId="1" xfId="158" applyBorder="1" applyAlignment="1" applyProtection="1">
      <alignment vertical="center" wrapText="1"/>
      <protection locked="0"/>
    </xf>
    <xf numFmtId="0" fontId="49" fillId="0" borderId="0" xfId="158" applyFont="1" applyAlignment="1" applyProtection="1">
      <alignment vertical="center"/>
      <protection locked="0"/>
    </xf>
    <xf numFmtId="0" fontId="39" fillId="0" borderId="0" xfId="158" applyAlignment="1" applyProtection="1">
      <alignment vertical="center" wrapText="1"/>
      <protection locked="0"/>
    </xf>
    <xf numFmtId="0" fontId="39" fillId="0" borderId="0" xfId="158" applyAlignment="1" applyProtection="1">
      <alignment horizontal="center" vertical="center"/>
      <protection locked="0"/>
    </xf>
    <xf numFmtId="0" fontId="26" fillId="4" borderId="1" xfId="158" applyFont="1" applyFill="1" applyBorder="1" applyAlignment="1">
      <alignment vertical="center" wrapText="1"/>
    </xf>
    <xf numFmtId="21" fontId="26" fillId="6" borderId="1" xfId="158" quotePrefix="1" applyNumberFormat="1" applyFont="1" applyFill="1" applyBorder="1" applyAlignment="1">
      <alignment vertical="center" wrapText="1"/>
    </xf>
    <xf numFmtId="0" fontId="26" fillId="6" borderId="1" xfId="158" applyFont="1" applyFill="1" applyBorder="1" applyAlignment="1">
      <alignment vertical="center" wrapText="1"/>
    </xf>
    <xf numFmtId="4" fontId="28" fillId="6" borderId="1" xfId="158" applyNumberFormat="1" applyFont="1" applyFill="1" applyBorder="1" applyAlignment="1">
      <alignment horizontal="right" vertical="center"/>
    </xf>
    <xf numFmtId="0" fontId="27" fillId="0" borderId="1" xfId="158" applyFont="1" applyBorder="1" applyAlignment="1">
      <alignment vertical="center" wrapText="1"/>
    </xf>
    <xf numFmtId="4" fontId="28" fillId="0" borderId="1" xfId="158" applyNumberFormat="1" applyFont="1" applyBorder="1" applyAlignment="1">
      <alignment horizontal="right" vertical="center"/>
    </xf>
    <xf numFmtId="0" fontId="27" fillId="7" borderId="1" xfId="158" applyFont="1" applyFill="1" applyBorder="1" applyAlignment="1" applyProtection="1">
      <alignment vertical="center" wrapText="1"/>
      <protection locked="0"/>
    </xf>
    <xf numFmtId="21" fontId="27" fillId="0" borderId="1" xfId="158" quotePrefix="1" applyNumberFormat="1" applyFont="1" applyBorder="1" applyAlignment="1">
      <alignment vertical="center" wrapText="1"/>
    </xf>
    <xf numFmtId="4" fontId="26" fillId="4" borderId="1" xfId="329" applyNumberFormat="1" applyFont="1" applyFill="1" applyBorder="1" applyAlignment="1" applyProtection="1">
      <alignment horizontal="right" vertical="center"/>
    </xf>
    <xf numFmtId="0" fontId="39" fillId="0" borderId="0" xfId="158"/>
    <xf numFmtId="10" fontId="26" fillId="4" borderId="1" xfId="158" applyNumberFormat="1" applyFont="1" applyFill="1" applyBorder="1" applyAlignment="1">
      <alignment horizontal="center" vertical="center"/>
    </xf>
    <xf numFmtId="2" fontId="39" fillId="0" borderId="0" xfId="158" applyNumberFormat="1" applyAlignment="1">
      <alignment horizontal="right" vertical="center"/>
    </xf>
    <xf numFmtId="3" fontId="51" fillId="2" borderId="0" xfId="158" applyNumberFormat="1" applyFont="1" applyFill="1" applyAlignment="1">
      <alignment horizontal="right" vertical="center" wrapText="1"/>
    </xf>
    <xf numFmtId="2" fontId="45" fillId="4" borderId="1" xfId="158" applyNumberFormat="1" applyFont="1" applyFill="1" applyBorder="1" applyAlignment="1">
      <alignment horizontal="right" vertical="center"/>
    </xf>
    <xf numFmtId="2" fontId="39" fillId="0" borderId="0" xfId="158" applyNumberFormat="1" applyAlignment="1">
      <alignment horizontal="right"/>
    </xf>
    <xf numFmtId="4" fontId="39" fillId="0" borderId="0" xfId="158" applyNumberFormat="1" applyProtection="1">
      <protection locked="0"/>
    </xf>
    <xf numFmtId="4" fontId="44" fillId="3" borderId="1" xfId="158" applyNumberFormat="1" applyFont="1" applyFill="1" applyBorder="1" applyAlignment="1">
      <alignment horizontal="right" vertical="center"/>
    </xf>
    <xf numFmtId="10" fontId="26" fillId="3" borderId="1" xfId="158" applyNumberFormat="1" applyFont="1" applyFill="1" applyBorder="1" applyAlignment="1">
      <alignment horizontal="center" vertical="center"/>
    </xf>
    <xf numFmtId="0" fontId="26" fillId="6" borderId="1" xfId="158" applyFont="1" applyFill="1" applyBorder="1" applyAlignment="1" applyProtection="1">
      <alignment vertical="center" wrapText="1"/>
      <protection locked="0"/>
    </xf>
    <xf numFmtId="10" fontId="39" fillId="6" borderId="1" xfId="158" applyNumberFormat="1" applyFill="1" applyBorder="1" applyAlignment="1" applyProtection="1">
      <alignment horizontal="center" vertical="center"/>
      <protection locked="0"/>
    </xf>
    <xf numFmtId="4" fontId="29" fillId="6" borderId="1" xfId="158" applyNumberFormat="1" applyFont="1" applyFill="1" applyBorder="1" applyAlignment="1" applyProtection="1">
      <alignment horizontal="right" vertical="center"/>
      <protection locked="0"/>
    </xf>
    <xf numFmtId="10" fontId="39" fillId="6" borderId="1" xfId="158" applyNumberFormat="1" applyFill="1" applyBorder="1" applyAlignment="1">
      <alignment horizontal="center" vertical="center"/>
    </xf>
    <xf numFmtId="10" fontId="39" fillId="7" borderId="1" xfId="158" applyNumberFormat="1" applyFill="1" applyBorder="1" applyAlignment="1" applyProtection="1">
      <alignment horizontal="center" vertical="center"/>
      <protection locked="0"/>
    </xf>
    <xf numFmtId="4" fontId="29" fillId="7" borderId="1" xfId="158" applyNumberFormat="1" applyFont="1" applyFill="1" applyBorder="1" applyAlignment="1" applyProtection="1">
      <alignment horizontal="right" vertical="center"/>
      <protection locked="0"/>
    </xf>
    <xf numFmtId="10" fontId="39" fillId="7" borderId="1" xfId="158" applyNumberFormat="1" applyFill="1" applyBorder="1" applyAlignment="1">
      <alignment horizontal="center" vertical="center"/>
    </xf>
    <xf numFmtId="10" fontId="39" fillId="0" borderId="1" xfId="158" applyNumberFormat="1" applyBorder="1" applyAlignment="1" applyProtection="1">
      <alignment horizontal="center" vertical="center"/>
      <protection locked="0"/>
    </xf>
    <xf numFmtId="10" fontId="39" fillId="0" borderId="1" xfId="158" applyNumberFormat="1" applyBorder="1" applyAlignment="1">
      <alignment horizontal="center" vertical="center"/>
    </xf>
    <xf numFmtId="4" fontId="44" fillId="7" borderId="1" xfId="158" applyNumberFormat="1" applyFont="1" applyFill="1" applyBorder="1" applyAlignment="1" applyProtection="1">
      <alignment vertical="center" wrapText="1"/>
      <protection locked="0"/>
    </xf>
    <xf numFmtId="4" fontId="28" fillId="6" borderId="1" xfId="158" applyNumberFormat="1" applyFont="1" applyFill="1" applyBorder="1" applyAlignment="1" applyProtection="1">
      <alignment vertical="center" wrapText="1"/>
      <protection locked="0"/>
    </xf>
    <xf numFmtId="0" fontId="26" fillId="3" borderId="1" xfId="158" applyFont="1" applyFill="1" applyBorder="1" applyAlignment="1" applyProtection="1">
      <alignment vertical="center"/>
      <protection locked="0"/>
    </xf>
    <xf numFmtId="0" fontId="26" fillId="3" borderId="1" xfId="158" applyFont="1" applyFill="1" applyBorder="1" applyAlignment="1" applyProtection="1">
      <alignment vertical="center" wrapText="1"/>
      <protection locked="0"/>
    </xf>
    <xf numFmtId="4" fontId="44" fillId="3" borderId="1" xfId="158" applyNumberFormat="1" applyFont="1" applyFill="1" applyBorder="1" applyAlignment="1" applyProtection="1">
      <alignment horizontal="right" vertical="center"/>
      <protection locked="0"/>
    </xf>
    <xf numFmtId="4" fontId="39" fillId="6" borderId="1" xfId="158" applyNumberFormat="1" applyFill="1" applyBorder="1" applyAlignment="1" applyProtection="1">
      <alignment horizontal="right" vertical="center"/>
      <protection locked="0"/>
    </xf>
    <xf numFmtId="4" fontId="39" fillId="7" borderId="1" xfId="158" applyNumberFormat="1" applyFill="1" applyBorder="1" applyAlignment="1" applyProtection="1">
      <alignment horizontal="right" vertical="center"/>
      <protection locked="0"/>
    </xf>
    <xf numFmtId="10" fontId="26" fillId="3" borderId="1" xfId="158" applyNumberFormat="1" applyFont="1" applyFill="1" applyBorder="1" applyAlignment="1" applyProtection="1">
      <alignment horizontal="center" vertical="center"/>
      <protection locked="0"/>
    </xf>
    <xf numFmtId="4" fontId="26" fillId="3" borderId="1" xfId="158" applyNumberFormat="1" applyFont="1" applyFill="1" applyBorder="1" applyAlignment="1" applyProtection="1">
      <alignment horizontal="right" vertical="center"/>
      <protection locked="0"/>
    </xf>
    <xf numFmtId="10" fontId="27" fillId="6" borderId="1" xfId="158" applyNumberFormat="1" applyFont="1" applyFill="1" applyBorder="1" applyAlignment="1" applyProtection="1">
      <alignment horizontal="center" vertical="center"/>
      <protection locked="0"/>
    </xf>
    <xf numFmtId="10" fontId="27" fillId="7" borderId="1" xfId="158" applyNumberFormat="1" applyFont="1" applyFill="1" applyBorder="1" applyAlignment="1" applyProtection="1">
      <alignment horizontal="center" vertical="center"/>
      <protection locked="0"/>
    </xf>
    <xf numFmtId="4" fontId="45" fillId="3" borderId="1" xfId="158" applyNumberFormat="1" applyFont="1" applyFill="1" applyBorder="1" applyAlignment="1" applyProtection="1">
      <alignment horizontal="right" vertical="center"/>
      <protection locked="0"/>
    </xf>
    <xf numFmtId="0" fontId="48" fillId="0" borderId="0" xfId="158" applyFont="1" applyAlignment="1" applyProtection="1">
      <alignment vertical="center"/>
      <protection locked="0"/>
    </xf>
    <xf numFmtId="0" fontId="29" fillId="0" borderId="0" xfId="158" applyFont="1" applyAlignment="1" applyProtection="1">
      <alignment vertical="center"/>
      <protection locked="0"/>
    </xf>
    <xf numFmtId="0" fontId="29" fillId="0" borderId="10" xfId="158" applyFont="1" applyBorder="1" applyAlignment="1" applyProtection="1">
      <alignment vertical="center"/>
      <protection locked="0"/>
    </xf>
    <xf numFmtId="2" fontId="26" fillId="4" borderId="1" xfId="158" applyNumberFormat="1" applyFont="1" applyFill="1" applyBorder="1" applyAlignment="1">
      <alignment horizontal="right" vertical="center"/>
    </xf>
    <xf numFmtId="2" fontId="29" fillId="6" borderId="1" xfId="158" applyNumberFormat="1" applyFont="1" applyFill="1" applyBorder="1" applyAlignment="1">
      <alignment horizontal="right" vertical="center"/>
    </xf>
    <xf numFmtId="10" fontId="27" fillId="0" borderId="1" xfId="158" applyNumberFormat="1" applyFont="1" applyBorder="1" applyAlignment="1">
      <alignment horizontal="center" vertical="center"/>
    </xf>
    <xf numFmtId="4" fontId="28" fillId="0" borderId="1" xfId="158" applyNumberFormat="1" applyFont="1" applyBorder="1" applyAlignment="1">
      <alignment vertical="center" wrapText="1"/>
    </xf>
    <xf numFmtId="4" fontId="28" fillId="6" borderId="1" xfId="158" applyNumberFormat="1" applyFont="1" applyFill="1" applyBorder="1" applyAlignment="1">
      <alignment vertical="center" wrapText="1"/>
    </xf>
    <xf numFmtId="4" fontId="28" fillId="7" borderId="1" xfId="158" applyNumberFormat="1" applyFont="1" applyFill="1" applyBorder="1" applyAlignment="1" applyProtection="1">
      <alignment vertical="center" wrapText="1"/>
      <protection locked="0"/>
    </xf>
    <xf numFmtId="0" fontId="27" fillId="0" borderId="0" xfId="158" applyFont="1" applyProtection="1">
      <protection locked="0"/>
    </xf>
    <xf numFmtId="2" fontId="39" fillId="6" borderId="1" xfId="158" applyNumberFormat="1" applyFill="1" applyBorder="1" applyAlignment="1">
      <alignment horizontal="right"/>
    </xf>
    <xf numFmtId="2" fontId="26" fillId="3" borderId="1" xfId="158" applyNumberFormat="1" applyFont="1" applyFill="1" applyBorder="1" applyAlignment="1">
      <alignment horizontal="right"/>
    </xf>
    <xf numFmtId="2" fontId="45" fillId="3" borderId="1" xfId="158" applyNumberFormat="1" applyFont="1" applyFill="1" applyBorder="1" applyAlignment="1">
      <alignment horizontal="right" vertical="center"/>
    </xf>
    <xf numFmtId="4" fontId="45" fillId="4" borderId="1" xfId="158" applyNumberFormat="1" applyFont="1" applyFill="1" applyBorder="1" applyAlignment="1">
      <alignment horizontal="right" vertical="center"/>
    </xf>
    <xf numFmtId="41" fontId="28" fillId="10" borderId="1" xfId="332" applyFont="1" applyFill="1" applyBorder="1" applyAlignment="1" applyProtection="1">
      <alignment horizontal="right" vertical="center" wrapText="1"/>
      <protection locked="0"/>
    </xf>
    <xf numFmtId="4" fontId="28" fillId="10" borderId="1" xfId="158" applyNumberFormat="1" applyFont="1" applyFill="1" applyBorder="1" applyAlignment="1" applyProtection="1">
      <alignment horizontal="right" vertical="center" wrapText="1"/>
      <protection locked="0"/>
    </xf>
    <xf numFmtId="0" fontId="29" fillId="0" borderId="8" xfId="158" applyFont="1" applyBorder="1" applyAlignment="1" applyProtection="1">
      <alignment vertical="center"/>
      <protection locked="0"/>
    </xf>
    <xf numFmtId="2" fontId="26" fillId="3" borderId="1" xfId="158" applyNumberFormat="1" applyFont="1" applyFill="1" applyBorder="1" applyAlignment="1">
      <alignment horizontal="right" vertical="center"/>
    </xf>
    <xf numFmtId="4" fontId="27" fillId="0" borderId="1" xfId="1010" applyNumberFormat="1" applyBorder="1" applyAlignment="1" applyProtection="1">
      <alignment horizontal="right" vertical="center"/>
      <protection locked="0"/>
    </xf>
    <xf numFmtId="4" fontId="28" fillId="0" borderId="1" xfId="158" applyNumberFormat="1" applyFont="1" applyBorder="1" applyAlignment="1" applyProtection="1">
      <alignment horizontal="right" vertical="center" wrapText="1"/>
      <protection locked="0"/>
    </xf>
    <xf numFmtId="4" fontId="27" fillId="0" borderId="11" xfId="2" applyNumberFormat="1" applyBorder="1" applyAlignment="1" applyProtection="1">
      <alignment horizontal="right" vertical="center"/>
      <protection locked="0"/>
    </xf>
    <xf numFmtId="4" fontId="27" fillId="0" borderId="11" xfId="1010" applyNumberFormat="1" applyBorder="1" applyAlignment="1" applyProtection="1">
      <alignment horizontal="right" vertical="center"/>
      <protection locked="0"/>
    </xf>
    <xf numFmtId="4" fontId="27" fillId="6" borderId="11" xfId="1010" applyNumberFormat="1" applyFill="1" applyBorder="1" applyAlignment="1" applyProtection="1">
      <alignment horizontal="right" vertical="center"/>
      <protection locked="0"/>
    </xf>
    <xf numFmtId="4" fontId="27" fillId="7" borderId="11" xfId="1010" applyNumberFormat="1" applyFill="1" applyBorder="1" applyAlignment="1" applyProtection="1">
      <alignment horizontal="right" vertical="center"/>
      <protection locked="0"/>
    </xf>
    <xf numFmtId="4" fontId="29" fillId="6" borderId="11" xfId="1010" applyNumberFormat="1" applyFont="1" applyFill="1" applyBorder="1" applyAlignment="1" applyProtection="1">
      <alignment horizontal="right" vertical="center"/>
      <protection locked="0"/>
    </xf>
    <xf numFmtId="4" fontId="29" fillId="7" borderId="11" xfId="1010" applyNumberFormat="1" applyFont="1" applyFill="1" applyBorder="1" applyAlignment="1" applyProtection="1">
      <alignment horizontal="right" vertical="center"/>
      <protection locked="0"/>
    </xf>
    <xf numFmtId="10" fontId="27" fillId="0" borderId="11" xfId="1010" applyNumberFormat="1" applyBorder="1" applyAlignment="1" applyProtection="1">
      <alignment horizontal="center" vertical="center"/>
      <protection locked="0"/>
    </xf>
    <xf numFmtId="10" fontId="27" fillId="7" borderId="11" xfId="1010" applyNumberFormat="1" applyFill="1" applyBorder="1" applyAlignment="1" applyProtection="1">
      <alignment horizontal="center" vertical="center"/>
      <protection locked="0"/>
    </xf>
    <xf numFmtId="10" fontId="27" fillId="6" borderId="11" xfId="1010" applyNumberFormat="1" applyFill="1" applyBorder="1" applyAlignment="1" applyProtection="1">
      <alignment horizontal="center" vertical="center"/>
      <protection locked="0"/>
    </xf>
    <xf numFmtId="4" fontId="0" fillId="0" borderId="11" xfId="329" applyNumberFormat="1" applyFont="1" applyFill="1" applyBorder="1" applyAlignment="1" applyProtection="1">
      <alignment horizontal="right" vertical="center"/>
      <protection locked="0"/>
    </xf>
    <xf numFmtId="10" fontId="26" fillId="3" borderId="11" xfId="1010" applyNumberFormat="1" applyFont="1" applyFill="1" applyBorder="1" applyAlignment="1" applyProtection="1">
      <alignment horizontal="center" vertical="center"/>
      <protection locked="0"/>
    </xf>
    <xf numFmtId="4" fontId="26" fillId="3" borderId="11" xfId="1010" applyNumberFormat="1" applyFont="1" applyFill="1" applyBorder="1" applyAlignment="1" applyProtection="1">
      <alignment horizontal="right" vertical="center"/>
      <protection locked="0"/>
    </xf>
    <xf numFmtId="4" fontId="45" fillId="3" borderId="11" xfId="1010" applyNumberFormat="1" applyFont="1" applyFill="1" applyBorder="1" applyAlignment="1" applyProtection="1">
      <alignment horizontal="right" vertical="center"/>
      <protection locked="0"/>
    </xf>
    <xf numFmtId="4" fontId="28" fillId="6" borderId="11" xfId="1010" applyNumberFormat="1" applyFont="1" applyFill="1" applyBorder="1" applyAlignment="1" applyProtection="1">
      <alignment horizontal="right" vertical="center"/>
      <protection locked="0"/>
    </xf>
    <xf numFmtId="4" fontId="28" fillId="7" borderId="11" xfId="1010" applyNumberFormat="1" applyFont="1" applyFill="1" applyBorder="1" applyAlignment="1" applyProtection="1">
      <alignment horizontal="right" vertical="center"/>
      <protection locked="0"/>
    </xf>
    <xf numFmtId="0" fontId="39" fillId="0" borderId="11" xfId="158" applyBorder="1" applyAlignment="1" applyProtection="1">
      <alignment vertical="center" wrapText="1"/>
      <protection locked="0"/>
    </xf>
    <xf numFmtId="0" fontId="27" fillId="0" borderId="11" xfId="158" applyFont="1" applyFill="1" applyBorder="1" applyAlignment="1" applyProtection="1">
      <alignment vertical="center" wrapText="1"/>
      <protection locked="0"/>
    </xf>
    <xf numFmtId="4" fontId="28" fillId="0" borderId="1" xfId="158" applyNumberFormat="1" applyFont="1" applyFill="1" applyBorder="1" applyAlignment="1" applyProtection="1">
      <alignment horizontal="right" vertical="center" wrapText="1"/>
      <protection locked="0"/>
    </xf>
    <xf numFmtId="4" fontId="28" fillId="0" borderId="11" xfId="158" applyNumberFormat="1" applyFont="1" applyFill="1" applyBorder="1" applyAlignment="1" applyProtection="1">
      <alignment horizontal="right" vertical="center" wrapText="1"/>
      <protection locked="0"/>
    </xf>
    <xf numFmtId="4" fontId="28" fillId="8" borderId="11" xfId="158" applyNumberFormat="1" applyFont="1" applyFill="1" applyBorder="1" applyAlignment="1" applyProtection="1">
      <alignment horizontal="right" vertical="center" wrapText="1"/>
      <protection locked="0"/>
    </xf>
    <xf numFmtId="10" fontId="27" fillId="8" borderId="11" xfId="1010" applyNumberFormat="1" applyFill="1" applyBorder="1" applyAlignment="1" applyProtection="1">
      <alignment horizontal="center" vertical="center"/>
      <protection locked="0"/>
    </xf>
    <xf numFmtId="4" fontId="27" fillId="8" borderId="11" xfId="1010" applyNumberFormat="1" applyFill="1" applyBorder="1" applyAlignment="1" applyProtection="1">
      <alignment horizontal="right" vertical="center"/>
      <protection locked="0"/>
    </xf>
    <xf numFmtId="10" fontId="39" fillId="8" borderId="1" xfId="158" applyNumberFormat="1" applyFill="1" applyBorder="1" applyAlignment="1">
      <alignment horizontal="center" vertical="center"/>
    </xf>
    <xf numFmtId="4" fontId="28" fillId="8" borderId="1" xfId="158" applyNumberFormat="1" applyFont="1" applyFill="1" applyBorder="1" applyAlignment="1" applyProtection="1">
      <alignment horizontal="right" vertical="center" wrapText="1"/>
      <protection locked="0"/>
    </xf>
    <xf numFmtId="4" fontId="27" fillId="8" borderId="11" xfId="1010" applyNumberFormat="1" applyFill="1" applyBorder="1" applyAlignment="1" applyProtection="1">
      <alignment horizontal="right"/>
      <protection locked="0"/>
    </xf>
    <xf numFmtId="10" fontId="39" fillId="8" borderId="1" xfId="158" applyNumberFormat="1" applyFill="1" applyBorder="1" applyAlignment="1" applyProtection="1">
      <alignment horizontal="center" vertical="center"/>
      <protection locked="0"/>
    </xf>
    <xf numFmtId="10" fontId="39" fillId="8" borderId="11" xfId="158" applyNumberFormat="1" applyFill="1" applyBorder="1" applyAlignment="1" applyProtection="1">
      <alignment horizontal="center" vertical="center"/>
      <protection locked="0"/>
    </xf>
    <xf numFmtId="0" fontId="27" fillId="0" borderId="1" xfId="158" applyFont="1" applyFill="1" applyBorder="1" applyAlignment="1" applyProtection="1">
      <alignment vertical="center" wrapText="1"/>
      <protection locked="0"/>
    </xf>
    <xf numFmtId="0" fontId="39" fillId="0" borderId="1" xfId="158" applyFill="1" applyBorder="1" applyAlignment="1" applyProtection="1">
      <alignment vertical="center" wrapText="1"/>
      <protection locked="0"/>
    </xf>
    <xf numFmtId="0" fontId="39" fillId="0" borderId="11" xfId="158" applyFill="1" applyBorder="1" applyAlignment="1" applyProtection="1">
      <alignment vertical="center" wrapText="1"/>
      <protection locked="0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2" fontId="27" fillId="0" borderId="0" xfId="158" applyNumberFormat="1" applyFont="1" applyAlignment="1">
      <alignment horizontal="right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46" fillId="0" borderId="0" xfId="158" applyFont="1" applyAlignment="1">
      <alignment horizontal="center" vertical="center" wrapText="1"/>
    </xf>
    <xf numFmtId="0" fontId="35" fillId="0" borderId="9" xfId="1" applyFont="1" applyBorder="1" applyAlignment="1">
      <alignment horizontal="left" vertical="center" wrapText="1"/>
    </xf>
    <xf numFmtId="0" fontId="30" fillId="5" borderId="2" xfId="1" applyFont="1" applyFill="1" applyBorder="1" applyAlignment="1">
      <alignment horizontal="center" vertical="center" wrapText="1"/>
    </xf>
    <xf numFmtId="0" fontId="30" fillId="5" borderId="3" xfId="1" applyFont="1" applyFill="1" applyBorder="1" applyAlignment="1">
      <alignment horizontal="center" vertical="center" wrapText="1"/>
    </xf>
    <xf numFmtId="0" fontId="30" fillId="5" borderId="4" xfId="1" applyFont="1" applyFill="1" applyBorder="1" applyAlignment="1">
      <alignment horizontal="center" vertical="center" wrapText="1"/>
    </xf>
    <xf numFmtId="0" fontId="30" fillId="5" borderId="5" xfId="1" applyFont="1" applyFill="1" applyBorder="1" applyAlignment="1">
      <alignment horizontal="center" vertical="center" wrapText="1"/>
    </xf>
    <xf numFmtId="0" fontId="30" fillId="5" borderId="7" xfId="1" applyFont="1" applyFill="1" applyBorder="1" applyAlignment="1">
      <alignment horizontal="center" vertical="center" wrapText="1"/>
    </xf>
    <xf numFmtId="0" fontId="30" fillId="5" borderId="6" xfId="1" applyFont="1" applyFill="1" applyBorder="1" applyAlignment="1">
      <alignment horizontal="center" vertical="center" wrapText="1"/>
    </xf>
    <xf numFmtId="0" fontId="30" fillId="5" borderId="12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</cellXfs>
  <cellStyles count="2690">
    <cellStyle name="Comma [0] 10" xfId="332"/>
    <cellStyle name="Comma [0] 10 2" xfId="1128"/>
    <cellStyle name="Comma [0] 10 2 2" xfId="2462"/>
    <cellStyle name="Comma [0] 10 3" xfId="1326"/>
    <cellStyle name="Comma [0] 10 3 2" xfId="2658"/>
    <cellStyle name="Comma [0] 10 4" xfId="1670"/>
    <cellStyle name="Comma [0] 2" xfId="3"/>
    <cellStyle name="Comma [0] 2 10" xfId="1309"/>
    <cellStyle name="Comma [0] 2 10 2" xfId="2642"/>
    <cellStyle name="Comma [0] 2 11" xfId="1358"/>
    <cellStyle name="Comma [0] 2 2" xfId="22"/>
    <cellStyle name="Comma [0] 2 2 2" xfId="46"/>
    <cellStyle name="Comma [0] 2 2 2 2" xfId="118"/>
    <cellStyle name="Comma [0] 2 2 2 2 2" xfId="268"/>
    <cellStyle name="Comma [0] 2 2 2 2 2 2" xfId="588"/>
    <cellStyle name="Comma [0] 2 2 2 2 2 2 2" xfId="1280"/>
    <cellStyle name="Comma [0] 2 2 2 2 2 2 2 2" xfId="2614"/>
    <cellStyle name="Comma [0] 2 2 2 2 2 2 3" xfId="1342"/>
    <cellStyle name="Comma [0] 2 2 2 2 2 2 3 2" xfId="2674"/>
    <cellStyle name="Comma [0] 2 2 2 2 2 2 4" xfId="1925"/>
    <cellStyle name="Comma [0] 2 2 2 2 2 3" xfId="888"/>
    <cellStyle name="Comma [0] 2 2 2 2 2 3 2" xfId="2225"/>
    <cellStyle name="Comma [0] 2 2 2 2 2 4" xfId="1086"/>
    <cellStyle name="Comma [0] 2 2 2 2 2 4 2" xfId="2421"/>
    <cellStyle name="Comma [0] 2 2 2 2 2 5" xfId="1325"/>
    <cellStyle name="Comma [0] 2 2 2 2 2 5 2" xfId="2657"/>
    <cellStyle name="Comma [0] 2 2 2 2 2 6" xfId="1614"/>
    <cellStyle name="Comma [0] 2 2 2 2 3" xfId="444"/>
    <cellStyle name="Comma [0] 2 2 2 2 3 2" xfId="1186"/>
    <cellStyle name="Comma [0] 2 2 2 2 3 2 2" xfId="2520"/>
    <cellStyle name="Comma [0] 2 2 2 2 3 3" xfId="1334"/>
    <cellStyle name="Comma [0] 2 2 2 2 3 3 2" xfId="2666"/>
    <cellStyle name="Comma [0] 2 2 2 2 3 4" xfId="1781"/>
    <cellStyle name="Comma [0] 2 2 2 2 4" xfId="738"/>
    <cellStyle name="Comma [0] 2 2 2 2 4 2" xfId="2075"/>
    <cellStyle name="Comma [0] 2 2 2 2 5" xfId="988"/>
    <cellStyle name="Comma [0] 2 2 2 2 5 2" xfId="2325"/>
    <cellStyle name="Comma [0] 2 2 2 2 6" xfId="1317"/>
    <cellStyle name="Comma [0] 2 2 2 2 6 2" xfId="2649"/>
    <cellStyle name="Comma [0] 2 2 2 2 7" xfId="1468"/>
    <cellStyle name="Comma [0] 2 2 2 3" xfId="196"/>
    <cellStyle name="Comma [0] 2 2 2 3 2" xfId="516"/>
    <cellStyle name="Comma [0] 2 2 2 3 2 2" xfId="1230"/>
    <cellStyle name="Comma [0] 2 2 2 3 2 2 2" xfId="2564"/>
    <cellStyle name="Comma [0] 2 2 2 3 2 3" xfId="1338"/>
    <cellStyle name="Comma [0] 2 2 2 3 2 3 2" xfId="2670"/>
    <cellStyle name="Comma [0] 2 2 2 3 2 4" xfId="1853"/>
    <cellStyle name="Comma [0] 2 2 2 3 3" xfId="816"/>
    <cellStyle name="Comma [0] 2 2 2 3 3 2" xfId="2153"/>
    <cellStyle name="Comma [0] 2 2 2 3 4" xfId="1036"/>
    <cellStyle name="Comma [0] 2 2 2 3 4 2" xfId="2371"/>
    <cellStyle name="Comma [0] 2 2 2 3 5" xfId="1321"/>
    <cellStyle name="Comma [0] 2 2 2 3 5 2" xfId="2653"/>
    <cellStyle name="Comma [0] 2 2 2 3 6" xfId="1542"/>
    <cellStyle name="Comma [0] 2 2 2 4" xfId="372"/>
    <cellStyle name="Comma [0] 2 2 2 4 2" xfId="1150"/>
    <cellStyle name="Comma [0] 2 2 2 4 2 2" xfId="2484"/>
    <cellStyle name="Comma [0] 2 2 2 4 3" xfId="1330"/>
    <cellStyle name="Comma [0] 2 2 2 4 3 2" xfId="2662"/>
    <cellStyle name="Comma [0] 2 2 2 4 4" xfId="1709"/>
    <cellStyle name="Comma [0] 2 2 2 5" xfId="666"/>
    <cellStyle name="Comma [0] 2 2 2 5 2" xfId="2003"/>
    <cellStyle name="Comma [0] 2 2 2 6" xfId="952"/>
    <cellStyle name="Comma [0] 2 2 2 6 2" xfId="2289"/>
    <cellStyle name="Comma [0] 2 2 2 7" xfId="1313"/>
    <cellStyle name="Comma [0] 2 2 2 7 2" xfId="2645"/>
    <cellStyle name="Comma [0] 2 2 2 8" xfId="1396"/>
    <cellStyle name="Comma [0] 2 2 3" xfId="95"/>
    <cellStyle name="Comma [0] 2 2 3 2" xfId="245"/>
    <cellStyle name="Comma [0] 2 2 3 2 2" xfId="565"/>
    <cellStyle name="Comma [0] 2 2 3 2 2 2" xfId="1267"/>
    <cellStyle name="Comma [0] 2 2 3 2 2 2 2" xfId="2601"/>
    <cellStyle name="Comma [0] 2 2 3 2 2 3" xfId="1340"/>
    <cellStyle name="Comma [0] 2 2 3 2 2 3 2" xfId="2672"/>
    <cellStyle name="Comma [0] 2 2 3 2 2 4" xfId="1902"/>
    <cellStyle name="Comma [0] 2 2 3 2 3" xfId="865"/>
    <cellStyle name="Comma [0] 2 2 3 2 3 2" xfId="2202"/>
    <cellStyle name="Comma [0] 2 2 3 2 4" xfId="1073"/>
    <cellStyle name="Comma [0] 2 2 3 2 4 2" xfId="2408"/>
    <cellStyle name="Comma [0] 2 2 3 2 5" xfId="1323"/>
    <cellStyle name="Comma [0] 2 2 3 2 5 2" xfId="2655"/>
    <cellStyle name="Comma [0] 2 2 3 2 6" xfId="1591"/>
    <cellStyle name="Comma [0] 2 2 3 3" xfId="421"/>
    <cellStyle name="Comma [0] 2 2 3 3 2" xfId="1176"/>
    <cellStyle name="Comma [0] 2 2 3 3 2 2" xfId="2510"/>
    <cellStyle name="Comma [0] 2 2 3 3 3" xfId="1332"/>
    <cellStyle name="Comma [0] 2 2 3 3 3 2" xfId="2664"/>
    <cellStyle name="Comma [0] 2 2 3 3 4" xfId="1758"/>
    <cellStyle name="Comma [0] 2 2 3 4" xfId="715"/>
    <cellStyle name="Comma [0] 2 2 3 4 2" xfId="2052"/>
    <cellStyle name="Comma [0] 2 2 3 5" xfId="978"/>
    <cellStyle name="Comma [0] 2 2 3 5 2" xfId="2315"/>
    <cellStyle name="Comma [0] 2 2 3 6" xfId="1315"/>
    <cellStyle name="Comma [0] 2 2 3 6 2" xfId="2647"/>
    <cellStyle name="Comma [0] 2 2 3 7" xfId="1445"/>
    <cellStyle name="Comma [0] 2 2 4" xfId="172"/>
    <cellStyle name="Comma [0] 2 2 4 2" xfId="493"/>
    <cellStyle name="Comma [0] 2 2 4 2 2" xfId="1217"/>
    <cellStyle name="Comma [0] 2 2 4 2 2 2" xfId="2551"/>
    <cellStyle name="Comma [0] 2 2 4 2 3" xfId="1336"/>
    <cellStyle name="Comma [0] 2 2 4 2 3 2" xfId="2668"/>
    <cellStyle name="Comma [0] 2 2 4 2 4" xfId="1830"/>
    <cellStyle name="Comma [0] 2 2 4 3" xfId="792"/>
    <cellStyle name="Comma [0] 2 2 4 3 2" xfId="2129"/>
    <cellStyle name="Comma [0] 2 2 4 4" xfId="1022"/>
    <cellStyle name="Comma [0] 2 2 4 4 2" xfId="2358"/>
    <cellStyle name="Comma [0] 2 2 4 5" xfId="1319"/>
    <cellStyle name="Comma [0] 2 2 4 5 2" xfId="2651"/>
    <cellStyle name="Comma [0] 2 2 4 6" xfId="1519"/>
    <cellStyle name="Comma [0] 2 2 5" xfId="349"/>
    <cellStyle name="Comma [0] 2 2 5 2" xfId="1140"/>
    <cellStyle name="Comma [0] 2 2 5 2 2" xfId="2474"/>
    <cellStyle name="Comma [0] 2 2 5 3" xfId="1328"/>
    <cellStyle name="Comma [0] 2 2 5 3 2" xfId="2660"/>
    <cellStyle name="Comma [0] 2 2 5 4" xfId="1686"/>
    <cellStyle name="Comma [0] 2 2 6" xfId="643"/>
    <cellStyle name="Comma [0] 2 2 6 2" xfId="1980"/>
    <cellStyle name="Comma [0] 2 2 7" xfId="942"/>
    <cellStyle name="Comma [0] 2 2 7 2" xfId="2279"/>
    <cellStyle name="Comma [0] 2 2 8" xfId="1311"/>
    <cellStyle name="Comma [0] 2 2 8 2" xfId="2643"/>
    <cellStyle name="Comma [0] 2 2 9" xfId="1373"/>
    <cellStyle name="Comma [0] 2 3" xfId="45"/>
    <cellStyle name="Comma [0] 2 3 2" xfId="117"/>
    <cellStyle name="Comma [0] 2 3 2 2" xfId="267"/>
    <cellStyle name="Comma [0] 2 3 2 2 2" xfId="587"/>
    <cellStyle name="Comma [0] 2 3 2 2 2 2" xfId="1279"/>
    <cellStyle name="Comma [0] 2 3 2 2 2 2 2" xfId="2613"/>
    <cellStyle name="Comma [0] 2 3 2 2 2 3" xfId="1341"/>
    <cellStyle name="Comma [0] 2 3 2 2 2 3 2" xfId="2673"/>
    <cellStyle name="Comma [0] 2 3 2 2 2 4" xfId="1924"/>
    <cellStyle name="Comma [0] 2 3 2 2 3" xfId="887"/>
    <cellStyle name="Comma [0] 2 3 2 2 3 2" xfId="2224"/>
    <cellStyle name="Comma [0] 2 3 2 2 4" xfId="1085"/>
    <cellStyle name="Comma [0] 2 3 2 2 4 2" xfId="2420"/>
    <cellStyle name="Comma [0] 2 3 2 2 5" xfId="1324"/>
    <cellStyle name="Comma [0] 2 3 2 2 5 2" xfId="2656"/>
    <cellStyle name="Comma [0] 2 3 2 2 6" xfId="1613"/>
    <cellStyle name="Comma [0] 2 3 2 3" xfId="443"/>
    <cellStyle name="Comma [0] 2 3 2 3 2" xfId="1185"/>
    <cellStyle name="Comma [0] 2 3 2 3 2 2" xfId="2519"/>
    <cellStyle name="Comma [0] 2 3 2 3 3" xfId="1333"/>
    <cellStyle name="Comma [0] 2 3 2 3 3 2" xfId="2665"/>
    <cellStyle name="Comma [0] 2 3 2 3 4" xfId="1780"/>
    <cellStyle name="Comma [0] 2 3 2 4" xfId="737"/>
    <cellStyle name="Comma [0] 2 3 2 4 2" xfId="2074"/>
    <cellStyle name="Comma [0] 2 3 2 5" xfId="987"/>
    <cellStyle name="Comma [0] 2 3 2 5 2" xfId="2324"/>
    <cellStyle name="Comma [0] 2 3 2 6" xfId="1316"/>
    <cellStyle name="Comma [0] 2 3 2 6 2" xfId="2648"/>
    <cellStyle name="Comma [0] 2 3 2 7" xfId="1467"/>
    <cellStyle name="Comma [0] 2 3 3" xfId="195"/>
    <cellStyle name="Comma [0] 2 3 3 2" xfId="515"/>
    <cellStyle name="Comma [0] 2 3 3 2 2" xfId="1229"/>
    <cellStyle name="Comma [0] 2 3 3 2 2 2" xfId="2563"/>
    <cellStyle name="Comma [0] 2 3 3 2 3" xfId="1337"/>
    <cellStyle name="Comma [0] 2 3 3 2 3 2" xfId="2669"/>
    <cellStyle name="Comma [0] 2 3 3 2 4" xfId="1852"/>
    <cellStyle name="Comma [0] 2 3 3 3" xfId="815"/>
    <cellStyle name="Comma [0] 2 3 3 3 2" xfId="2152"/>
    <cellStyle name="Comma [0] 2 3 3 4" xfId="1035"/>
    <cellStyle name="Comma [0] 2 3 3 4 2" xfId="2370"/>
    <cellStyle name="Comma [0] 2 3 3 5" xfId="1320"/>
    <cellStyle name="Comma [0] 2 3 3 5 2" xfId="2652"/>
    <cellStyle name="Comma [0] 2 3 3 6" xfId="1541"/>
    <cellStyle name="Comma [0] 2 3 4" xfId="371"/>
    <cellStyle name="Comma [0] 2 3 4 2" xfId="1149"/>
    <cellStyle name="Comma [0] 2 3 4 2 2" xfId="2483"/>
    <cellStyle name="Comma [0] 2 3 4 3" xfId="1329"/>
    <cellStyle name="Comma [0] 2 3 4 3 2" xfId="2661"/>
    <cellStyle name="Comma [0] 2 3 4 4" xfId="1708"/>
    <cellStyle name="Comma [0] 2 3 5" xfId="665"/>
    <cellStyle name="Comma [0] 2 3 5 2" xfId="2002"/>
    <cellStyle name="Comma [0] 2 3 6" xfId="951"/>
    <cellStyle name="Comma [0] 2 3 6 2" xfId="2288"/>
    <cellStyle name="Comma [0] 2 3 7" xfId="1312"/>
    <cellStyle name="Comma [0] 2 3 7 2" xfId="2644"/>
    <cellStyle name="Comma [0] 2 3 8" xfId="1395"/>
    <cellStyle name="Comma [0] 2 4" xfId="81"/>
    <cellStyle name="Comma [0] 2 4 2" xfId="231"/>
    <cellStyle name="Comma [0] 2 4 2 2" xfId="551"/>
    <cellStyle name="Comma [0] 2 4 2 2 2" xfId="1254"/>
    <cellStyle name="Comma [0] 2 4 2 2 2 2" xfId="2588"/>
    <cellStyle name="Comma [0] 2 4 2 2 3" xfId="1339"/>
    <cellStyle name="Comma [0] 2 4 2 2 3 2" xfId="2671"/>
    <cellStyle name="Comma [0] 2 4 2 2 4" xfId="1888"/>
    <cellStyle name="Comma [0] 2 4 2 3" xfId="851"/>
    <cellStyle name="Comma [0] 2 4 2 3 2" xfId="2188"/>
    <cellStyle name="Comma [0] 2 4 2 4" xfId="1060"/>
    <cellStyle name="Comma [0] 2 4 2 4 2" xfId="2395"/>
    <cellStyle name="Comma [0] 2 4 2 5" xfId="1322"/>
    <cellStyle name="Comma [0] 2 4 2 5 2" xfId="2654"/>
    <cellStyle name="Comma [0] 2 4 2 6" xfId="1577"/>
    <cellStyle name="Comma [0] 2 4 3" xfId="407"/>
    <cellStyle name="Comma [0] 2 4 3 2" xfId="1167"/>
    <cellStyle name="Comma [0] 2 4 3 2 2" xfId="2501"/>
    <cellStyle name="Comma [0] 2 4 3 3" xfId="1331"/>
    <cellStyle name="Comma [0] 2 4 3 3 2" xfId="2663"/>
    <cellStyle name="Comma [0] 2 4 3 4" xfId="1744"/>
    <cellStyle name="Comma [0] 2 4 4" xfId="701"/>
    <cellStyle name="Comma [0] 2 4 4 2" xfId="2038"/>
    <cellStyle name="Comma [0] 2 4 5" xfId="969"/>
    <cellStyle name="Comma [0] 2 4 5 2" xfId="2306"/>
    <cellStyle name="Comma [0] 2 4 6" xfId="1314"/>
    <cellStyle name="Comma [0] 2 4 6 2" xfId="2646"/>
    <cellStyle name="Comma [0] 2 4 7" xfId="1431"/>
    <cellStyle name="Comma [0] 2 5" xfId="153"/>
    <cellStyle name="Comma [0] 2 5 2" xfId="478"/>
    <cellStyle name="Comma [0] 2 5 2 2" xfId="1203"/>
    <cellStyle name="Comma [0] 2 5 2 2 2" xfId="2537"/>
    <cellStyle name="Comma [0] 2 5 2 3" xfId="1335"/>
    <cellStyle name="Comma [0] 2 5 2 3 2" xfId="2667"/>
    <cellStyle name="Comma [0] 2 5 2 4" xfId="1815"/>
    <cellStyle name="Comma [0] 2 5 3" xfId="773"/>
    <cellStyle name="Comma [0] 2 5 3 2" xfId="2110"/>
    <cellStyle name="Comma [0] 2 5 4" xfId="1005"/>
    <cellStyle name="Comma [0] 2 5 4 2" xfId="2342"/>
    <cellStyle name="Comma [0] 2 5 5" xfId="1318"/>
    <cellStyle name="Comma [0] 2 5 5 2" xfId="2650"/>
    <cellStyle name="Comma [0] 2 5 6" xfId="1502"/>
    <cellStyle name="Comma [0] 2 6" xfId="329"/>
    <cellStyle name="Comma [0] 2 6 2" xfId="1344"/>
    <cellStyle name="Comma [0] 2 6 2 2" xfId="2676"/>
    <cellStyle name="Comma [0] 2 7" xfId="333"/>
    <cellStyle name="Comma [0] 2 7 2" xfId="1129"/>
    <cellStyle name="Comma [0] 2 7 2 2" xfId="2463"/>
    <cellStyle name="Comma [0] 2 7 3" xfId="1327"/>
    <cellStyle name="Comma [0] 2 7 3 2" xfId="2659"/>
    <cellStyle name="Comma [0] 2 7 4" xfId="1671"/>
    <cellStyle name="Comma [0] 2 8" xfId="628"/>
    <cellStyle name="Comma [0] 2 8 2" xfId="1965"/>
    <cellStyle name="Comma [0] 2 9" xfId="930"/>
    <cellStyle name="Comma [0] 2 9 2" xfId="2267"/>
    <cellStyle name="Comma [0] 3" xfId="6"/>
    <cellStyle name="Comma [0] 3 2" xfId="23"/>
    <cellStyle name="Comma [0] 3 2 2" xfId="48"/>
    <cellStyle name="Comma [0] 3 2 2 2" xfId="120"/>
    <cellStyle name="Comma [0] 3 2 2 2 2" xfId="270"/>
    <cellStyle name="Comma [0] 3 2 2 2 2 2" xfId="590"/>
    <cellStyle name="Comma [0] 3 2 2 2 2 2 2" xfId="1282"/>
    <cellStyle name="Comma [0] 3 2 2 2 2 2 2 2" xfId="2616"/>
    <cellStyle name="Comma [0] 3 2 2 2 2 2 3" xfId="1927"/>
    <cellStyle name="Comma [0] 3 2 2 2 2 3" xfId="890"/>
    <cellStyle name="Comma [0] 3 2 2 2 2 3 2" xfId="2227"/>
    <cellStyle name="Comma [0] 3 2 2 2 2 4" xfId="1088"/>
    <cellStyle name="Comma [0] 3 2 2 2 2 4 2" xfId="2423"/>
    <cellStyle name="Comma [0] 3 2 2 2 2 5" xfId="1616"/>
    <cellStyle name="Comma [0] 3 2 2 2 3" xfId="446"/>
    <cellStyle name="Comma [0] 3 2 2 2 3 2" xfId="1783"/>
    <cellStyle name="Comma [0] 3 2 2 2 4" xfId="740"/>
    <cellStyle name="Comma [0] 3 2 2 2 4 2" xfId="2077"/>
    <cellStyle name="Comma [0] 3 2 2 2 5" xfId="1470"/>
    <cellStyle name="Comma [0] 3 2 2 3" xfId="198"/>
    <cellStyle name="Comma [0] 3 2 2 3 2" xfId="518"/>
    <cellStyle name="Comma [0] 3 2 2 3 2 2" xfId="1232"/>
    <cellStyle name="Comma [0] 3 2 2 3 2 2 2" xfId="2566"/>
    <cellStyle name="Comma [0] 3 2 2 3 2 3" xfId="1855"/>
    <cellStyle name="Comma [0] 3 2 2 3 3" xfId="818"/>
    <cellStyle name="Comma [0] 3 2 2 3 3 2" xfId="2155"/>
    <cellStyle name="Comma [0] 3 2 2 3 4" xfId="1038"/>
    <cellStyle name="Comma [0] 3 2 2 3 4 2" xfId="2373"/>
    <cellStyle name="Comma [0] 3 2 2 3 5" xfId="1544"/>
    <cellStyle name="Comma [0] 3 2 2 4" xfId="374"/>
    <cellStyle name="Comma [0] 3 2 2 4 2" xfId="1711"/>
    <cellStyle name="Comma [0] 3 2 2 5" xfId="668"/>
    <cellStyle name="Comma [0] 3 2 2 5 2" xfId="2005"/>
    <cellStyle name="Comma [0] 3 2 2 6" xfId="1398"/>
    <cellStyle name="Comma [0] 3 2 3" xfId="96"/>
    <cellStyle name="Comma [0] 3 2 3 2" xfId="246"/>
    <cellStyle name="Comma [0] 3 2 3 2 2" xfId="566"/>
    <cellStyle name="Comma [0] 3 2 3 2 2 2" xfId="1268"/>
    <cellStyle name="Comma [0] 3 2 3 2 2 2 2" xfId="2602"/>
    <cellStyle name="Comma [0] 3 2 3 2 2 3" xfId="1903"/>
    <cellStyle name="Comma [0] 3 2 3 2 3" xfId="866"/>
    <cellStyle name="Comma [0] 3 2 3 2 3 2" xfId="2203"/>
    <cellStyle name="Comma [0] 3 2 3 2 4" xfId="1074"/>
    <cellStyle name="Comma [0] 3 2 3 2 4 2" xfId="2409"/>
    <cellStyle name="Comma [0] 3 2 3 2 5" xfId="1592"/>
    <cellStyle name="Comma [0] 3 2 3 3" xfId="422"/>
    <cellStyle name="Comma [0] 3 2 3 3 2" xfId="1759"/>
    <cellStyle name="Comma [0] 3 2 3 4" xfId="716"/>
    <cellStyle name="Comma [0] 3 2 3 4 2" xfId="2053"/>
    <cellStyle name="Comma [0] 3 2 3 5" xfId="1446"/>
    <cellStyle name="Comma [0] 3 2 4" xfId="173"/>
    <cellStyle name="Comma [0] 3 2 4 2" xfId="494"/>
    <cellStyle name="Comma [0] 3 2 4 2 2" xfId="1218"/>
    <cellStyle name="Comma [0] 3 2 4 2 2 2" xfId="2552"/>
    <cellStyle name="Comma [0] 3 2 4 2 3" xfId="1831"/>
    <cellStyle name="Comma [0] 3 2 4 3" xfId="793"/>
    <cellStyle name="Comma [0] 3 2 4 3 2" xfId="2130"/>
    <cellStyle name="Comma [0] 3 2 4 4" xfId="1023"/>
    <cellStyle name="Comma [0] 3 2 4 4 2" xfId="2359"/>
    <cellStyle name="Comma [0] 3 2 4 5" xfId="1520"/>
    <cellStyle name="Comma [0] 3 2 5" xfId="350"/>
    <cellStyle name="Comma [0] 3 2 5 2" xfId="1687"/>
    <cellStyle name="Comma [0] 3 2 6" xfId="644"/>
    <cellStyle name="Comma [0] 3 2 6 2" xfId="1981"/>
    <cellStyle name="Comma [0] 3 2 7" xfId="1374"/>
    <cellStyle name="Comma [0] 3 3" xfId="47"/>
    <cellStyle name="Comma [0] 3 3 2" xfId="119"/>
    <cellStyle name="Comma [0] 3 3 2 2" xfId="269"/>
    <cellStyle name="Comma [0] 3 3 2 2 2" xfId="589"/>
    <cellStyle name="Comma [0] 3 3 2 2 2 2" xfId="1281"/>
    <cellStyle name="Comma [0] 3 3 2 2 2 2 2" xfId="2615"/>
    <cellStyle name="Comma [0] 3 3 2 2 2 3" xfId="1926"/>
    <cellStyle name="Comma [0] 3 3 2 2 3" xfId="889"/>
    <cellStyle name="Comma [0] 3 3 2 2 3 2" xfId="2226"/>
    <cellStyle name="Comma [0] 3 3 2 2 4" xfId="1087"/>
    <cellStyle name="Comma [0] 3 3 2 2 4 2" xfId="2422"/>
    <cellStyle name="Comma [0] 3 3 2 2 5" xfId="1615"/>
    <cellStyle name="Comma [0] 3 3 2 3" xfId="445"/>
    <cellStyle name="Comma [0] 3 3 2 3 2" xfId="1782"/>
    <cellStyle name="Comma [0] 3 3 2 4" xfId="739"/>
    <cellStyle name="Comma [0] 3 3 2 4 2" xfId="2076"/>
    <cellStyle name="Comma [0] 3 3 2 5" xfId="1469"/>
    <cellStyle name="Comma [0] 3 3 3" xfId="197"/>
    <cellStyle name="Comma [0] 3 3 3 2" xfId="517"/>
    <cellStyle name="Comma [0] 3 3 3 2 2" xfId="1231"/>
    <cellStyle name="Comma [0] 3 3 3 2 2 2" xfId="2565"/>
    <cellStyle name="Comma [0] 3 3 3 2 3" xfId="1854"/>
    <cellStyle name="Comma [0] 3 3 3 3" xfId="817"/>
    <cellStyle name="Comma [0] 3 3 3 3 2" xfId="2154"/>
    <cellStyle name="Comma [0] 3 3 3 4" xfId="1037"/>
    <cellStyle name="Comma [0] 3 3 3 4 2" xfId="2372"/>
    <cellStyle name="Comma [0] 3 3 3 5" xfId="1543"/>
    <cellStyle name="Comma [0] 3 3 4" xfId="373"/>
    <cellStyle name="Comma [0] 3 3 4 2" xfId="1710"/>
    <cellStyle name="Comma [0] 3 3 5" xfId="667"/>
    <cellStyle name="Comma [0] 3 3 5 2" xfId="2004"/>
    <cellStyle name="Comma [0] 3 3 6" xfId="1397"/>
    <cellStyle name="Comma [0] 3 4" xfId="84"/>
    <cellStyle name="Comma [0] 3 4 2" xfId="234"/>
    <cellStyle name="Comma [0] 3 4 2 2" xfId="554"/>
    <cellStyle name="Comma [0] 3 4 2 2 2" xfId="1257"/>
    <cellStyle name="Comma [0] 3 4 2 2 2 2" xfId="2591"/>
    <cellStyle name="Comma [0] 3 4 2 2 3" xfId="1891"/>
    <cellStyle name="Comma [0] 3 4 2 3" xfId="854"/>
    <cellStyle name="Comma [0] 3 4 2 3 2" xfId="2191"/>
    <cellStyle name="Comma [0] 3 4 2 4" xfId="1063"/>
    <cellStyle name="Comma [0] 3 4 2 4 2" xfId="2398"/>
    <cellStyle name="Comma [0] 3 4 2 5" xfId="1580"/>
    <cellStyle name="Comma [0] 3 4 3" xfId="410"/>
    <cellStyle name="Comma [0] 3 4 3 2" xfId="1747"/>
    <cellStyle name="Comma [0] 3 4 4" xfId="704"/>
    <cellStyle name="Comma [0] 3 4 4 2" xfId="2041"/>
    <cellStyle name="Comma [0] 3 4 5" xfId="1434"/>
    <cellStyle name="Comma [0] 3 5" xfId="157"/>
    <cellStyle name="Comma [0] 3 5 2" xfId="482"/>
    <cellStyle name="Comma [0] 3 5 2 2" xfId="1207"/>
    <cellStyle name="Comma [0] 3 5 2 2 2" xfId="2541"/>
    <cellStyle name="Comma [0] 3 5 2 3" xfId="1819"/>
    <cellStyle name="Comma [0] 3 5 3" xfId="777"/>
    <cellStyle name="Comma [0] 3 5 3 2" xfId="2114"/>
    <cellStyle name="Comma [0] 3 5 4" xfId="1009"/>
    <cellStyle name="Comma [0] 3 5 4 2" xfId="2346"/>
    <cellStyle name="Comma [0] 3 5 5" xfId="1506"/>
    <cellStyle name="Comma [0] 3 6" xfId="318"/>
    <cellStyle name="Comma [0] 3 6 2" xfId="927"/>
    <cellStyle name="Comma [0] 3 6 2 2" xfId="2264"/>
    <cellStyle name="Comma [0] 3 6 3" xfId="1659"/>
    <cellStyle name="Comma [0] 3 6 4" xfId="2689"/>
    <cellStyle name="Comma [0] 3 7" xfId="335"/>
    <cellStyle name="Comma [0] 3 7 2" xfId="1673"/>
    <cellStyle name="Comma [0] 3 8" xfId="630"/>
    <cellStyle name="Comma [0] 3 8 2" xfId="1967"/>
    <cellStyle name="Comma [0] 3 9" xfId="1360"/>
    <cellStyle name="Comma [0] 4" xfId="9"/>
    <cellStyle name="Comma [0] 4 2" xfId="24"/>
    <cellStyle name="Comma [0] 4 2 2" xfId="50"/>
    <cellStyle name="Comma [0] 4 2 2 2" xfId="122"/>
    <cellStyle name="Comma [0] 4 2 2 2 2" xfId="272"/>
    <cellStyle name="Comma [0] 4 2 2 2 2 2" xfId="592"/>
    <cellStyle name="Comma [0] 4 2 2 2 2 2 2" xfId="1929"/>
    <cellStyle name="Comma [0] 4 2 2 2 2 3" xfId="892"/>
    <cellStyle name="Comma [0] 4 2 2 2 2 3 2" xfId="2229"/>
    <cellStyle name="Comma [0] 4 2 2 2 2 4" xfId="1618"/>
    <cellStyle name="Comma [0] 4 2 2 2 3" xfId="448"/>
    <cellStyle name="Comma [0] 4 2 2 2 3 2" xfId="1785"/>
    <cellStyle name="Comma [0] 4 2 2 2 4" xfId="742"/>
    <cellStyle name="Comma [0] 4 2 2 2 4 2" xfId="2079"/>
    <cellStyle name="Comma [0] 4 2 2 2 5" xfId="1472"/>
    <cellStyle name="Comma [0] 4 2 2 3" xfId="200"/>
    <cellStyle name="Comma [0] 4 2 2 3 2" xfId="520"/>
    <cellStyle name="Comma [0] 4 2 2 3 2 2" xfId="1857"/>
    <cellStyle name="Comma [0] 4 2 2 3 3" xfId="820"/>
    <cellStyle name="Comma [0] 4 2 2 3 3 2" xfId="2157"/>
    <cellStyle name="Comma [0] 4 2 2 3 4" xfId="1546"/>
    <cellStyle name="Comma [0] 4 2 2 4" xfId="376"/>
    <cellStyle name="Comma [0] 4 2 2 4 2" xfId="1713"/>
    <cellStyle name="Comma [0] 4 2 2 5" xfId="670"/>
    <cellStyle name="Comma [0] 4 2 2 5 2" xfId="2007"/>
    <cellStyle name="Comma [0] 4 2 2 6" xfId="1400"/>
    <cellStyle name="Comma [0] 4 2 3" xfId="97"/>
    <cellStyle name="Comma [0] 4 2 3 2" xfId="247"/>
    <cellStyle name="Comma [0] 4 2 3 2 2" xfId="567"/>
    <cellStyle name="Comma [0] 4 2 3 2 2 2" xfId="1904"/>
    <cellStyle name="Comma [0] 4 2 3 2 3" xfId="867"/>
    <cellStyle name="Comma [0] 4 2 3 2 3 2" xfId="2204"/>
    <cellStyle name="Comma [0] 4 2 3 2 4" xfId="1593"/>
    <cellStyle name="Comma [0] 4 2 3 3" xfId="423"/>
    <cellStyle name="Comma [0] 4 2 3 3 2" xfId="1760"/>
    <cellStyle name="Comma [0] 4 2 3 4" xfId="717"/>
    <cellStyle name="Comma [0] 4 2 3 4 2" xfId="2054"/>
    <cellStyle name="Comma [0] 4 2 3 5" xfId="1447"/>
    <cellStyle name="Comma [0] 4 2 4" xfId="174"/>
    <cellStyle name="Comma [0] 4 2 4 2" xfId="495"/>
    <cellStyle name="Comma [0] 4 2 4 2 2" xfId="1832"/>
    <cellStyle name="Comma [0] 4 2 4 3" xfId="794"/>
    <cellStyle name="Comma [0] 4 2 4 3 2" xfId="2131"/>
    <cellStyle name="Comma [0] 4 2 4 4" xfId="1521"/>
    <cellStyle name="Comma [0] 4 2 5" xfId="351"/>
    <cellStyle name="Comma [0] 4 2 5 2" xfId="1688"/>
    <cellStyle name="Comma [0] 4 2 6" xfId="645"/>
    <cellStyle name="Comma [0] 4 2 6 2" xfId="1982"/>
    <cellStyle name="Comma [0] 4 2 7" xfId="1375"/>
    <cellStyle name="Comma [0] 4 3" xfId="49"/>
    <cellStyle name="Comma [0] 4 3 2" xfId="121"/>
    <cellStyle name="Comma [0] 4 3 2 2" xfId="271"/>
    <cellStyle name="Comma [0] 4 3 2 2 2" xfId="591"/>
    <cellStyle name="Comma [0] 4 3 2 2 2 2" xfId="1928"/>
    <cellStyle name="Comma [0] 4 3 2 2 3" xfId="891"/>
    <cellStyle name="Comma [0] 4 3 2 2 3 2" xfId="2228"/>
    <cellStyle name="Comma [0] 4 3 2 2 4" xfId="1617"/>
    <cellStyle name="Comma [0] 4 3 2 3" xfId="447"/>
    <cellStyle name="Comma [0] 4 3 2 3 2" xfId="1784"/>
    <cellStyle name="Comma [0] 4 3 2 4" xfId="741"/>
    <cellStyle name="Comma [0] 4 3 2 4 2" xfId="2078"/>
    <cellStyle name="Comma [0] 4 3 2 5" xfId="1471"/>
    <cellStyle name="Comma [0] 4 3 3" xfId="199"/>
    <cellStyle name="Comma [0] 4 3 3 2" xfId="519"/>
    <cellStyle name="Comma [0] 4 3 3 2 2" xfId="1856"/>
    <cellStyle name="Comma [0] 4 3 3 3" xfId="819"/>
    <cellStyle name="Comma [0] 4 3 3 3 2" xfId="2156"/>
    <cellStyle name="Comma [0] 4 3 3 4" xfId="1545"/>
    <cellStyle name="Comma [0] 4 3 4" xfId="375"/>
    <cellStyle name="Comma [0] 4 3 4 2" xfId="1712"/>
    <cellStyle name="Comma [0] 4 3 5" xfId="669"/>
    <cellStyle name="Comma [0] 4 3 5 2" xfId="2006"/>
    <cellStyle name="Comma [0] 4 3 6" xfId="1399"/>
    <cellStyle name="Comma [0] 4 4" xfId="85"/>
    <cellStyle name="Comma [0] 4 4 2" xfId="235"/>
    <cellStyle name="Comma [0] 4 4 2 2" xfId="555"/>
    <cellStyle name="Comma [0] 4 4 2 2 2" xfId="1892"/>
    <cellStyle name="Comma [0] 4 4 2 3" xfId="855"/>
    <cellStyle name="Comma [0] 4 4 2 3 2" xfId="2192"/>
    <cellStyle name="Comma [0] 4 4 2 4" xfId="1581"/>
    <cellStyle name="Comma [0] 4 4 3" xfId="411"/>
    <cellStyle name="Comma [0] 4 4 3 2" xfId="1748"/>
    <cellStyle name="Comma [0] 4 4 4" xfId="705"/>
    <cellStyle name="Comma [0] 4 4 4 2" xfId="2042"/>
    <cellStyle name="Comma [0] 4 4 5" xfId="1435"/>
    <cellStyle name="Comma [0] 4 5" xfId="159"/>
    <cellStyle name="Comma [0] 4 5 2" xfId="483"/>
    <cellStyle name="Comma [0] 4 5 2 2" xfId="1820"/>
    <cellStyle name="Comma [0] 4 5 3" xfId="779"/>
    <cellStyle name="Comma [0] 4 5 3 2" xfId="2116"/>
    <cellStyle name="Comma [0] 4 5 4" xfId="1507"/>
    <cellStyle name="Comma [0] 4 6" xfId="308"/>
    <cellStyle name="Comma [0] 4 6 2" xfId="625"/>
    <cellStyle name="Comma [0] 4 6 2 2" xfId="1962"/>
    <cellStyle name="Comma [0] 4 6 3" xfId="1345"/>
    <cellStyle name="Comma [0] 4 6 3 2" xfId="2677"/>
    <cellStyle name="Comma [0] 4 6 4" xfId="1652"/>
    <cellStyle name="Comma [0] 4 7" xfId="337"/>
    <cellStyle name="Comma [0] 4 7 2" xfId="1674"/>
    <cellStyle name="Comma [0] 4 8" xfId="631"/>
    <cellStyle name="Comma [0] 4 8 2" xfId="1968"/>
    <cellStyle name="Comma [0] 4 9" xfId="1361"/>
    <cellStyle name="Comma [0] 5" xfId="13"/>
    <cellStyle name="Comma [0] 5 2" xfId="25"/>
    <cellStyle name="Comma [0] 5 2 2" xfId="52"/>
    <cellStyle name="Comma [0] 5 2 2 2" xfId="124"/>
    <cellStyle name="Comma [0] 5 2 2 2 2" xfId="274"/>
    <cellStyle name="Comma [0] 5 2 2 2 2 2" xfId="594"/>
    <cellStyle name="Comma [0] 5 2 2 2 2 2 2" xfId="1284"/>
    <cellStyle name="Comma [0] 5 2 2 2 2 2 2 2" xfId="2618"/>
    <cellStyle name="Comma [0] 5 2 2 2 2 2 3" xfId="1931"/>
    <cellStyle name="Comma [0] 5 2 2 2 2 3" xfId="894"/>
    <cellStyle name="Comma [0] 5 2 2 2 2 3 2" xfId="2231"/>
    <cellStyle name="Comma [0] 5 2 2 2 2 4" xfId="1090"/>
    <cellStyle name="Comma [0] 5 2 2 2 2 4 2" xfId="2425"/>
    <cellStyle name="Comma [0] 5 2 2 2 2 5" xfId="1620"/>
    <cellStyle name="Comma [0] 5 2 2 2 3" xfId="450"/>
    <cellStyle name="Comma [0] 5 2 2 2 3 2" xfId="1787"/>
    <cellStyle name="Comma [0] 5 2 2 2 4" xfId="744"/>
    <cellStyle name="Comma [0] 5 2 2 2 4 2" xfId="2081"/>
    <cellStyle name="Comma [0] 5 2 2 2 5" xfId="1474"/>
    <cellStyle name="Comma [0] 5 2 2 3" xfId="202"/>
    <cellStyle name="Comma [0] 5 2 2 3 2" xfId="522"/>
    <cellStyle name="Comma [0] 5 2 2 3 2 2" xfId="1234"/>
    <cellStyle name="Comma [0] 5 2 2 3 2 2 2" xfId="2568"/>
    <cellStyle name="Comma [0] 5 2 2 3 2 3" xfId="1859"/>
    <cellStyle name="Comma [0] 5 2 2 3 3" xfId="822"/>
    <cellStyle name="Comma [0] 5 2 2 3 3 2" xfId="2159"/>
    <cellStyle name="Comma [0] 5 2 2 3 4" xfId="1040"/>
    <cellStyle name="Comma [0] 5 2 2 3 4 2" xfId="2375"/>
    <cellStyle name="Comma [0] 5 2 2 3 5" xfId="1548"/>
    <cellStyle name="Comma [0] 5 2 2 4" xfId="378"/>
    <cellStyle name="Comma [0] 5 2 2 4 2" xfId="1715"/>
    <cellStyle name="Comma [0] 5 2 2 5" xfId="672"/>
    <cellStyle name="Comma [0] 5 2 2 5 2" xfId="2009"/>
    <cellStyle name="Comma [0] 5 2 2 6" xfId="1402"/>
    <cellStyle name="Comma [0] 5 2 3" xfId="98"/>
    <cellStyle name="Comma [0] 5 2 3 2" xfId="248"/>
    <cellStyle name="Comma [0] 5 2 3 2 2" xfId="568"/>
    <cellStyle name="Comma [0] 5 2 3 2 2 2" xfId="1269"/>
    <cellStyle name="Comma [0] 5 2 3 2 2 2 2" xfId="2603"/>
    <cellStyle name="Comma [0] 5 2 3 2 2 3" xfId="1905"/>
    <cellStyle name="Comma [0] 5 2 3 2 3" xfId="868"/>
    <cellStyle name="Comma [0] 5 2 3 2 3 2" xfId="2205"/>
    <cellStyle name="Comma [0] 5 2 3 2 4" xfId="1075"/>
    <cellStyle name="Comma [0] 5 2 3 2 4 2" xfId="2410"/>
    <cellStyle name="Comma [0] 5 2 3 2 5" xfId="1594"/>
    <cellStyle name="Comma [0] 5 2 3 3" xfId="424"/>
    <cellStyle name="Comma [0] 5 2 3 3 2" xfId="1761"/>
    <cellStyle name="Comma [0] 5 2 3 4" xfId="718"/>
    <cellStyle name="Comma [0] 5 2 3 4 2" xfId="2055"/>
    <cellStyle name="Comma [0] 5 2 3 5" xfId="1448"/>
    <cellStyle name="Comma [0] 5 2 4" xfId="175"/>
    <cellStyle name="Comma [0] 5 2 4 2" xfId="496"/>
    <cellStyle name="Comma [0] 5 2 4 2 2" xfId="1219"/>
    <cellStyle name="Comma [0] 5 2 4 2 2 2" xfId="2553"/>
    <cellStyle name="Comma [0] 5 2 4 2 3" xfId="1833"/>
    <cellStyle name="Comma [0] 5 2 4 3" xfId="795"/>
    <cellStyle name="Comma [0] 5 2 4 3 2" xfId="2132"/>
    <cellStyle name="Comma [0] 5 2 4 4" xfId="1024"/>
    <cellStyle name="Comma [0] 5 2 4 4 2" xfId="2360"/>
    <cellStyle name="Comma [0] 5 2 4 5" xfId="1522"/>
    <cellStyle name="Comma [0] 5 2 5" xfId="352"/>
    <cellStyle name="Comma [0] 5 2 5 2" xfId="1689"/>
    <cellStyle name="Comma [0] 5 2 6" xfId="646"/>
    <cellStyle name="Comma [0] 5 2 6 2" xfId="1983"/>
    <cellStyle name="Comma [0] 5 2 7" xfId="1376"/>
    <cellStyle name="Comma [0] 5 3" xfId="51"/>
    <cellStyle name="Comma [0] 5 3 2" xfId="123"/>
    <cellStyle name="Comma [0] 5 3 2 2" xfId="273"/>
    <cellStyle name="Comma [0] 5 3 2 2 2" xfId="593"/>
    <cellStyle name="Comma [0] 5 3 2 2 2 2" xfId="1283"/>
    <cellStyle name="Comma [0] 5 3 2 2 2 2 2" xfId="2617"/>
    <cellStyle name="Comma [0] 5 3 2 2 2 3" xfId="1930"/>
    <cellStyle name="Comma [0] 5 3 2 2 3" xfId="893"/>
    <cellStyle name="Comma [0] 5 3 2 2 3 2" xfId="2230"/>
    <cellStyle name="Comma [0] 5 3 2 2 4" xfId="1089"/>
    <cellStyle name="Comma [0] 5 3 2 2 4 2" xfId="2424"/>
    <cellStyle name="Comma [0] 5 3 2 2 5" xfId="1619"/>
    <cellStyle name="Comma [0] 5 3 2 3" xfId="449"/>
    <cellStyle name="Comma [0] 5 3 2 3 2" xfId="1786"/>
    <cellStyle name="Comma [0] 5 3 2 4" xfId="743"/>
    <cellStyle name="Comma [0] 5 3 2 4 2" xfId="2080"/>
    <cellStyle name="Comma [0] 5 3 2 5" xfId="1473"/>
    <cellStyle name="Comma [0] 5 3 3" xfId="201"/>
    <cellStyle name="Comma [0] 5 3 3 2" xfId="521"/>
    <cellStyle name="Comma [0] 5 3 3 2 2" xfId="1233"/>
    <cellStyle name="Comma [0] 5 3 3 2 2 2" xfId="2567"/>
    <cellStyle name="Comma [0] 5 3 3 2 3" xfId="1858"/>
    <cellStyle name="Comma [0] 5 3 3 3" xfId="821"/>
    <cellStyle name="Comma [0] 5 3 3 3 2" xfId="2158"/>
    <cellStyle name="Comma [0] 5 3 3 4" xfId="1039"/>
    <cellStyle name="Comma [0] 5 3 3 4 2" xfId="2374"/>
    <cellStyle name="Comma [0] 5 3 3 5" xfId="1547"/>
    <cellStyle name="Comma [0] 5 3 4" xfId="377"/>
    <cellStyle name="Comma [0] 5 3 4 2" xfId="1714"/>
    <cellStyle name="Comma [0] 5 3 5" xfId="671"/>
    <cellStyle name="Comma [0] 5 3 5 2" xfId="2008"/>
    <cellStyle name="Comma [0] 5 3 6" xfId="1401"/>
    <cellStyle name="Comma [0] 5 4" xfId="89"/>
    <cellStyle name="Comma [0] 5 4 2" xfId="239"/>
    <cellStyle name="Comma [0] 5 4 2 2" xfId="559"/>
    <cellStyle name="Comma [0] 5 4 2 2 2" xfId="1261"/>
    <cellStyle name="Comma [0] 5 4 2 2 2 2" xfId="2595"/>
    <cellStyle name="Comma [0] 5 4 2 2 3" xfId="1896"/>
    <cellStyle name="Comma [0] 5 4 2 3" xfId="859"/>
    <cellStyle name="Comma [0] 5 4 2 3 2" xfId="2196"/>
    <cellStyle name="Comma [0] 5 4 2 4" xfId="1067"/>
    <cellStyle name="Comma [0] 5 4 2 4 2" xfId="2402"/>
    <cellStyle name="Comma [0] 5 4 2 5" xfId="1585"/>
    <cellStyle name="Comma [0] 5 4 3" xfId="415"/>
    <cellStyle name="Comma [0] 5 4 3 2" xfId="1752"/>
    <cellStyle name="Comma [0] 5 4 4" xfId="709"/>
    <cellStyle name="Comma [0] 5 4 4 2" xfId="2046"/>
    <cellStyle name="Comma [0] 5 4 5" xfId="1439"/>
    <cellStyle name="Comma [0] 5 5" xfId="163"/>
    <cellStyle name="Comma [0] 5 5 2" xfId="487"/>
    <cellStyle name="Comma [0] 5 5 2 2" xfId="1211"/>
    <cellStyle name="Comma [0] 5 5 2 2 2" xfId="2545"/>
    <cellStyle name="Comma [0] 5 5 2 3" xfId="1824"/>
    <cellStyle name="Comma [0] 5 5 3" xfId="783"/>
    <cellStyle name="Comma [0] 5 5 3 2" xfId="2120"/>
    <cellStyle name="Comma [0] 5 5 4" xfId="1014"/>
    <cellStyle name="Comma [0] 5 5 4 2" xfId="2350"/>
    <cellStyle name="Comma [0] 5 5 5" xfId="1511"/>
    <cellStyle name="Comma [0] 5 6" xfId="341"/>
    <cellStyle name="Comma [0] 5 6 2" xfId="1678"/>
    <cellStyle name="Comma [0] 5 7" xfId="635"/>
    <cellStyle name="Comma [0] 5 7 2" xfId="1972"/>
    <cellStyle name="Comma [0] 5 8" xfId="1365"/>
    <cellStyle name="Comma [0] 6" xfId="19"/>
    <cellStyle name="Comma [0] 6 2" xfId="26"/>
    <cellStyle name="Comma [0] 6 2 2" xfId="54"/>
    <cellStyle name="Comma [0] 6 2 2 2" xfId="126"/>
    <cellStyle name="Comma [0] 6 2 2 2 2" xfId="276"/>
    <cellStyle name="Comma [0] 6 2 2 2 2 2" xfId="596"/>
    <cellStyle name="Comma [0] 6 2 2 2 2 2 2" xfId="1286"/>
    <cellStyle name="Comma [0] 6 2 2 2 2 2 2 2" xfId="2620"/>
    <cellStyle name="Comma [0] 6 2 2 2 2 2 3" xfId="1933"/>
    <cellStyle name="Comma [0] 6 2 2 2 2 3" xfId="896"/>
    <cellStyle name="Comma [0] 6 2 2 2 2 3 2" xfId="2233"/>
    <cellStyle name="Comma [0] 6 2 2 2 2 4" xfId="1092"/>
    <cellStyle name="Comma [0] 6 2 2 2 2 4 2" xfId="2427"/>
    <cellStyle name="Comma [0] 6 2 2 2 2 5" xfId="1622"/>
    <cellStyle name="Comma [0] 6 2 2 2 3" xfId="452"/>
    <cellStyle name="Comma [0] 6 2 2 2 3 2" xfId="1789"/>
    <cellStyle name="Comma [0] 6 2 2 2 4" xfId="746"/>
    <cellStyle name="Comma [0] 6 2 2 2 4 2" xfId="2083"/>
    <cellStyle name="Comma [0] 6 2 2 2 5" xfId="1476"/>
    <cellStyle name="Comma [0] 6 2 2 3" xfId="204"/>
    <cellStyle name="Comma [0] 6 2 2 3 2" xfId="524"/>
    <cellStyle name="Comma [0] 6 2 2 3 2 2" xfId="1236"/>
    <cellStyle name="Comma [0] 6 2 2 3 2 2 2" xfId="2570"/>
    <cellStyle name="Comma [0] 6 2 2 3 2 3" xfId="1861"/>
    <cellStyle name="Comma [0] 6 2 2 3 3" xfId="824"/>
    <cellStyle name="Comma [0] 6 2 2 3 3 2" xfId="2161"/>
    <cellStyle name="Comma [0] 6 2 2 3 4" xfId="1042"/>
    <cellStyle name="Comma [0] 6 2 2 3 4 2" xfId="2377"/>
    <cellStyle name="Comma [0] 6 2 2 3 5" xfId="1550"/>
    <cellStyle name="Comma [0] 6 2 2 4" xfId="380"/>
    <cellStyle name="Comma [0] 6 2 2 4 2" xfId="1717"/>
    <cellStyle name="Comma [0] 6 2 2 5" xfId="674"/>
    <cellStyle name="Comma [0] 6 2 2 5 2" xfId="2011"/>
    <cellStyle name="Comma [0] 6 2 2 6" xfId="1404"/>
    <cellStyle name="Comma [0] 6 2 3" xfId="99"/>
    <cellStyle name="Comma [0] 6 2 3 2" xfId="249"/>
    <cellStyle name="Comma [0] 6 2 3 2 2" xfId="569"/>
    <cellStyle name="Comma [0] 6 2 3 2 2 2" xfId="1270"/>
    <cellStyle name="Comma [0] 6 2 3 2 2 2 2" xfId="2604"/>
    <cellStyle name="Comma [0] 6 2 3 2 2 3" xfId="1906"/>
    <cellStyle name="Comma [0] 6 2 3 2 3" xfId="869"/>
    <cellStyle name="Comma [0] 6 2 3 2 3 2" xfId="2206"/>
    <cellStyle name="Comma [0] 6 2 3 2 4" xfId="1076"/>
    <cellStyle name="Comma [0] 6 2 3 2 4 2" xfId="2411"/>
    <cellStyle name="Comma [0] 6 2 3 2 5" xfId="1595"/>
    <cellStyle name="Comma [0] 6 2 3 3" xfId="425"/>
    <cellStyle name="Comma [0] 6 2 3 3 2" xfId="1762"/>
    <cellStyle name="Comma [0] 6 2 3 4" xfId="719"/>
    <cellStyle name="Comma [0] 6 2 3 4 2" xfId="2056"/>
    <cellStyle name="Comma [0] 6 2 3 5" xfId="1449"/>
    <cellStyle name="Comma [0] 6 2 4" xfId="176"/>
    <cellStyle name="Comma [0] 6 2 4 2" xfId="497"/>
    <cellStyle name="Comma [0] 6 2 4 2 2" xfId="1220"/>
    <cellStyle name="Comma [0] 6 2 4 2 2 2" xfId="2554"/>
    <cellStyle name="Comma [0] 6 2 4 2 3" xfId="1834"/>
    <cellStyle name="Comma [0] 6 2 4 3" xfId="796"/>
    <cellStyle name="Comma [0] 6 2 4 3 2" xfId="2133"/>
    <cellStyle name="Comma [0] 6 2 4 4" xfId="1025"/>
    <cellStyle name="Comma [0] 6 2 4 4 2" xfId="2361"/>
    <cellStyle name="Comma [0] 6 2 4 5" xfId="1523"/>
    <cellStyle name="Comma [0] 6 2 5" xfId="353"/>
    <cellStyle name="Comma [0] 6 2 5 2" xfId="1690"/>
    <cellStyle name="Comma [0] 6 2 6" xfId="647"/>
    <cellStyle name="Comma [0] 6 2 6 2" xfId="1984"/>
    <cellStyle name="Comma [0] 6 2 7" xfId="1377"/>
    <cellStyle name="Comma [0] 6 3" xfId="53"/>
    <cellStyle name="Comma [0] 6 3 2" xfId="125"/>
    <cellStyle name="Comma [0] 6 3 2 2" xfId="275"/>
    <cellStyle name="Comma [0] 6 3 2 2 2" xfId="595"/>
    <cellStyle name="Comma [0] 6 3 2 2 2 2" xfId="1285"/>
    <cellStyle name="Comma [0] 6 3 2 2 2 2 2" xfId="2619"/>
    <cellStyle name="Comma [0] 6 3 2 2 2 3" xfId="1932"/>
    <cellStyle name="Comma [0] 6 3 2 2 3" xfId="895"/>
    <cellStyle name="Comma [0] 6 3 2 2 3 2" xfId="2232"/>
    <cellStyle name="Comma [0] 6 3 2 2 4" xfId="1091"/>
    <cellStyle name="Comma [0] 6 3 2 2 4 2" xfId="2426"/>
    <cellStyle name="Comma [0] 6 3 2 2 5" xfId="1621"/>
    <cellStyle name="Comma [0] 6 3 2 3" xfId="451"/>
    <cellStyle name="Comma [0] 6 3 2 3 2" xfId="1788"/>
    <cellStyle name="Comma [0] 6 3 2 4" xfId="745"/>
    <cellStyle name="Comma [0] 6 3 2 4 2" xfId="2082"/>
    <cellStyle name="Comma [0] 6 3 2 5" xfId="1475"/>
    <cellStyle name="Comma [0] 6 3 3" xfId="203"/>
    <cellStyle name="Comma [0] 6 3 3 2" xfId="523"/>
    <cellStyle name="Comma [0] 6 3 3 2 2" xfId="1235"/>
    <cellStyle name="Comma [0] 6 3 3 2 2 2" xfId="2569"/>
    <cellStyle name="Comma [0] 6 3 3 2 3" xfId="1860"/>
    <cellStyle name="Comma [0] 6 3 3 3" xfId="823"/>
    <cellStyle name="Comma [0] 6 3 3 3 2" xfId="2160"/>
    <cellStyle name="Comma [0] 6 3 3 4" xfId="1041"/>
    <cellStyle name="Comma [0] 6 3 3 4 2" xfId="2376"/>
    <cellStyle name="Comma [0] 6 3 3 5" xfId="1549"/>
    <cellStyle name="Comma [0] 6 3 4" xfId="379"/>
    <cellStyle name="Comma [0] 6 3 4 2" xfId="1716"/>
    <cellStyle name="Comma [0] 6 3 5" xfId="673"/>
    <cellStyle name="Comma [0] 6 3 5 2" xfId="2010"/>
    <cellStyle name="Comma [0] 6 3 6" xfId="1403"/>
    <cellStyle name="Comma [0] 6 4" xfId="94"/>
    <cellStyle name="Comma [0] 6 4 2" xfId="244"/>
    <cellStyle name="Comma [0] 6 4 2 2" xfId="564"/>
    <cellStyle name="Comma [0] 6 4 2 2 2" xfId="1266"/>
    <cellStyle name="Comma [0] 6 4 2 2 2 2" xfId="2600"/>
    <cellStyle name="Comma [0] 6 4 2 2 3" xfId="1901"/>
    <cellStyle name="Comma [0] 6 4 2 3" xfId="864"/>
    <cellStyle name="Comma [0] 6 4 2 3 2" xfId="2201"/>
    <cellStyle name="Comma [0] 6 4 2 4" xfId="1072"/>
    <cellStyle name="Comma [0] 6 4 2 4 2" xfId="2407"/>
    <cellStyle name="Comma [0] 6 4 2 5" xfId="1590"/>
    <cellStyle name="Comma [0] 6 4 3" xfId="420"/>
    <cellStyle name="Comma [0] 6 4 3 2" xfId="1757"/>
    <cellStyle name="Comma [0] 6 4 4" xfId="714"/>
    <cellStyle name="Comma [0] 6 4 4 2" xfId="2051"/>
    <cellStyle name="Comma [0] 6 4 5" xfId="1444"/>
    <cellStyle name="Comma [0] 6 5" xfId="169"/>
    <cellStyle name="Comma [0] 6 5 2" xfId="492"/>
    <cellStyle name="Comma [0] 6 5 2 2" xfId="1216"/>
    <cellStyle name="Comma [0] 6 5 2 2 2" xfId="2550"/>
    <cellStyle name="Comma [0] 6 5 2 3" xfId="1829"/>
    <cellStyle name="Comma [0] 6 5 3" xfId="789"/>
    <cellStyle name="Comma [0] 6 5 3 2" xfId="2126"/>
    <cellStyle name="Comma [0] 6 5 4" xfId="1020"/>
    <cellStyle name="Comma [0] 6 5 4 2" xfId="2356"/>
    <cellStyle name="Comma [0] 6 5 5" xfId="1517"/>
    <cellStyle name="Comma [0] 6 6" xfId="347"/>
    <cellStyle name="Comma [0] 6 6 2" xfId="1684"/>
    <cellStyle name="Comma [0] 6 7" xfId="641"/>
    <cellStyle name="Comma [0] 6 7 2" xfId="1978"/>
    <cellStyle name="Comma [0] 6 8" xfId="1371"/>
    <cellStyle name="Comma [0] 7" xfId="154"/>
    <cellStyle name="Comma [0] 7 2" xfId="479"/>
    <cellStyle name="Comma [0] 7 2 2" xfId="1204"/>
    <cellStyle name="Comma [0] 7 2 2 2" xfId="2538"/>
    <cellStyle name="Comma [0] 7 2 3" xfId="1816"/>
    <cellStyle name="Comma [0] 7 3" xfId="774"/>
    <cellStyle name="Comma [0] 7 3 2" xfId="2111"/>
    <cellStyle name="Comma [0] 7 4" xfId="1006"/>
    <cellStyle name="Comma [0] 7 4 2" xfId="2343"/>
    <cellStyle name="Comma [0] 7 5" xfId="1503"/>
    <cellStyle name="Comma [0] 8" xfId="307"/>
    <cellStyle name="Comma [0] 8 2" xfId="314"/>
    <cellStyle name="Comma [0] 8 2 2" xfId="1117"/>
    <cellStyle name="Comma [0] 8 2 2 2" xfId="2451"/>
    <cellStyle name="Comma [0] 8 2 3" xfId="1657"/>
    <cellStyle name="Comma [0] 8 3" xfId="315"/>
    <cellStyle name="Comma [0] 8 3 2" xfId="1357"/>
    <cellStyle name="Comma [0] 8 3 2 2" xfId="2687"/>
    <cellStyle name="Comma [0] 8 4" xfId="321"/>
    <cellStyle name="Comma [0] 8 4 2" xfId="1120"/>
    <cellStyle name="Comma [0] 8 4 2 2" xfId="2454"/>
    <cellStyle name="Comma [0] 8 4 3" xfId="1661"/>
    <cellStyle name="Comma [0] 8 5" xfId="624"/>
    <cellStyle name="Comma [0] 8 5 2" xfId="1305"/>
    <cellStyle name="Comma [0] 8 5 2 2" xfId="2639"/>
    <cellStyle name="Comma [0] 8 5 3" xfId="1961"/>
    <cellStyle name="Comma [0] 8 6" xfId="926"/>
    <cellStyle name="Comma [0] 8 6 2" xfId="2263"/>
    <cellStyle name="Comma [0] 8 7" xfId="1113"/>
    <cellStyle name="Comma [0] 8 7 2" xfId="2447"/>
    <cellStyle name="Comma [0] 8 8" xfId="1651"/>
    <cellStyle name="Comma [0] 9" xfId="311"/>
    <cellStyle name="Comma [0] 9 2" xfId="1655"/>
    <cellStyle name="Comma 10" xfId="41"/>
    <cellStyle name="Comma 10 2" xfId="55"/>
    <cellStyle name="Comma 10 2 2" xfId="127"/>
    <cellStyle name="Comma 10 2 2 2" xfId="277"/>
    <cellStyle name="Comma 10 2 2 2 2" xfId="597"/>
    <cellStyle name="Comma 10 2 2 2 2 2" xfId="1934"/>
    <cellStyle name="Comma 10 2 2 2 3" xfId="897"/>
    <cellStyle name="Comma 10 2 2 2 3 2" xfId="2234"/>
    <cellStyle name="Comma 10 2 2 2 4" xfId="1623"/>
    <cellStyle name="Comma 10 2 2 3" xfId="453"/>
    <cellStyle name="Comma 10 2 2 3 2" xfId="1790"/>
    <cellStyle name="Comma 10 2 2 4" xfId="747"/>
    <cellStyle name="Comma 10 2 2 4 2" xfId="2084"/>
    <cellStyle name="Comma 10 2 2 5" xfId="1477"/>
    <cellStyle name="Comma 10 2 3" xfId="205"/>
    <cellStyle name="Comma 10 2 3 2" xfId="525"/>
    <cellStyle name="Comma 10 2 3 2 2" xfId="1862"/>
    <cellStyle name="Comma 10 2 3 3" xfId="825"/>
    <cellStyle name="Comma 10 2 3 3 2" xfId="2162"/>
    <cellStyle name="Comma 10 2 3 4" xfId="1551"/>
    <cellStyle name="Comma 10 2 4" xfId="381"/>
    <cellStyle name="Comma 10 2 4 2" xfId="1718"/>
    <cellStyle name="Comma 10 2 5" xfId="675"/>
    <cellStyle name="Comma 10 2 5 2" xfId="2012"/>
    <cellStyle name="Comma 10 2 6" xfId="1405"/>
    <cellStyle name="Comma 10 3" xfId="114"/>
    <cellStyle name="Comma 10 3 2" xfId="264"/>
    <cellStyle name="Comma 10 3 2 2" xfId="584"/>
    <cellStyle name="Comma 10 3 2 2 2" xfId="1921"/>
    <cellStyle name="Comma 10 3 2 3" xfId="884"/>
    <cellStyle name="Comma 10 3 2 3 2" xfId="2221"/>
    <cellStyle name="Comma 10 3 2 4" xfId="1610"/>
    <cellStyle name="Comma 10 3 3" xfId="440"/>
    <cellStyle name="Comma 10 3 3 2" xfId="1777"/>
    <cellStyle name="Comma 10 3 4" xfId="734"/>
    <cellStyle name="Comma 10 3 4 2" xfId="2071"/>
    <cellStyle name="Comma 10 3 5" xfId="1464"/>
    <cellStyle name="Comma 10 4" xfId="191"/>
    <cellStyle name="Comma 10 4 2" xfId="512"/>
    <cellStyle name="Comma 10 4 2 2" xfId="1849"/>
    <cellStyle name="Comma 10 4 3" xfId="811"/>
    <cellStyle name="Comma 10 4 3 2" xfId="2148"/>
    <cellStyle name="Comma 10 4 4" xfId="1538"/>
    <cellStyle name="Comma 10 5" xfId="368"/>
    <cellStyle name="Comma 10 5 2" xfId="1705"/>
    <cellStyle name="Comma 10 6" xfId="662"/>
    <cellStyle name="Comma 10 6 2" xfId="1999"/>
    <cellStyle name="Comma 10 7" xfId="1347"/>
    <cellStyle name="Comma 10 7 2" xfId="2679"/>
    <cellStyle name="Comma 10 8" xfId="1392"/>
    <cellStyle name="Comma 11" xfId="42"/>
    <cellStyle name="Comma 11 2" xfId="56"/>
    <cellStyle name="Comma 11 2 2" xfId="128"/>
    <cellStyle name="Comma 11 2 2 2" xfId="278"/>
    <cellStyle name="Comma 11 2 2 2 2" xfId="598"/>
    <cellStyle name="Comma 11 2 2 2 2 2" xfId="1935"/>
    <cellStyle name="Comma 11 2 2 2 3" xfId="898"/>
    <cellStyle name="Comma 11 2 2 2 3 2" xfId="2235"/>
    <cellStyle name="Comma 11 2 2 2 4" xfId="1624"/>
    <cellStyle name="Comma 11 2 2 3" xfId="454"/>
    <cellStyle name="Comma 11 2 2 3 2" xfId="1791"/>
    <cellStyle name="Comma 11 2 2 4" xfId="748"/>
    <cellStyle name="Comma 11 2 2 4 2" xfId="2085"/>
    <cellStyle name="Comma 11 2 2 5" xfId="1478"/>
    <cellStyle name="Comma 11 2 3" xfId="206"/>
    <cellStyle name="Comma 11 2 3 2" xfId="526"/>
    <cellStyle name="Comma 11 2 3 2 2" xfId="1863"/>
    <cellStyle name="Comma 11 2 3 3" xfId="826"/>
    <cellStyle name="Comma 11 2 3 3 2" xfId="2163"/>
    <cellStyle name="Comma 11 2 3 4" xfId="1552"/>
    <cellStyle name="Comma 11 2 4" xfId="382"/>
    <cellStyle name="Comma 11 2 4 2" xfId="1719"/>
    <cellStyle name="Comma 11 2 5" xfId="676"/>
    <cellStyle name="Comma 11 2 5 2" xfId="2013"/>
    <cellStyle name="Comma 11 2 6" xfId="1406"/>
    <cellStyle name="Comma 11 3" xfId="115"/>
    <cellStyle name="Comma 11 3 2" xfId="265"/>
    <cellStyle name="Comma 11 3 2 2" xfId="585"/>
    <cellStyle name="Comma 11 3 2 2 2" xfId="1922"/>
    <cellStyle name="Comma 11 3 2 3" xfId="885"/>
    <cellStyle name="Comma 11 3 2 3 2" xfId="2222"/>
    <cellStyle name="Comma 11 3 2 4" xfId="1611"/>
    <cellStyle name="Comma 11 3 3" xfId="441"/>
    <cellStyle name="Comma 11 3 3 2" xfId="1778"/>
    <cellStyle name="Comma 11 3 4" xfId="735"/>
    <cellStyle name="Comma 11 3 4 2" xfId="2072"/>
    <cellStyle name="Comma 11 3 5" xfId="1465"/>
    <cellStyle name="Comma 11 4" xfId="192"/>
    <cellStyle name="Comma 11 4 2" xfId="513"/>
    <cellStyle name="Comma 11 4 2 2" xfId="1850"/>
    <cellStyle name="Comma 11 4 3" xfId="812"/>
    <cellStyle name="Comma 11 4 3 2" xfId="2149"/>
    <cellStyle name="Comma 11 4 4" xfId="1539"/>
    <cellStyle name="Comma 11 5" xfId="369"/>
    <cellStyle name="Comma 11 5 2" xfId="1706"/>
    <cellStyle name="Comma 11 6" xfId="663"/>
    <cellStyle name="Comma 11 6 2" xfId="2000"/>
    <cellStyle name="Comma 11 7" xfId="1393"/>
    <cellStyle name="Comma 12" xfId="43"/>
    <cellStyle name="Comma 12 2" xfId="57"/>
    <cellStyle name="Comma 12 2 2" xfId="129"/>
    <cellStyle name="Comma 12 2 2 2" xfId="279"/>
    <cellStyle name="Comma 12 2 2 2 2" xfId="599"/>
    <cellStyle name="Comma 12 2 2 2 2 2" xfId="1936"/>
    <cellStyle name="Comma 12 2 2 2 3" xfId="899"/>
    <cellStyle name="Comma 12 2 2 2 3 2" xfId="2236"/>
    <cellStyle name="Comma 12 2 2 2 4" xfId="1625"/>
    <cellStyle name="Comma 12 2 2 3" xfId="455"/>
    <cellStyle name="Comma 12 2 2 3 2" xfId="1792"/>
    <cellStyle name="Comma 12 2 2 4" xfId="749"/>
    <cellStyle name="Comma 12 2 2 4 2" xfId="2086"/>
    <cellStyle name="Comma 12 2 2 5" xfId="1479"/>
    <cellStyle name="Comma 12 2 3" xfId="207"/>
    <cellStyle name="Comma 12 2 3 2" xfId="527"/>
    <cellStyle name="Comma 12 2 3 2 2" xfId="1864"/>
    <cellStyle name="Comma 12 2 3 3" xfId="827"/>
    <cellStyle name="Comma 12 2 3 3 2" xfId="2164"/>
    <cellStyle name="Comma 12 2 3 4" xfId="1553"/>
    <cellStyle name="Comma 12 2 4" xfId="383"/>
    <cellStyle name="Comma 12 2 4 2" xfId="1720"/>
    <cellStyle name="Comma 12 2 5" xfId="677"/>
    <cellStyle name="Comma 12 2 5 2" xfId="2014"/>
    <cellStyle name="Comma 12 2 6" xfId="1407"/>
    <cellStyle name="Comma 12 3" xfId="116"/>
    <cellStyle name="Comma 12 3 2" xfId="266"/>
    <cellStyle name="Comma 12 3 2 2" xfId="586"/>
    <cellStyle name="Comma 12 3 2 2 2" xfId="1923"/>
    <cellStyle name="Comma 12 3 2 3" xfId="886"/>
    <cellStyle name="Comma 12 3 2 3 2" xfId="2223"/>
    <cellStyle name="Comma 12 3 2 4" xfId="1612"/>
    <cellStyle name="Comma 12 3 3" xfId="442"/>
    <cellStyle name="Comma 12 3 3 2" xfId="1779"/>
    <cellStyle name="Comma 12 3 4" xfId="736"/>
    <cellStyle name="Comma 12 3 4 2" xfId="2073"/>
    <cellStyle name="Comma 12 3 5" xfId="1466"/>
    <cellStyle name="Comma 12 4" xfId="193"/>
    <cellStyle name="Comma 12 4 2" xfId="514"/>
    <cellStyle name="Comma 12 4 2 2" xfId="1851"/>
    <cellStyle name="Comma 12 4 3" xfId="813"/>
    <cellStyle name="Comma 12 4 3 2" xfId="2150"/>
    <cellStyle name="Comma 12 4 4" xfId="1540"/>
    <cellStyle name="Comma 12 5" xfId="370"/>
    <cellStyle name="Comma 12 5 2" xfId="1707"/>
    <cellStyle name="Comma 12 6" xfId="664"/>
    <cellStyle name="Comma 12 6 2" xfId="2001"/>
    <cellStyle name="Comma 12 7" xfId="1394"/>
    <cellStyle name="Comma 13" xfId="82"/>
    <cellStyle name="Comma 13 2" xfId="232"/>
    <cellStyle name="Comma 13 2 2" xfId="552"/>
    <cellStyle name="Comma 13 2 2 2" xfId="1255"/>
    <cellStyle name="Comma 13 2 2 2 2" xfId="2589"/>
    <cellStyle name="Comma 13 2 2 3" xfId="1889"/>
    <cellStyle name="Comma 13 2 3" xfId="852"/>
    <cellStyle name="Comma 13 2 3 2" xfId="2189"/>
    <cellStyle name="Comma 13 2 4" xfId="1061"/>
    <cellStyle name="Comma 13 2 4 2" xfId="2396"/>
    <cellStyle name="Comma 13 2 5" xfId="1578"/>
    <cellStyle name="Comma 13 3" xfId="408"/>
    <cellStyle name="Comma 13 3 2" xfId="1745"/>
    <cellStyle name="Comma 13 4" xfId="702"/>
    <cellStyle name="Comma 13 4 2" xfId="2039"/>
    <cellStyle name="Comma 13 5" xfId="1432"/>
    <cellStyle name="Comma 14" xfId="80"/>
    <cellStyle name="Comma 14 2" xfId="230"/>
    <cellStyle name="Comma 14 2 2" xfId="550"/>
    <cellStyle name="Comma 14 2 2 2" xfId="1253"/>
    <cellStyle name="Comma 14 2 2 2 2" xfId="2587"/>
    <cellStyle name="Comma 14 2 2 3" xfId="1887"/>
    <cellStyle name="Comma 14 2 3" xfId="850"/>
    <cellStyle name="Comma 14 2 3 2" xfId="2187"/>
    <cellStyle name="Comma 14 2 4" xfId="1059"/>
    <cellStyle name="Comma 14 2 4 2" xfId="2394"/>
    <cellStyle name="Comma 14 2 5" xfId="1576"/>
    <cellStyle name="Comma 14 3" xfId="406"/>
    <cellStyle name="Comma 14 3 2" xfId="1743"/>
    <cellStyle name="Comma 14 4" xfId="700"/>
    <cellStyle name="Comma 14 4 2" xfId="2037"/>
    <cellStyle name="Comma 14 5" xfId="1430"/>
    <cellStyle name="Comma 15" xfId="155"/>
    <cellStyle name="Comma 15 2" xfId="480"/>
    <cellStyle name="Comma 15 2 2" xfId="1205"/>
    <cellStyle name="Comma 15 2 2 2" xfId="2539"/>
    <cellStyle name="Comma 15 2 3" xfId="1817"/>
    <cellStyle name="Comma 15 3" xfId="775"/>
    <cellStyle name="Comma 15 3 2" xfId="2112"/>
    <cellStyle name="Comma 15 4" xfId="1007"/>
    <cellStyle name="Comma 15 4 2" xfId="2344"/>
    <cellStyle name="Comma 15 5" xfId="1504"/>
    <cellStyle name="Comma 16" xfId="319"/>
    <cellStyle name="Comma 16 2" xfId="928"/>
    <cellStyle name="Comma 16 2 2" xfId="2265"/>
    <cellStyle name="Comma 17" xfId="330"/>
    <cellStyle name="Comma 17 2" xfId="1127"/>
    <cellStyle name="Comma 17 2 2" xfId="2461"/>
    <cellStyle name="Comma 17 3" xfId="1668"/>
    <cellStyle name="Comma 2" xfId="11"/>
    <cellStyle name="Comma 2 10" xfId="1363"/>
    <cellStyle name="Comma 2 2" xfId="27"/>
    <cellStyle name="Comma 2 2 2" xfId="59"/>
    <cellStyle name="Comma 2 2 2 2" xfId="131"/>
    <cellStyle name="Comma 2 2 2 2 2" xfId="281"/>
    <cellStyle name="Comma 2 2 2 2 2 2" xfId="601"/>
    <cellStyle name="Comma 2 2 2 2 2 2 2" xfId="1288"/>
    <cellStyle name="Comma 2 2 2 2 2 2 2 2" xfId="2622"/>
    <cellStyle name="Comma 2 2 2 2 2 2 3" xfId="1938"/>
    <cellStyle name="Comma 2 2 2 2 2 3" xfId="901"/>
    <cellStyle name="Comma 2 2 2 2 2 3 2" xfId="2238"/>
    <cellStyle name="Comma 2 2 2 2 2 4" xfId="1094"/>
    <cellStyle name="Comma 2 2 2 2 2 4 2" xfId="2429"/>
    <cellStyle name="Comma 2 2 2 2 2 5" xfId="1627"/>
    <cellStyle name="Comma 2 2 2 2 3" xfId="457"/>
    <cellStyle name="Comma 2 2 2 2 3 2" xfId="1188"/>
    <cellStyle name="Comma 2 2 2 2 3 2 2" xfId="2522"/>
    <cellStyle name="Comma 2 2 2 2 3 3" xfId="1794"/>
    <cellStyle name="Comma 2 2 2 2 4" xfId="751"/>
    <cellStyle name="Comma 2 2 2 2 4 2" xfId="2088"/>
    <cellStyle name="Comma 2 2 2 2 5" xfId="990"/>
    <cellStyle name="Comma 2 2 2 2 5 2" xfId="2327"/>
    <cellStyle name="Comma 2 2 2 2 6" xfId="1481"/>
    <cellStyle name="Comma 2 2 2 3" xfId="209"/>
    <cellStyle name="Comma 2 2 2 3 2" xfId="529"/>
    <cellStyle name="Comma 2 2 2 3 2 2" xfId="1238"/>
    <cellStyle name="Comma 2 2 2 3 2 2 2" xfId="2572"/>
    <cellStyle name="Comma 2 2 2 3 2 3" xfId="1866"/>
    <cellStyle name="Comma 2 2 2 3 3" xfId="829"/>
    <cellStyle name="Comma 2 2 2 3 3 2" xfId="2166"/>
    <cellStyle name="Comma 2 2 2 3 4" xfId="1044"/>
    <cellStyle name="Comma 2 2 2 3 4 2" xfId="2379"/>
    <cellStyle name="Comma 2 2 2 3 5" xfId="1555"/>
    <cellStyle name="Comma 2 2 2 4" xfId="385"/>
    <cellStyle name="Comma 2 2 2 4 2" xfId="1152"/>
    <cellStyle name="Comma 2 2 2 4 2 2" xfId="2486"/>
    <cellStyle name="Comma 2 2 2 4 3" xfId="1722"/>
    <cellStyle name="Comma 2 2 2 5" xfId="679"/>
    <cellStyle name="Comma 2 2 2 5 2" xfId="2016"/>
    <cellStyle name="Comma 2 2 2 6" xfId="954"/>
    <cellStyle name="Comma 2 2 2 6 2" xfId="2291"/>
    <cellStyle name="Comma 2 2 2 7" xfId="1409"/>
    <cellStyle name="Comma 2 2 3" xfId="100"/>
    <cellStyle name="Comma 2 2 3 2" xfId="250"/>
    <cellStyle name="Comma 2 2 3 2 2" xfId="570"/>
    <cellStyle name="Comma 2 2 3 2 2 2" xfId="1271"/>
    <cellStyle name="Comma 2 2 3 2 2 2 2" xfId="2605"/>
    <cellStyle name="Comma 2 2 3 2 2 3" xfId="1907"/>
    <cellStyle name="Comma 2 2 3 2 3" xfId="870"/>
    <cellStyle name="Comma 2 2 3 2 3 2" xfId="2207"/>
    <cellStyle name="Comma 2 2 3 2 4" xfId="1077"/>
    <cellStyle name="Comma 2 2 3 2 4 2" xfId="2412"/>
    <cellStyle name="Comma 2 2 3 2 5" xfId="1596"/>
    <cellStyle name="Comma 2 2 3 3" xfId="426"/>
    <cellStyle name="Comma 2 2 3 3 2" xfId="1177"/>
    <cellStyle name="Comma 2 2 3 3 2 2" xfId="2511"/>
    <cellStyle name="Comma 2 2 3 3 3" xfId="1763"/>
    <cellStyle name="Comma 2 2 3 4" xfId="720"/>
    <cellStyle name="Comma 2 2 3 4 2" xfId="2057"/>
    <cellStyle name="Comma 2 2 3 5" xfId="979"/>
    <cellStyle name="Comma 2 2 3 5 2" xfId="2316"/>
    <cellStyle name="Comma 2 2 3 6" xfId="1450"/>
    <cellStyle name="Comma 2 2 4" xfId="177"/>
    <cellStyle name="Comma 2 2 4 2" xfId="498"/>
    <cellStyle name="Comma 2 2 4 2 2" xfId="1221"/>
    <cellStyle name="Comma 2 2 4 2 2 2" xfId="2555"/>
    <cellStyle name="Comma 2 2 4 2 3" xfId="1835"/>
    <cellStyle name="Comma 2 2 4 3" xfId="797"/>
    <cellStyle name="Comma 2 2 4 3 2" xfId="2134"/>
    <cellStyle name="Comma 2 2 4 4" xfId="1026"/>
    <cellStyle name="Comma 2 2 4 4 2" xfId="2362"/>
    <cellStyle name="Comma 2 2 4 5" xfId="1524"/>
    <cellStyle name="Comma 2 2 5" xfId="354"/>
    <cellStyle name="Comma 2 2 5 2" xfId="1141"/>
    <cellStyle name="Comma 2 2 5 2 2" xfId="2475"/>
    <cellStyle name="Comma 2 2 5 3" xfId="1691"/>
    <cellStyle name="Comma 2 2 6" xfId="648"/>
    <cellStyle name="Comma 2 2 6 2" xfId="1985"/>
    <cellStyle name="Comma 2 2 7" xfId="943"/>
    <cellStyle name="Comma 2 2 7 2" xfId="2280"/>
    <cellStyle name="Comma 2 2 8" xfId="1378"/>
    <cellStyle name="Comma 2 3" xfId="58"/>
    <cellStyle name="Comma 2 3 2" xfId="130"/>
    <cellStyle name="Comma 2 3 2 2" xfId="280"/>
    <cellStyle name="Comma 2 3 2 2 2" xfId="600"/>
    <cellStyle name="Comma 2 3 2 2 2 2" xfId="1287"/>
    <cellStyle name="Comma 2 3 2 2 2 2 2" xfId="2621"/>
    <cellStyle name="Comma 2 3 2 2 2 3" xfId="1937"/>
    <cellStyle name="Comma 2 3 2 2 3" xfId="900"/>
    <cellStyle name="Comma 2 3 2 2 3 2" xfId="2237"/>
    <cellStyle name="Comma 2 3 2 2 4" xfId="1093"/>
    <cellStyle name="Comma 2 3 2 2 4 2" xfId="2428"/>
    <cellStyle name="Comma 2 3 2 2 5" xfId="1626"/>
    <cellStyle name="Comma 2 3 2 3" xfId="456"/>
    <cellStyle name="Comma 2 3 2 3 2" xfId="1187"/>
    <cellStyle name="Comma 2 3 2 3 2 2" xfId="2521"/>
    <cellStyle name="Comma 2 3 2 3 3" xfId="1793"/>
    <cellStyle name="Comma 2 3 2 4" xfId="750"/>
    <cellStyle name="Comma 2 3 2 4 2" xfId="2087"/>
    <cellStyle name="Comma 2 3 2 5" xfId="989"/>
    <cellStyle name="Comma 2 3 2 5 2" xfId="2326"/>
    <cellStyle name="Comma 2 3 2 6" xfId="1480"/>
    <cellStyle name="Comma 2 3 3" xfId="208"/>
    <cellStyle name="Comma 2 3 3 2" xfId="528"/>
    <cellStyle name="Comma 2 3 3 2 2" xfId="1237"/>
    <cellStyle name="Comma 2 3 3 2 2 2" xfId="2571"/>
    <cellStyle name="Comma 2 3 3 2 3" xfId="1865"/>
    <cellStyle name="Comma 2 3 3 3" xfId="828"/>
    <cellStyle name="Comma 2 3 3 3 2" xfId="2165"/>
    <cellStyle name="Comma 2 3 3 4" xfId="1043"/>
    <cellStyle name="Comma 2 3 3 4 2" xfId="2378"/>
    <cellStyle name="Comma 2 3 3 5" xfId="1554"/>
    <cellStyle name="Comma 2 3 4" xfId="384"/>
    <cellStyle name="Comma 2 3 4 2" xfId="1151"/>
    <cellStyle name="Comma 2 3 4 2 2" xfId="2485"/>
    <cellStyle name="Comma 2 3 4 3" xfId="1721"/>
    <cellStyle name="Comma 2 3 5" xfId="678"/>
    <cellStyle name="Comma 2 3 5 2" xfId="2015"/>
    <cellStyle name="Comma 2 3 6" xfId="953"/>
    <cellStyle name="Comma 2 3 6 2" xfId="2290"/>
    <cellStyle name="Comma 2 3 7" xfId="1408"/>
    <cellStyle name="Comma 2 4" xfId="87"/>
    <cellStyle name="Comma 2 4 2" xfId="237"/>
    <cellStyle name="Comma 2 4 2 2" xfId="557"/>
    <cellStyle name="Comma 2 4 2 2 2" xfId="1259"/>
    <cellStyle name="Comma 2 4 2 2 2 2" xfId="2593"/>
    <cellStyle name="Comma 2 4 2 2 3" xfId="1894"/>
    <cellStyle name="Comma 2 4 2 3" xfId="857"/>
    <cellStyle name="Comma 2 4 2 3 2" xfId="2194"/>
    <cellStyle name="Comma 2 4 2 4" xfId="1065"/>
    <cellStyle name="Comma 2 4 2 4 2" xfId="2400"/>
    <cellStyle name="Comma 2 4 2 5" xfId="1583"/>
    <cellStyle name="Comma 2 4 3" xfId="413"/>
    <cellStyle name="Comma 2 4 3 2" xfId="1170"/>
    <cellStyle name="Comma 2 4 3 2 2" xfId="2504"/>
    <cellStyle name="Comma 2 4 3 3" xfId="1750"/>
    <cellStyle name="Comma 2 4 4" xfId="707"/>
    <cellStyle name="Comma 2 4 4 2" xfId="2044"/>
    <cellStyle name="Comma 2 4 5" xfId="972"/>
    <cellStyle name="Comma 2 4 5 2" xfId="2309"/>
    <cellStyle name="Comma 2 4 6" xfId="1437"/>
    <cellStyle name="Comma 2 5" xfId="161"/>
    <cellStyle name="Comma 2 5 2" xfId="485"/>
    <cellStyle name="Comma 2 5 2 2" xfId="1209"/>
    <cellStyle name="Comma 2 5 2 2 2" xfId="2543"/>
    <cellStyle name="Comma 2 5 2 3" xfId="1822"/>
    <cellStyle name="Comma 2 5 3" xfId="781"/>
    <cellStyle name="Comma 2 5 3 2" xfId="2118"/>
    <cellStyle name="Comma 2 5 4" xfId="1012"/>
    <cellStyle name="Comma 2 5 4 2" xfId="2348"/>
    <cellStyle name="Comma 2 5 5" xfId="1509"/>
    <cellStyle name="Comma 2 6" xfId="331"/>
    <cellStyle name="Comma 2 6 2" xfId="1669"/>
    <cellStyle name="Comma 2 7" xfId="339"/>
    <cellStyle name="Comma 2 7 2" xfId="1132"/>
    <cellStyle name="Comma 2 7 2 2" xfId="2466"/>
    <cellStyle name="Comma 2 7 3" xfId="1676"/>
    <cellStyle name="Comma 2 8" xfId="633"/>
    <cellStyle name="Comma 2 8 2" xfId="1970"/>
    <cellStyle name="Comma 2 9" xfId="934"/>
    <cellStyle name="Comma 2 9 2" xfId="2271"/>
    <cellStyle name="Comma 3" xfId="12"/>
    <cellStyle name="Comma 3 2" xfId="28"/>
    <cellStyle name="Comma 3 2 2" xfId="61"/>
    <cellStyle name="Comma 3 2 2 2" xfId="133"/>
    <cellStyle name="Comma 3 2 2 2 2" xfId="283"/>
    <cellStyle name="Comma 3 2 2 2 2 2" xfId="603"/>
    <cellStyle name="Comma 3 2 2 2 2 2 2" xfId="1290"/>
    <cellStyle name="Comma 3 2 2 2 2 2 2 2" xfId="2624"/>
    <cellStyle name="Comma 3 2 2 2 2 2 3" xfId="1940"/>
    <cellStyle name="Comma 3 2 2 2 2 3" xfId="903"/>
    <cellStyle name="Comma 3 2 2 2 2 3 2" xfId="2240"/>
    <cellStyle name="Comma 3 2 2 2 2 4" xfId="1096"/>
    <cellStyle name="Comma 3 2 2 2 2 4 2" xfId="2431"/>
    <cellStyle name="Comma 3 2 2 2 2 5" xfId="1629"/>
    <cellStyle name="Comma 3 2 2 2 3" xfId="459"/>
    <cellStyle name="Comma 3 2 2 2 3 2" xfId="1190"/>
    <cellStyle name="Comma 3 2 2 2 3 2 2" xfId="2524"/>
    <cellStyle name="Comma 3 2 2 2 3 3" xfId="1796"/>
    <cellStyle name="Comma 3 2 2 2 4" xfId="753"/>
    <cellStyle name="Comma 3 2 2 2 4 2" xfId="2090"/>
    <cellStyle name="Comma 3 2 2 2 5" xfId="992"/>
    <cellStyle name="Comma 3 2 2 2 5 2" xfId="2329"/>
    <cellStyle name="Comma 3 2 2 2 6" xfId="1483"/>
    <cellStyle name="Comma 3 2 2 3" xfId="211"/>
    <cellStyle name="Comma 3 2 2 3 2" xfId="531"/>
    <cellStyle name="Comma 3 2 2 3 2 2" xfId="1240"/>
    <cellStyle name="Comma 3 2 2 3 2 2 2" xfId="2574"/>
    <cellStyle name="Comma 3 2 2 3 2 3" xfId="1868"/>
    <cellStyle name="Comma 3 2 2 3 3" xfId="831"/>
    <cellStyle name="Comma 3 2 2 3 3 2" xfId="2168"/>
    <cellStyle name="Comma 3 2 2 3 4" xfId="1046"/>
    <cellStyle name="Comma 3 2 2 3 4 2" xfId="2381"/>
    <cellStyle name="Comma 3 2 2 3 5" xfId="1557"/>
    <cellStyle name="Comma 3 2 2 4" xfId="387"/>
    <cellStyle name="Comma 3 2 2 4 2" xfId="1154"/>
    <cellStyle name="Comma 3 2 2 4 2 2" xfId="2488"/>
    <cellStyle name="Comma 3 2 2 4 3" xfId="1724"/>
    <cellStyle name="Comma 3 2 2 5" xfId="681"/>
    <cellStyle name="Comma 3 2 2 5 2" xfId="2018"/>
    <cellStyle name="Comma 3 2 2 6" xfId="956"/>
    <cellStyle name="Comma 3 2 2 6 2" xfId="2293"/>
    <cellStyle name="Comma 3 2 2 7" xfId="1411"/>
    <cellStyle name="Comma 3 2 3" xfId="101"/>
    <cellStyle name="Comma 3 2 3 2" xfId="251"/>
    <cellStyle name="Comma 3 2 3 2 2" xfId="571"/>
    <cellStyle name="Comma 3 2 3 2 2 2" xfId="1272"/>
    <cellStyle name="Comma 3 2 3 2 2 2 2" xfId="2606"/>
    <cellStyle name="Comma 3 2 3 2 2 3" xfId="1908"/>
    <cellStyle name="Comma 3 2 3 2 3" xfId="871"/>
    <cellStyle name="Comma 3 2 3 2 3 2" xfId="2208"/>
    <cellStyle name="Comma 3 2 3 2 4" xfId="1078"/>
    <cellStyle name="Comma 3 2 3 2 4 2" xfId="2413"/>
    <cellStyle name="Comma 3 2 3 2 5" xfId="1597"/>
    <cellStyle name="Comma 3 2 3 3" xfId="427"/>
    <cellStyle name="Comma 3 2 3 3 2" xfId="1178"/>
    <cellStyle name="Comma 3 2 3 3 2 2" xfId="2512"/>
    <cellStyle name="Comma 3 2 3 3 3" xfId="1764"/>
    <cellStyle name="Comma 3 2 3 4" xfId="721"/>
    <cellStyle name="Comma 3 2 3 4 2" xfId="2058"/>
    <cellStyle name="Comma 3 2 3 5" xfId="980"/>
    <cellStyle name="Comma 3 2 3 5 2" xfId="2317"/>
    <cellStyle name="Comma 3 2 3 6" xfId="1451"/>
    <cellStyle name="Comma 3 2 4" xfId="178"/>
    <cellStyle name="Comma 3 2 4 2" xfId="499"/>
    <cellStyle name="Comma 3 2 4 2 2" xfId="1222"/>
    <cellStyle name="Comma 3 2 4 2 2 2" xfId="2556"/>
    <cellStyle name="Comma 3 2 4 2 3" xfId="1836"/>
    <cellStyle name="Comma 3 2 4 3" xfId="798"/>
    <cellStyle name="Comma 3 2 4 3 2" xfId="2135"/>
    <cellStyle name="Comma 3 2 4 4" xfId="1027"/>
    <cellStyle name="Comma 3 2 4 4 2" xfId="2363"/>
    <cellStyle name="Comma 3 2 4 5" xfId="1525"/>
    <cellStyle name="Comma 3 2 5" xfId="355"/>
    <cellStyle name="Comma 3 2 5 2" xfId="1142"/>
    <cellStyle name="Comma 3 2 5 2 2" xfId="2476"/>
    <cellStyle name="Comma 3 2 5 3" xfId="1692"/>
    <cellStyle name="Comma 3 2 6" xfId="649"/>
    <cellStyle name="Comma 3 2 6 2" xfId="1986"/>
    <cellStyle name="Comma 3 2 7" xfId="944"/>
    <cellStyle name="Comma 3 2 7 2" xfId="2281"/>
    <cellStyle name="Comma 3 2 8" xfId="1379"/>
    <cellStyle name="Comma 3 3" xfId="60"/>
    <cellStyle name="Comma 3 3 2" xfId="132"/>
    <cellStyle name="Comma 3 3 2 2" xfId="282"/>
    <cellStyle name="Comma 3 3 2 2 2" xfId="602"/>
    <cellStyle name="Comma 3 3 2 2 2 2" xfId="1289"/>
    <cellStyle name="Comma 3 3 2 2 2 2 2" xfId="2623"/>
    <cellStyle name="Comma 3 3 2 2 2 3" xfId="1939"/>
    <cellStyle name="Comma 3 3 2 2 3" xfId="902"/>
    <cellStyle name="Comma 3 3 2 2 3 2" xfId="2239"/>
    <cellStyle name="Comma 3 3 2 2 4" xfId="1095"/>
    <cellStyle name="Comma 3 3 2 2 4 2" xfId="2430"/>
    <cellStyle name="Comma 3 3 2 2 5" xfId="1628"/>
    <cellStyle name="Comma 3 3 2 3" xfId="458"/>
    <cellStyle name="Comma 3 3 2 3 2" xfId="1189"/>
    <cellStyle name="Comma 3 3 2 3 2 2" xfId="2523"/>
    <cellStyle name="Comma 3 3 2 3 3" xfId="1795"/>
    <cellStyle name="Comma 3 3 2 4" xfId="752"/>
    <cellStyle name="Comma 3 3 2 4 2" xfId="2089"/>
    <cellStyle name="Comma 3 3 2 5" xfId="991"/>
    <cellStyle name="Comma 3 3 2 5 2" xfId="2328"/>
    <cellStyle name="Comma 3 3 2 6" xfId="1482"/>
    <cellStyle name="Comma 3 3 3" xfId="210"/>
    <cellStyle name="Comma 3 3 3 2" xfId="530"/>
    <cellStyle name="Comma 3 3 3 2 2" xfId="1239"/>
    <cellStyle name="Comma 3 3 3 2 2 2" xfId="2573"/>
    <cellStyle name="Comma 3 3 3 2 3" xfId="1867"/>
    <cellStyle name="Comma 3 3 3 3" xfId="830"/>
    <cellStyle name="Comma 3 3 3 3 2" xfId="2167"/>
    <cellStyle name="Comma 3 3 3 4" xfId="1045"/>
    <cellStyle name="Comma 3 3 3 4 2" xfId="2380"/>
    <cellStyle name="Comma 3 3 3 5" xfId="1556"/>
    <cellStyle name="Comma 3 3 4" xfId="386"/>
    <cellStyle name="Comma 3 3 4 2" xfId="1153"/>
    <cellStyle name="Comma 3 3 4 2 2" xfId="2487"/>
    <cellStyle name="Comma 3 3 4 3" xfId="1723"/>
    <cellStyle name="Comma 3 3 5" xfId="680"/>
    <cellStyle name="Comma 3 3 5 2" xfId="2017"/>
    <cellStyle name="Comma 3 3 6" xfId="955"/>
    <cellStyle name="Comma 3 3 6 2" xfId="2292"/>
    <cellStyle name="Comma 3 3 7" xfId="1410"/>
    <cellStyle name="Comma 3 4" xfId="88"/>
    <cellStyle name="Comma 3 4 2" xfId="238"/>
    <cellStyle name="Comma 3 4 2 2" xfId="558"/>
    <cellStyle name="Comma 3 4 2 2 2" xfId="1260"/>
    <cellStyle name="Comma 3 4 2 2 2 2" xfId="2594"/>
    <cellStyle name="Comma 3 4 2 2 3" xfId="1895"/>
    <cellStyle name="Comma 3 4 2 3" xfId="858"/>
    <cellStyle name="Comma 3 4 2 3 2" xfId="2195"/>
    <cellStyle name="Comma 3 4 2 4" xfId="1066"/>
    <cellStyle name="Comma 3 4 2 4 2" xfId="2401"/>
    <cellStyle name="Comma 3 4 2 5" xfId="1584"/>
    <cellStyle name="Comma 3 4 3" xfId="414"/>
    <cellStyle name="Comma 3 4 3 2" xfId="1171"/>
    <cellStyle name="Comma 3 4 3 2 2" xfId="2505"/>
    <cellStyle name="Comma 3 4 3 3" xfId="1751"/>
    <cellStyle name="Comma 3 4 4" xfId="708"/>
    <cellStyle name="Comma 3 4 4 2" xfId="2045"/>
    <cellStyle name="Comma 3 4 5" xfId="973"/>
    <cellStyle name="Comma 3 4 5 2" xfId="2310"/>
    <cellStyle name="Comma 3 4 6" xfId="1438"/>
    <cellStyle name="Comma 3 5" xfId="162"/>
    <cellStyle name="Comma 3 5 2" xfId="486"/>
    <cellStyle name="Comma 3 5 2 2" xfId="1210"/>
    <cellStyle name="Comma 3 5 2 2 2" xfId="2544"/>
    <cellStyle name="Comma 3 5 2 3" xfId="1823"/>
    <cellStyle name="Comma 3 5 3" xfId="782"/>
    <cellStyle name="Comma 3 5 3 2" xfId="2119"/>
    <cellStyle name="Comma 3 5 4" xfId="1013"/>
    <cellStyle name="Comma 3 5 4 2" xfId="2349"/>
    <cellStyle name="Comma 3 5 5" xfId="1510"/>
    <cellStyle name="Comma 3 6" xfId="340"/>
    <cellStyle name="Comma 3 6 2" xfId="1133"/>
    <cellStyle name="Comma 3 6 2 2" xfId="2467"/>
    <cellStyle name="Comma 3 6 3" xfId="1677"/>
    <cellStyle name="Comma 3 7" xfId="634"/>
    <cellStyle name="Comma 3 7 2" xfId="1971"/>
    <cellStyle name="Comma 3 8" xfId="935"/>
    <cellStyle name="Comma 3 8 2" xfId="2272"/>
    <cellStyle name="Comma 3 9" xfId="1364"/>
    <cellStyle name="Comma 4" xfId="35"/>
    <cellStyle name="Comma 4 2" xfId="62"/>
    <cellStyle name="Comma 4 2 2" xfId="134"/>
    <cellStyle name="Comma 4 2 2 2" xfId="284"/>
    <cellStyle name="Comma 4 2 2 2 2" xfId="604"/>
    <cellStyle name="Comma 4 2 2 2 2 2" xfId="1941"/>
    <cellStyle name="Comma 4 2 2 2 3" xfId="904"/>
    <cellStyle name="Comma 4 2 2 2 3 2" xfId="2241"/>
    <cellStyle name="Comma 4 2 2 2 4" xfId="1630"/>
    <cellStyle name="Comma 4 2 2 3" xfId="460"/>
    <cellStyle name="Comma 4 2 2 3 2" xfId="1797"/>
    <cellStyle name="Comma 4 2 2 4" xfId="754"/>
    <cellStyle name="Comma 4 2 2 4 2" xfId="2091"/>
    <cellStyle name="Comma 4 2 2 5" xfId="1484"/>
    <cellStyle name="Comma 4 2 3" xfId="212"/>
    <cellStyle name="Comma 4 2 3 2" xfId="532"/>
    <cellStyle name="Comma 4 2 3 2 2" xfId="1869"/>
    <cellStyle name="Comma 4 2 3 3" xfId="832"/>
    <cellStyle name="Comma 4 2 3 3 2" xfId="2169"/>
    <cellStyle name="Comma 4 2 3 4" xfId="1558"/>
    <cellStyle name="Comma 4 2 4" xfId="388"/>
    <cellStyle name="Comma 4 2 4 2" xfId="1725"/>
    <cellStyle name="Comma 4 2 5" xfId="682"/>
    <cellStyle name="Comma 4 2 5 2" xfId="2019"/>
    <cellStyle name="Comma 4 2 6" xfId="1412"/>
    <cellStyle name="Comma 4 3" xfId="108"/>
    <cellStyle name="Comma 4 3 2" xfId="258"/>
    <cellStyle name="Comma 4 3 2 2" xfId="578"/>
    <cellStyle name="Comma 4 3 2 2 2" xfId="1915"/>
    <cellStyle name="Comma 4 3 2 3" xfId="878"/>
    <cellStyle name="Comma 4 3 2 3 2" xfId="2215"/>
    <cellStyle name="Comma 4 3 2 4" xfId="1604"/>
    <cellStyle name="Comma 4 3 3" xfId="434"/>
    <cellStyle name="Comma 4 3 3 2" xfId="1771"/>
    <cellStyle name="Comma 4 3 4" xfId="728"/>
    <cellStyle name="Comma 4 3 4 2" xfId="2065"/>
    <cellStyle name="Comma 4 3 5" xfId="1458"/>
    <cellStyle name="Comma 4 4" xfId="185"/>
    <cellStyle name="Comma 4 4 2" xfId="506"/>
    <cellStyle name="Comma 4 4 2 2" xfId="1843"/>
    <cellStyle name="Comma 4 4 3" xfId="805"/>
    <cellStyle name="Comma 4 4 3 2" xfId="2142"/>
    <cellStyle name="Comma 4 4 4" xfId="1532"/>
    <cellStyle name="Comma 4 5" xfId="362"/>
    <cellStyle name="Comma 4 5 2" xfId="1699"/>
    <cellStyle name="Comma 4 6" xfId="656"/>
    <cellStyle name="Comma 4 6 2" xfId="1993"/>
    <cellStyle name="Comma 4 7" xfId="1386"/>
    <cellStyle name="Comma 5" xfId="36"/>
    <cellStyle name="Comma 5 2" xfId="63"/>
    <cellStyle name="Comma 5 2 2" xfId="135"/>
    <cellStyle name="Comma 5 2 2 2" xfId="285"/>
    <cellStyle name="Comma 5 2 2 2 2" xfId="605"/>
    <cellStyle name="Comma 5 2 2 2 2 2" xfId="1942"/>
    <cellStyle name="Comma 5 2 2 2 3" xfId="905"/>
    <cellStyle name="Comma 5 2 2 2 3 2" xfId="2242"/>
    <cellStyle name="Comma 5 2 2 2 4" xfId="1631"/>
    <cellStyle name="Comma 5 2 2 3" xfId="461"/>
    <cellStyle name="Comma 5 2 2 3 2" xfId="1798"/>
    <cellStyle name="Comma 5 2 2 4" xfId="755"/>
    <cellStyle name="Comma 5 2 2 4 2" xfId="2092"/>
    <cellStyle name="Comma 5 2 2 5" xfId="1485"/>
    <cellStyle name="Comma 5 2 3" xfId="213"/>
    <cellStyle name="Comma 5 2 3 2" xfId="533"/>
    <cellStyle name="Comma 5 2 3 2 2" xfId="1870"/>
    <cellStyle name="Comma 5 2 3 3" xfId="833"/>
    <cellStyle name="Comma 5 2 3 3 2" xfId="2170"/>
    <cellStyle name="Comma 5 2 3 4" xfId="1559"/>
    <cellStyle name="Comma 5 2 4" xfId="389"/>
    <cellStyle name="Comma 5 2 4 2" xfId="1726"/>
    <cellStyle name="Comma 5 2 5" xfId="683"/>
    <cellStyle name="Comma 5 2 5 2" xfId="2020"/>
    <cellStyle name="Comma 5 2 6" xfId="1413"/>
    <cellStyle name="Comma 5 3" xfId="109"/>
    <cellStyle name="Comma 5 3 2" xfId="259"/>
    <cellStyle name="Comma 5 3 2 2" xfId="579"/>
    <cellStyle name="Comma 5 3 2 2 2" xfId="1916"/>
    <cellStyle name="Comma 5 3 2 3" xfId="879"/>
    <cellStyle name="Comma 5 3 2 3 2" xfId="2216"/>
    <cellStyle name="Comma 5 3 2 4" xfId="1605"/>
    <cellStyle name="Comma 5 3 3" xfId="435"/>
    <cellStyle name="Comma 5 3 3 2" xfId="1772"/>
    <cellStyle name="Comma 5 3 4" xfId="729"/>
    <cellStyle name="Comma 5 3 4 2" xfId="2066"/>
    <cellStyle name="Comma 5 3 5" xfId="1459"/>
    <cellStyle name="Comma 5 4" xfId="186"/>
    <cellStyle name="Comma 5 4 2" xfId="507"/>
    <cellStyle name="Comma 5 4 2 2" xfId="1844"/>
    <cellStyle name="Comma 5 4 3" xfId="806"/>
    <cellStyle name="Comma 5 4 3 2" xfId="2143"/>
    <cellStyle name="Comma 5 4 4" xfId="1533"/>
    <cellStyle name="Comma 5 5" xfId="363"/>
    <cellStyle name="Comma 5 5 2" xfId="1700"/>
    <cellStyle name="Comma 5 6" xfId="657"/>
    <cellStyle name="Comma 5 6 2" xfId="1994"/>
    <cellStyle name="Comma 5 7" xfId="1387"/>
    <cellStyle name="Comma 6" xfId="37"/>
    <cellStyle name="Comma 6 2" xfId="64"/>
    <cellStyle name="Comma 6 2 2" xfId="136"/>
    <cellStyle name="Comma 6 2 2 2" xfId="286"/>
    <cellStyle name="Comma 6 2 2 2 2" xfId="606"/>
    <cellStyle name="Comma 6 2 2 2 2 2" xfId="1943"/>
    <cellStyle name="Comma 6 2 2 2 3" xfId="906"/>
    <cellStyle name="Comma 6 2 2 2 3 2" xfId="2243"/>
    <cellStyle name="Comma 6 2 2 2 4" xfId="1632"/>
    <cellStyle name="Comma 6 2 2 3" xfId="462"/>
    <cellStyle name="Comma 6 2 2 3 2" xfId="1799"/>
    <cellStyle name="Comma 6 2 2 4" xfId="756"/>
    <cellStyle name="Comma 6 2 2 4 2" xfId="2093"/>
    <cellStyle name="Comma 6 2 2 5" xfId="1486"/>
    <cellStyle name="Comma 6 2 3" xfId="214"/>
    <cellStyle name="Comma 6 2 3 2" xfId="534"/>
    <cellStyle name="Comma 6 2 3 2 2" xfId="1871"/>
    <cellStyle name="Comma 6 2 3 3" xfId="834"/>
    <cellStyle name="Comma 6 2 3 3 2" xfId="2171"/>
    <cellStyle name="Comma 6 2 3 4" xfId="1560"/>
    <cellStyle name="Comma 6 2 4" xfId="390"/>
    <cellStyle name="Comma 6 2 4 2" xfId="1727"/>
    <cellStyle name="Comma 6 2 5" xfId="684"/>
    <cellStyle name="Comma 6 2 5 2" xfId="2021"/>
    <cellStyle name="Comma 6 2 6" xfId="1414"/>
    <cellStyle name="Comma 6 3" xfId="110"/>
    <cellStyle name="Comma 6 3 2" xfId="260"/>
    <cellStyle name="Comma 6 3 2 2" xfId="580"/>
    <cellStyle name="Comma 6 3 2 2 2" xfId="1917"/>
    <cellStyle name="Comma 6 3 2 3" xfId="880"/>
    <cellStyle name="Comma 6 3 2 3 2" xfId="2217"/>
    <cellStyle name="Comma 6 3 2 4" xfId="1606"/>
    <cellStyle name="Comma 6 3 3" xfId="436"/>
    <cellStyle name="Comma 6 3 3 2" xfId="1773"/>
    <cellStyle name="Comma 6 3 4" xfId="730"/>
    <cellStyle name="Comma 6 3 4 2" xfId="2067"/>
    <cellStyle name="Comma 6 3 5" xfId="1460"/>
    <cellStyle name="Comma 6 4" xfId="187"/>
    <cellStyle name="Comma 6 4 2" xfId="508"/>
    <cellStyle name="Comma 6 4 2 2" xfId="1845"/>
    <cellStyle name="Comma 6 4 3" xfId="807"/>
    <cellStyle name="Comma 6 4 3 2" xfId="2144"/>
    <cellStyle name="Comma 6 4 4" xfId="1534"/>
    <cellStyle name="Comma 6 5" xfId="364"/>
    <cellStyle name="Comma 6 5 2" xfId="1701"/>
    <cellStyle name="Comma 6 6" xfId="658"/>
    <cellStyle name="Comma 6 6 2" xfId="1995"/>
    <cellStyle name="Comma 6 7" xfId="1388"/>
    <cellStyle name="Comma 7" xfId="38"/>
    <cellStyle name="Comma 7 2" xfId="65"/>
    <cellStyle name="Comma 7 2 2" xfId="137"/>
    <cellStyle name="Comma 7 2 2 2" xfId="287"/>
    <cellStyle name="Comma 7 2 2 2 2" xfId="607"/>
    <cellStyle name="Comma 7 2 2 2 2 2" xfId="1944"/>
    <cellStyle name="Comma 7 2 2 2 3" xfId="907"/>
    <cellStyle name="Comma 7 2 2 2 3 2" xfId="2244"/>
    <cellStyle name="Comma 7 2 2 2 4" xfId="1633"/>
    <cellStyle name="Comma 7 2 2 3" xfId="463"/>
    <cellStyle name="Comma 7 2 2 3 2" xfId="1800"/>
    <cellStyle name="Comma 7 2 2 4" xfId="757"/>
    <cellStyle name="Comma 7 2 2 4 2" xfId="2094"/>
    <cellStyle name="Comma 7 2 2 5" xfId="1487"/>
    <cellStyle name="Comma 7 2 3" xfId="215"/>
    <cellStyle name="Comma 7 2 3 2" xfId="535"/>
    <cellStyle name="Comma 7 2 3 2 2" xfId="1872"/>
    <cellStyle name="Comma 7 2 3 3" xfId="835"/>
    <cellStyle name="Comma 7 2 3 3 2" xfId="2172"/>
    <cellStyle name="Comma 7 2 3 4" xfId="1561"/>
    <cellStyle name="Comma 7 2 4" xfId="391"/>
    <cellStyle name="Comma 7 2 4 2" xfId="1728"/>
    <cellStyle name="Comma 7 2 5" xfId="685"/>
    <cellStyle name="Comma 7 2 5 2" xfId="2022"/>
    <cellStyle name="Comma 7 2 6" xfId="1415"/>
    <cellStyle name="Comma 7 3" xfId="111"/>
    <cellStyle name="Comma 7 3 2" xfId="261"/>
    <cellStyle name="Comma 7 3 2 2" xfId="581"/>
    <cellStyle name="Comma 7 3 2 2 2" xfId="1918"/>
    <cellStyle name="Comma 7 3 2 3" xfId="881"/>
    <cellStyle name="Comma 7 3 2 3 2" xfId="2218"/>
    <cellStyle name="Comma 7 3 2 4" xfId="1607"/>
    <cellStyle name="Comma 7 3 3" xfId="437"/>
    <cellStyle name="Comma 7 3 3 2" xfId="1774"/>
    <cellStyle name="Comma 7 3 4" xfId="731"/>
    <cellStyle name="Comma 7 3 4 2" xfId="2068"/>
    <cellStyle name="Comma 7 3 5" xfId="1461"/>
    <cellStyle name="Comma 7 4" xfId="188"/>
    <cellStyle name="Comma 7 4 2" xfId="509"/>
    <cellStyle name="Comma 7 4 2 2" xfId="1846"/>
    <cellStyle name="Comma 7 4 3" xfId="808"/>
    <cellStyle name="Comma 7 4 3 2" xfId="2145"/>
    <cellStyle name="Comma 7 4 4" xfId="1535"/>
    <cellStyle name="Comma 7 5" xfId="365"/>
    <cellStyle name="Comma 7 5 2" xfId="1702"/>
    <cellStyle name="Comma 7 6" xfId="659"/>
    <cellStyle name="Comma 7 6 2" xfId="1996"/>
    <cellStyle name="Comma 7 7" xfId="1389"/>
    <cellStyle name="Comma 8" xfId="39"/>
    <cellStyle name="Comma 8 2" xfId="66"/>
    <cellStyle name="Comma 8 2 2" xfId="138"/>
    <cellStyle name="Comma 8 2 2 2" xfId="288"/>
    <cellStyle name="Comma 8 2 2 2 2" xfId="608"/>
    <cellStyle name="Comma 8 2 2 2 2 2" xfId="1945"/>
    <cellStyle name="Comma 8 2 2 2 3" xfId="908"/>
    <cellStyle name="Comma 8 2 2 2 3 2" xfId="2245"/>
    <cellStyle name="Comma 8 2 2 2 4" xfId="1634"/>
    <cellStyle name="Comma 8 2 2 3" xfId="464"/>
    <cellStyle name="Comma 8 2 2 3 2" xfId="1801"/>
    <cellStyle name="Comma 8 2 2 4" xfId="758"/>
    <cellStyle name="Comma 8 2 2 4 2" xfId="2095"/>
    <cellStyle name="Comma 8 2 2 5" xfId="1488"/>
    <cellStyle name="Comma 8 2 3" xfId="216"/>
    <cellStyle name="Comma 8 2 3 2" xfId="536"/>
    <cellStyle name="Comma 8 2 3 2 2" xfId="1873"/>
    <cellStyle name="Comma 8 2 3 3" xfId="836"/>
    <cellStyle name="Comma 8 2 3 3 2" xfId="2173"/>
    <cellStyle name="Comma 8 2 3 4" xfId="1562"/>
    <cellStyle name="Comma 8 2 4" xfId="392"/>
    <cellStyle name="Comma 8 2 4 2" xfId="1729"/>
    <cellStyle name="Comma 8 2 5" xfId="686"/>
    <cellStyle name="Comma 8 2 5 2" xfId="2023"/>
    <cellStyle name="Comma 8 2 6" xfId="1416"/>
    <cellStyle name="Comma 8 3" xfId="112"/>
    <cellStyle name="Comma 8 3 2" xfId="262"/>
    <cellStyle name="Comma 8 3 2 2" xfId="582"/>
    <cellStyle name="Comma 8 3 2 2 2" xfId="1919"/>
    <cellStyle name="Comma 8 3 2 3" xfId="882"/>
    <cellStyle name="Comma 8 3 2 3 2" xfId="2219"/>
    <cellStyle name="Comma 8 3 2 4" xfId="1608"/>
    <cellStyle name="Comma 8 3 3" xfId="438"/>
    <cellStyle name="Comma 8 3 3 2" xfId="1775"/>
    <cellStyle name="Comma 8 3 4" xfId="732"/>
    <cellStyle name="Comma 8 3 4 2" xfId="2069"/>
    <cellStyle name="Comma 8 3 5" xfId="1462"/>
    <cellStyle name="Comma 8 4" xfId="189"/>
    <cellStyle name="Comma 8 4 2" xfId="510"/>
    <cellStyle name="Comma 8 4 2 2" xfId="1847"/>
    <cellStyle name="Comma 8 4 3" xfId="809"/>
    <cellStyle name="Comma 8 4 3 2" xfId="2146"/>
    <cellStyle name="Comma 8 4 4" xfId="1536"/>
    <cellStyle name="Comma 8 5" xfId="366"/>
    <cellStyle name="Comma 8 5 2" xfId="1703"/>
    <cellStyle name="Comma 8 6" xfId="660"/>
    <cellStyle name="Comma 8 6 2" xfId="1997"/>
    <cellStyle name="Comma 8 7" xfId="1390"/>
    <cellStyle name="Comma 9" xfId="40"/>
    <cellStyle name="Comma 9 2" xfId="67"/>
    <cellStyle name="Comma 9 2 2" xfId="139"/>
    <cellStyle name="Comma 9 2 2 2" xfId="289"/>
    <cellStyle name="Comma 9 2 2 2 2" xfId="609"/>
    <cellStyle name="Comma 9 2 2 2 2 2" xfId="1946"/>
    <cellStyle name="Comma 9 2 2 2 3" xfId="909"/>
    <cellStyle name="Comma 9 2 2 2 3 2" xfId="2246"/>
    <cellStyle name="Comma 9 2 2 2 4" xfId="1635"/>
    <cellStyle name="Comma 9 2 2 3" xfId="465"/>
    <cellStyle name="Comma 9 2 2 3 2" xfId="1802"/>
    <cellStyle name="Comma 9 2 2 4" xfId="759"/>
    <cellStyle name="Comma 9 2 2 4 2" xfId="2096"/>
    <cellStyle name="Comma 9 2 2 5" xfId="1489"/>
    <cellStyle name="Comma 9 2 3" xfId="217"/>
    <cellStyle name="Comma 9 2 3 2" xfId="537"/>
    <cellStyle name="Comma 9 2 3 2 2" xfId="1874"/>
    <cellStyle name="Comma 9 2 3 3" xfId="837"/>
    <cellStyle name="Comma 9 2 3 3 2" xfId="2174"/>
    <cellStyle name="Comma 9 2 3 4" xfId="1563"/>
    <cellStyle name="Comma 9 2 4" xfId="393"/>
    <cellStyle name="Comma 9 2 4 2" xfId="1730"/>
    <cellStyle name="Comma 9 2 5" xfId="687"/>
    <cellStyle name="Comma 9 2 5 2" xfId="2024"/>
    <cellStyle name="Comma 9 2 6" xfId="1417"/>
    <cellStyle name="Comma 9 3" xfId="113"/>
    <cellStyle name="Comma 9 3 2" xfId="263"/>
    <cellStyle name="Comma 9 3 2 2" xfId="583"/>
    <cellStyle name="Comma 9 3 2 2 2" xfId="1920"/>
    <cellStyle name="Comma 9 3 2 3" xfId="883"/>
    <cellStyle name="Comma 9 3 2 3 2" xfId="2220"/>
    <cellStyle name="Comma 9 3 2 4" xfId="1609"/>
    <cellStyle name="Comma 9 3 3" xfId="439"/>
    <cellStyle name="Comma 9 3 3 2" xfId="1776"/>
    <cellStyle name="Comma 9 3 4" xfId="733"/>
    <cellStyle name="Comma 9 3 4 2" xfId="2070"/>
    <cellStyle name="Comma 9 3 5" xfId="1463"/>
    <cellStyle name="Comma 9 4" xfId="190"/>
    <cellStyle name="Comma 9 4 2" xfId="511"/>
    <cellStyle name="Comma 9 4 2 2" xfId="1848"/>
    <cellStyle name="Comma 9 4 3" xfId="810"/>
    <cellStyle name="Comma 9 4 3 2" xfId="2147"/>
    <cellStyle name="Comma 9 4 4" xfId="1537"/>
    <cellStyle name="Comma 9 5" xfId="367"/>
    <cellStyle name="Comma 9 5 2" xfId="1704"/>
    <cellStyle name="Comma 9 6" xfId="661"/>
    <cellStyle name="Comma 9 6 2" xfId="1998"/>
    <cellStyle name="Comma 9 7" xfId="1391"/>
    <cellStyle name="Currency 2" xfId="1351"/>
    <cellStyle name="Normal" xfId="0" builtinId="0"/>
    <cellStyle name="Normal 10" xfId="304"/>
    <cellStyle name="Normal 10 2" xfId="924"/>
    <cellStyle name="Normal 10 2 2" xfId="2261"/>
    <cellStyle name="Normal 11" xfId="305"/>
    <cellStyle name="Normal 11 2" xfId="622"/>
    <cellStyle name="Normal 11 2 2" xfId="1303"/>
    <cellStyle name="Normal 11 2 2 2" xfId="2637"/>
    <cellStyle name="Normal 11 2 3" xfId="1959"/>
    <cellStyle name="Normal 11 3" xfId="1111"/>
    <cellStyle name="Normal 11 3 2" xfId="2445"/>
    <cellStyle name="Normal 11 4" xfId="1649"/>
    <cellStyle name="Normal 12" xfId="306"/>
    <cellStyle name="Normal 12 2" xfId="328"/>
    <cellStyle name="Normal 12 2 2" xfId="1126"/>
    <cellStyle name="Normal 12 2 2 2" xfId="1348"/>
    <cellStyle name="Normal 12 2 2 2 2" xfId="2680"/>
    <cellStyle name="Normal 12 2 2 3" xfId="2460"/>
    <cellStyle name="Normal 12 2 3" xfId="1346"/>
    <cellStyle name="Normal 12 2 3 2" xfId="2678"/>
    <cellStyle name="Normal 12 2 4" xfId="1667"/>
    <cellStyle name="Normal 12 3" xfId="623"/>
    <cellStyle name="Normal 12 3 2" xfId="1304"/>
    <cellStyle name="Normal 12 3 2 2" xfId="2638"/>
    <cellStyle name="Normal 12 3 3" xfId="1960"/>
    <cellStyle name="Normal 12 4" xfId="1112"/>
    <cellStyle name="Normal 12 4 2" xfId="2446"/>
    <cellStyle name="Normal 12 5" xfId="1650"/>
    <cellStyle name="Normal 13" xfId="309"/>
    <cellStyle name="Normal 13 2" xfId="320"/>
    <cellStyle name="Normal 13 2 2" xfId="1119"/>
    <cellStyle name="Normal 13 2 2 2" xfId="2453"/>
    <cellStyle name="Normal 13 2 3" xfId="1660"/>
    <cellStyle name="Normal 13 3" xfId="626"/>
    <cellStyle name="Normal 13 3 2" xfId="1306"/>
    <cellStyle name="Normal 13 3 2 2" xfId="2640"/>
    <cellStyle name="Normal 13 3 3" xfId="1963"/>
    <cellStyle name="Normal 13 4" xfId="925"/>
    <cellStyle name="Normal 13 4 2" xfId="2262"/>
    <cellStyle name="Normal 13 5" xfId="1114"/>
    <cellStyle name="Normal 13 5 2" xfId="2448"/>
    <cellStyle name="Normal 13 6" xfId="1653"/>
    <cellStyle name="Normal 14" xfId="1343"/>
    <cellStyle name="Normal 14 2" xfId="2675"/>
    <cellStyle name="Normal 15" xfId="1355"/>
    <cellStyle name="Normal 15 2" xfId="2685"/>
    <cellStyle name="Normal 16" xfId="2688"/>
    <cellStyle name="Normal 2" xfId="2"/>
    <cellStyle name="Normal 2 2" xfId="7"/>
    <cellStyle name="Normal 2 2 2" xfId="158"/>
    <cellStyle name="Normal 2 2 2 2" xfId="778"/>
    <cellStyle name="Normal 2 2 2 2 2" xfId="2115"/>
    <cellStyle name="Normal 2 2 2 3" xfId="1010"/>
    <cellStyle name="Normal 2 2 3" xfId="336"/>
    <cellStyle name="Normal 2 2 3 2" xfId="1350"/>
    <cellStyle name="Normal 2 2 4" xfId="1349"/>
    <cellStyle name="Normal 2 2 4 2" xfId="1353"/>
    <cellStyle name="Normal 2 2 4 2 2" xfId="1354"/>
    <cellStyle name="Normal 2 2 4 2 2 2" xfId="2684"/>
    <cellStyle name="Normal 2 2 4 2 3" xfId="2683"/>
    <cellStyle name="Normal 2 2 4 3" xfId="2681"/>
    <cellStyle name="Normal 2 2 5" xfId="1352"/>
    <cellStyle name="Normal 2 2 5 2" xfId="2682"/>
    <cellStyle name="Normal 2 3" xfId="1"/>
    <cellStyle name="Normal 2 3 2" xfId="21"/>
    <cellStyle name="Normal 2 3 2 2" xfId="171"/>
    <cellStyle name="Normal 2 3 2 2 2" xfId="310"/>
    <cellStyle name="Normal 2 3 2 2 2 2" xfId="627"/>
    <cellStyle name="Normal 2 3 2 2 2 2 2" xfId="1307"/>
    <cellStyle name="Normal 2 3 2 2 2 2 2 2" xfId="2641"/>
    <cellStyle name="Normal 2 3 2 2 2 2 3" xfId="1964"/>
    <cellStyle name="Normal 2 3 2 2 2 3" xfId="1115"/>
    <cellStyle name="Normal 2 3 2 2 2 3 2" xfId="2449"/>
    <cellStyle name="Normal 2 3 2 2 2 4" xfId="1654"/>
    <cellStyle name="Normal 2 3 2 2 3" xfId="313"/>
    <cellStyle name="Normal 2 3 2 2 3 2" xfId="1116"/>
    <cellStyle name="Normal 2 3 2 2 3 2 2" xfId="2450"/>
    <cellStyle name="Normal 2 3 2 2 3 3" xfId="1356"/>
    <cellStyle name="Normal 2 3 2 2 3 3 2" xfId="2686"/>
    <cellStyle name="Normal 2 3 2 2 3 4" xfId="1656"/>
    <cellStyle name="Normal 2 3 2 2 4" xfId="317"/>
    <cellStyle name="Normal 2 3 2 2 4 2" xfId="1118"/>
    <cellStyle name="Normal 2 3 2 2 4 2 2" xfId="2452"/>
    <cellStyle name="Normal 2 3 2 2 4 3" xfId="1658"/>
    <cellStyle name="Normal 2 3 2 2 5" xfId="791"/>
    <cellStyle name="Normal 2 3 2 2 5 2" xfId="2128"/>
    <cellStyle name="Normal 2 3 2 2 6" xfId="1021"/>
    <cellStyle name="Normal 2 3 2 2 6 2" xfId="2357"/>
    <cellStyle name="Normal 2 3 2 2 7" xfId="1518"/>
    <cellStyle name="Normal 2 3 2 3" xfId="348"/>
    <cellStyle name="Normal 2 3 2 3 2" xfId="1139"/>
    <cellStyle name="Normal 2 3 2 3 2 2" xfId="2473"/>
    <cellStyle name="Normal 2 3 2 3 3" xfId="1685"/>
    <cellStyle name="Normal 2 3 2 4" xfId="642"/>
    <cellStyle name="Normal 2 3 2 4 2" xfId="1979"/>
    <cellStyle name="Normal 2 3 2 5" xfId="941"/>
    <cellStyle name="Normal 2 3 2 5 2" xfId="2278"/>
    <cellStyle name="Normal 2 3 2 6" xfId="1372"/>
    <cellStyle name="Normal 2 3 3" xfId="929"/>
    <cellStyle name="Normal 2 3 3 2" xfId="2266"/>
    <cellStyle name="Normal 2 3 4" xfId="1308"/>
    <cellStyle name="Normal 2 4 2" xfId="16"/>
    <cellStyle name="Normal 2 4 2 2" xfId="166"/>
    <cellStyle name="Normal 2 4 2 2 2" xfId="786"/>
    <cellStyle name="Normal 2 4 2 2 2 2" xfId="2123"/>
    <cellStyle name="Normal 2 4 2 2 3" xfId="1017"/>
    <cellStyle name="Normal 2 4 2 2 3 2" xfId="2353"/>
    <cellStyle name="Normal 2 4 2 2 4" xfId="1514"/>
    <cellStyle name="Normal 2 4 2 3" xfId="344"/>
    <cellStyle name="Normal 2 4 2 3 2" xfId="1136"/>
    <cellStyle name="Normal 2 4 2 3 2 2" xfId="2470"/>
    <cellStyle name="Normal 2 4 2 3 3" xfId="1681"/>
    <cellStyle name="Normal 2 4 2 4" xfId="638"/>
    <cellStyle name="Normal 2 4 2 4 2" xfId="1975"/>
    <cellStyle name="Normal 2 4 2 5" xfId="938"/>
    <cellStyle name="Normal 2 4 2 5 2" xfId="2275"/>
    <cellStyle name="Normal 2 4 2 6" xfId="1368"/>
    <cellStyle name="Normal 3" xfId="5"/>
    <cellStyle name="Normal 3 2" xfId="29"/>
    <cellStyle name="Normal 3 2 2" xfId="69"/>
    <cellStyle name="Normal 3 2 2 2" xfId="141"/>
    <cellStyle name="Normal 3 2 2 2 2" xfId="291"/>
    <cellStyle name="Normal 3 2 2 2 2 2" xfId="611"/>
    <cellStyle name="Normal 3 2 2 2 2 2 2" xfId="1292"/>
    <cellStyle name="Normal 3 2 2 2 2 2 2 2" xfId="2626"/>
    <cellStyle name="Normal 3 2 2 2 2 2 3" xfId="1948"/>
    <cellStyle name="Normal 3 2 2 2 2 3" xfId="911"/>
    <cellStyle name="Normal 3 2 2 2 2 3 2" xfId="2248"/>
    <cellStyle name="Normal 3 2 2 2 2 4" xfId="1098"/>
    <cellStyle name="Normal 3 2 2 2 2 4 2" xfId="2433"/>
    <cellStyle name="Normal 3 2 2 2 2 5" xfId="1637"/>
    <cellStyle name="Normal 3 2 2 2 3" xfId="467"/>
    <cellStyle name="Normal 3 2 2 2 3 2" xfId="1192"/>
    <cellStyle name="Normal 3 2 2 2 3 2 2" xfId="2526"/>
    <cellStyle name="Normal 3 2 2 2 3 3" xfId="1804"/>
    <cellStyle name="Normal 3 2 2 2 4" xfId="761"/>
    <cellStyle name="Normal 3 2 2 2 4 2" xfId="2098"/>
    <cellStyle name="Normal 3 2 2 2 5" xfId="994"/>
    <cellStyle name="Normal 3 2 2 2 5 2" xfId="2331"/>
    <cellStyle name="Normal 3 2 2 2 6" xfId="1491"/>
    <cellStyle name="Normal 3 2 2 3" xfId="219"/>
    <cellStyle name="Normal 3 2 2 3 2" xfId="539"/>
    <cellStyle name="Normal 3 2 2 3 2 2" xfId="1242"/>
    <cellStyle name="Normal 3 2 2 3 2 2 2" xfId="2576"/>
    <cellStyle name="Normal 3 2 2 3 2 3" xfId="1876"/>
    <cellStyle name="Normal 3 2 2 3 3" xfId="839"/>
    <cellStyle name="Normal 3 2 2 3 3 2" xfId="2176"/>
    <cellStyle name="Normal 3 2 2 3 4" xfId="1048"/>
    <cellStyle name="Normal 3 2 2 3 4 2" xfId="2383"/>
    <cellStyle name="Normal 3 2 2 3 5" xfId="1565"/>
    <cellStyle name="Normal 3 2 2 4" xfId="395"/>
    <cellStyle name="Normal 3 2 2 4 2" xfId="1156"/>
    <cellStyle name="Normal 3 2 2 4 2 2" xfId="2490"/>
    <cellStyle name="Normal 3 2 2 4 3" xfId="1732"/>
    <cellStyle name="Normal 3 2 2 5" xfId="689"/>
    <cellStyle name="Normal 3 2 2 5 2" xfId="2026"/>
    <cellStyle name="Normal 3 2 2 6" xfId="958"/>
    <cellStyle name="Normal 3 2 2 6 2" xfId="2295"/>
    <cellStyle name="Normal 3 2 2 7" xfId="1419"/>
    <cellStyle name="Normal 3 2 3" xfId="102"/>
    <cellStyle name="Normal 3 2 3 2" xfId="252"/>
    <cellStyle name="Normal 3 2 3 2 2" xfId="572"/>
    <cellStyle name="Normal 3 2 3 2 2 2" xfId="1273"/>
    <cellStyle name="Normal 3 2 3 2 2 2 2" xfId="2607"/>
    <cellStyle name="Normal 3 2 3 2 2 3" xfId="1909"/>
    <cellStyle name="Normal 3 2 3 2 3" xfId="872"/>
    <cellStyle name="Normal 3 2 3 2 3 2" xfId="2209"/>
    <cellStyle name="Normal 3 2 3 2 4" xfId="1079"/>
    <cellStyle name="Normal 3 2 3 2 4 2" xfId="2414"/>
    <cellStyle name="Normal 3 2 3 2 5" xfId="1598"/>
    <cellStyle name="Normal 3 2 3 3" xfId="428"/>
    <cellStyle name="Normal 3 2 3 3 2" xfId="1179"/>
    <cellStyle name="Normal 3 2 3 3 2 2" xfId="2513"/>
    <cellStyle name="Normal 3 2 3 3 3" xfId="1765"/>
    <cellStyle name="Normal 3 2 3 4" xfId="722"/>
    <cellStyle name="Normal 3 2 3 4 2" xfId="2059"/>
    <cellStyle name="Normal 3 2 3 5" xfId="981"/>
    <cellStyle name="Normal 3 2 3 5 2" xfId="2318"/>
    <cellStyle name="Normal 3 2 3 6" xfId="1452"/>
    <cellStyle name="Normal 3 2 4" xfId="179"/>
    <cellStyle name="Normal 3 2 4 2" xfId="500"/>
    <cellStyle name="Normal 3 2 4 2 2" xfId="1223"/>
    <cellStyle name="Normal 3 2 4 2 2 2" xfId="2557"/>
    <cellStyle name="Normal 3 2 4 2 3" xfId="1837"/>
    <cellStyle name="Normal 3 2 4 3" xfId="799"/>
    <cellStyle name="Normal 3 2 4 3 2" xfId="2136"/>
    <cellStyle name="Normal 3 2 4 4" xfId="1028"/>
    <cellStyle name="Normal 3 2 4 4 2" xfId="2364"/>
    <cellStyle name="Normal 3 2 4 5" xfId="1526"/>
    <cellStyle name="Normal 3 2 5" xfId="356"/>
    <cellStyle name="Normal 3 2 5 2" xfId="1143"/>
    <cellStyle name="Normal 3 2 5 2 2" xfId="2477"/>
    <cellStyle name="Normal 3 2 5 3" xfId="1693"/>
    <cellStyle name="Normal 3 2 6" xfId="650"/>
    <cellStyle name="Normal 3 2 6 2" xfId="1987"/>
    <cellStyle name="Normal 3 2 7" xfId="945"/>
    <cellStyle name="Normal 3 2 7 2" xfId="2282"/>
    <cellStyle name="Normal 3 2 8" xfId="1380"/>
    <cellStyle name="Normal 3 3" xfId="68"/>
    <cellStyle name="Normal 3 3 2" xfId="140"/>
    <cellStyle name="Normal 3 3 2 2" xfId="290"/>
    <cellStyle name="Normal 3 3 2 2 2" xfId="610"/>
    <cellStyle name="Normal 3 3 2 2 2 2" xfId="1291"/>
    <cellStyle name="Normal 3 3 2 2 2 2 2" xfId="2625"/>
    <cellStyle name="Normal 3 3 2 2 2 3" xfId="1947"/>
    <cellStyle name="Normal 3 3 2 2 3" xfId="910"/>
    <cellStyle name="Normal 3 3 2 2 3 2" xfId="2247"/>
    <cellStyle name="Normal 3 3 2 2 4" xfId="1097"/>
    <cellStyle name="Normal 3 3 2 2 4 2" xfId="2432"/>
    <cellStyle name="Normal 3 3 2 2 5" xfId="1636"/>
    <cellStyle name="Normal 3 3 2 3" xfId="466"/>
    <cellStyle name="Normal 3 3 2 3 2" xfId="1191"/>
    <cellStyle name="Normal 3 3 2 3 2 2" xfId="2525"/>
    <cellStyle name="Normal 3 3 2 3 3" xfId="1803"/>
    <cellStyle name="Normal 3 3 2 4" xfId="760"/>
    <cellStyle name="Normal 3 3 2 4 2" xfId="2097"/>
    <cellStyle name="Normal 3 3 2 5" xfId="993"/>
    <cellStyle name="Normal 3 3 2 5 2" xfId="2330"/>
    <cellStyle name="Normal 3 3 2 6" xfId="1490"/>
    <cellStyle name="Normal 3 3 3" xfId="218"/>
    <cellStyle name="Normal 3 3 3 2" xfId="538"/>
    <cellStyle name="Normal 3 3 3 2 2" xfId="1241"/>
    <cellStyle name="Normal 3 3 3 2 2 2" xfId="2575"/>
    <cellStyle name="Normal 3 3 3 2 3" xfId="1875"/>
    <cellStyle name="Normal 3 3 3 3" xfId="838"/>
    <cellStyle name="Normal 3 3 3 3 2" xfId="2175"/>
    <cellStyle name="Normal 3 3 3 4" xfId="1047"/>
    <cellStyle name="Normal 3 3 3 4 2" xfId="2382"/>
    <cellStyle name="Normal 3 3 3 5" xfId="1564"/>
    <cellStyle name="Normal 3 3 4" xfId="394"/>
    <cellStyle name="Normal 3 3 4 2" xfId="1155"/>
    <cellStyle name="Normal 3 3 4 2 2" xfId="2489"/>
    <cellStyle name="Normal 3 3 4 3" xfId="1731"/>
    <cellStyle name="Normal 3 3 5" xfId="688"/>
    <cellStyle name="Normal 3 3 5 2" xfId="2025"/>
    <cellStyle name="Normal 3 3 6" xfId="957"/>
    <cellStyle name="Normal 3 3 6 2" xfId="2294"/>
    <cellStyle name="Normal 3 3 7" xfId="1418"/>
    <cellStyle name="Normal 3 4" xfId="83"/>
    <cellStyle name="Normal 3 4 2" xfId="233"/>
    <cellStyle name="Normal 3 4 2 2" xfId="553"/>
    <cellStyle name="Normal 3 4 2 2 2" xfId="1256"/>
    <cellStyle name="Normal 3 4 2 2 2 2" xfId="2590"/>
    <cellStyle name="Normal 3 4 2 2 3" xfId="1890"/>
    <cellStyle name="Normal 3 4 2 3" xfId="853"/>
    <cellStyle name="Normal 3 4 2 3 2" xfId="2190"/>
    <cellStyle name="Normal 3 4 2 4" xfId="1062"/>
    <cellStyle name="Normal 3 4 2 4 2" xfId="2397"/>
    <cellStyle name="Normal 3 4 2 5" xfId="1579"/>
    <cellStyle name="Normal 3 4 3" xfId="409"/>
    <cellStyle name="Normal 3 4 3 2" xfId="1168"/>
    <cellStyle name="Normal 3 4 3 2 2" xfId="2502"/>
    <cellStyle name="Normal 3 4 3 3" xfId="1746"/>
    <cellStyle name="Normal 3 4 4" xfId="703"/>
    <cellStyle name="Normal 3 4 4 2" xfId="2040"/>
    <cellStyle name="Normal 3 4 5" xfId="970"/>
    <cellStyle name="Normal 3 4 5 2" xfId="2307"/>
    <cellStyle name="Normal 3 4 6" xfId="1433"/>
    <cellStyle name="Normal 3 5" xfId="156"/>
    <cellStyle name="Normal 3 5 2" xfId="481"/>
    <cellStyle name="Normal 3 5 2 2" xfId="1206"/>
    <cellStyle name="Normal 3 5 2 2 2" xfId="2540"/>
    <cellStyle name="Normal 3 5 2 3" xfId="1818"/>
    <cellStyle name="Normal 3 5 3" xfId="776"/>
    <cellStyle name="Normal 3 5 3 2" xfId="2113"/>
    <cellStyle name="Normal 3 5 4" xfId="1008"/>
    <cellStyle name="Normal 3 5 4 2" xfId="2345"/>
    <cellStyle name="Normal 3 5 5" xfId="1505"/>
    <cellStyle name="Normal 3 6" xfId="334"/>
    <cellStyle name="Normal 3 6 2" xfId="1130"/>
    <cellStyle name="Normal 3 6 2 2" xfId="2464"/>
    <cellStyle name="Normal 3 6 3" xfId="1672"/>
    <cellStyle name="Normal 3 7" xfId="629"/>
    <cellStyle name="Normal 3 7 2" xfId="1966"/>
    <cellStyle name="Normal 3 8" xfId="932"/>
    <cellStyle name="Normal 3 8 2" xfId="2269"/>
    <cellStyle name="Normal 3 9" xfId="1359"/>
    <cellStyle name="Normal 4" xfId="10"/>
    <cellStyle name="Normal 4 2" xfId="30"/>
    <cellStyle name="Normal 4 2 2" xfId="71"/>
    <cellStyle name="Normal 4 2 2 2" xfId="143"/>
    <cellStyle name="Normal 4 2 2 2 2" xfId="293"/>
    <cellStyle name="Normal 4 2 2 2 2 2" xfId="613"/>
    <cellStyle name="Normal 4 2 2 2 2 2 2" xfId="1294"/>
    <cellStyle name="Normal 4 2 2 2 2 2 2 2" xfId="2628"/>
    <cellStyle name="Normal 4 2 2 2 2 2 3" xfId="1950"/>
    <cellStyle name="Normal 4 2 2 2 2 3" xfId="913"/>
    <cellStyle name="Normal 4 2 2 2 2 3 2" xfId="2250"/>
    <cellStyle name="Normal 4 2 2 2 2 4" xfId="1100"/>
    <cellStyle name="Normal 4 2 2 2 2 4 2" xfId="2435"/>
    <cellStyle name="Normal 4 2 2 2 2 5" xfId="1639"/>
    <cellStyle name="Normal 4 2 2 2 3" xfId="469"/>
    <cellStyle name="Normal 4 2 2 2 3 2" xfId="1194"/>
    <cellStyle name="Normal 4 2 2 2 3 2 2" xfId="2528"/>
    <cellStyle name="Normal 4 2 2 2 3 3" xfId="1806"/>
    <cellStyle name="Normal 4 2 2 2 4" xfId="763"/>
    <cellStyle name="Normal 4 2 2 2 4 2" xfId="2100"/>
    <cellStyle name="Normal 4 2 2 2 5" xfId="996"/>
    <cellStyle name="Normal 4 2 2 2 5 2" xfId="2333"/>
    <cellStyle name="Normal 4 2 2 2 6" xfId="1493"/>
    <cellStyle name="Normal 4 2 2 3" xfId="221"/>
    <cellStyle name="Normal 4 2 2 3 2" xfId="541"/>
    <cellStyle name="Normal 4 2 2 3 2 2" xfId="1244"/>
    <cellStyle name="Normal 4 2 2 3 2 2 2" xfId="2578"/>
    <cellStyle name="Normal 4 2 2 3 2 3" xfId="1878"/>
    <cellStyle name="Normal 4 2 2 3 3" xfId="841"/>
    <cellStyle name="Normal 4 2 2 3 3 2" xfId="2178"/>
    <cellStyle name="Normal 4 2 2 3 4" xfId="1050"/>
    <cellStyle name="Normal 4 2 2 3 4 2" xfId="2385"/>
    <cellStyle name="Normal 4 2 2 3 5" xfId="1567"/>
    <cellStyle name="Normal 4 2 2 4" xfId="397"/>
    <cellStyle name="Normal 4 2 2 4 2" xfId="1158"/>
    <cellStyle name="Normal 4 2 2 4 2 2" xfId="2492"/>
    <cellStyle name="Normal 4 2 2 4 3" xfId="1734"/>
    <cellStyle name="Normal 4 2 2 5" xfId="691"/>
    <cellStyle name="Normal 4 2 2 5 2" xfId="2028"/>
    <cellStyle name="Normal 4 2 2 6" xfId="960"/>
    <cellStyle name="Normal 4 2 2 6 2" xfId="2297"/>
    <cellStyle name="Normal 4 2 2 7" xfId="1421"/>
    <cellStyle name="Normal 4 2 3" xfId="103"/>
    <cellStyle name="Normal 4 2 3 2" xfId="253"/>
    <cellStyle name="Normal 4 2 3 2 2" xfId="573"/>
    <cellStyle name="Normal 4 2 3 2 2 2" xfId="1274"/>
    <cellStyle name="Normal 4 2 3 2 2 2 2" xfId="2608"/>
    <cellStyle name="Normal 4 2 3 2 2 3" xfId="1910"/>
    <cellStyle name="Normal 4 2 3 2 3" xfId="873"/>
    <cellStyle name="Normal 4 2 3 2 3 2" xfId="2210"/>
    <cellStyle name="Normal 4 2 3 2 4" xfId="1080"/>
    <cellStyle name="Normal 4 2 3 2 4 2" xfId="2415"/>
    <cellStyle name="Normal 4 2 3 2 5" xfId="1599"/>
    <cellStyle name="Normal 4 2 3 3" xfId="429"/>
    <cellStyle name="Normal 4 2 3 3 2" xfId="1180"/>
    <cellStyle name="Normal 4 2 3 3 2 2" xfId="2514"/>
    <cellStyle name="Normal 4 2 3 3 3" xfId="1766"/>
    <cellStyle name="Normal 4 2 3 4" xfId="723"/>
    <cellStyle name="Normal 4 2 3 4 2" xfId="2060"/>
    <cellStyle name="Normal 4 2 3 5" xfId="982"/>
    <cellStyle name="Normal 4 2 3 5 2" xfId="2319"/>
    <cellStyle name="Normal 4 2 3 6" xfId="1453"/>
    <cellStyle name="Normal 4 2 4" xfId="180"/>
    <cellStyle name="Normal 4 2 4 2" xfId="501"/>
    <cellStyle name="Normal 4 2 4 2 2" xfId="1224"/>
    <cellStyle name="Normal 4 2 4 2 2 2" xfId="2558"/>
    <cellStyle name="Normal 4 2 4 2 3" xfId="1838"/>
    <cellStyle name="Normal 4 2 4 3" xfId="800"/>
    <cellStyle name="Normal 4 2 4 3 2" xfId="2137"/>
    <cellStyle name="Normal 4 2 4 4" xfId="1029"/>
    <cellStyle name="Normal 4 2 4 4 2" xfId="2365"/>
    <cellStyle name="Normal 4 2 4 5" xfId="1527"/>
    <cellStyle name="Normal 4 2 5" xfId="357"/>
    <cellStyle name="Normal 4 2 5 2" xfId="1144"/>
    <cellStyle name="Normal 4 2 5 2 2" xfId="2478"/>
    <cellStyle name="Normal 4 2 5 3" xfId="1694"/>
    <cellStyle name="Normal 4 2 6" xfId="651"/>
    <cellStyle name="Normal 4 2 6 2" xfId="1988"/>
    <cellStyle name="Normal 4 2 7" xfId="946"/>
    <cellStyle name="Normal 4 2 7 2" xfId="2283"/>
    <cellStyle name="Normal 4 2 8" xfId="1381"/>
    <cellStyle name="Normal 4 3" xfId="70"/>
    <cellStyle name="Normal 4 3 2" xfId="142"/>
    <cellStyle name="Normal 4 3 2 2" xfId="292"/>
    <cellStyle name="Normal 4 3 2 2 2" xfId="612"/>
    <cellStyle name="Normal 4 3 2 2 2 2" xfId="1293"/>
    <cellStyle name="Normal 4 3 2 2 2 2 2" xfId="2627"/>
    <cellStyle name="Normal 4 3 2 2 2 3" xfId="1949"/>
    <cellStyle name="Normal 4 3 2 2 3" xfId="912"/>
    <cellStyle name="Normal 4 3 2 2 3 2" xfId="2249"/>
    <cellStyle name="Normal 4 3 2 2 4" xfId="1099"/>
    <cellStyle name="Normal 4 3 2 2 4 2" xfId="2434"/>
    <cellStyle name="Normal 4 3 2 2 5" xfId="1638"/>
    <cellStyle name="Normal 4 3 2 3" xfId="468"/>
    <cellStyle name="Normal 4 3 2 3 2" xfId="1193"/>
    <cellStyle name="Normal 4 3 2 3 2 2" xfId="2527"/>
    <cellStyle name="Normal 4 3 2 3 3" xfId="1805"/>
    <cellStyle name="Normal 4 3 2 4" xfId="762"/>
    <cellStyle name="Normal 4 3 2 4 2" xfId="2099"/>
    <cellStyle name="Normal 4 3 2 5" xfId="995"/>
    <cellStyle name="Normal 4 3 2 5 2" xfId="2332"/>
    <cellStyle name="Normal 4 3 2 6" xfId="1492"/>
    <cellStyle name="Normal 4 3 3" xfId="220"/>
    <cellStyle name="Normal 4 3 3 2" xfId="540"/>
    <cellStyle name="Normal 4 3 3 2 2" xfId="1243"/>
    <cellStyle name="Normal 4 3 3 2 2 2" xfId="2577"/>
    <cellStyle name="Normal 4 3 3 2 3" xfId="1877"/>
    <cellStyle name="Normal 4 3 3 3" xfId="840"/>
    <cellStyle name="Normal 4 3 3 3 2" xfId="2177"/>
    <cellStyle name="Normal 4 3 3 4" xfId="1049"/>
    <cellStyle name="Normal 4 3 3 4 2" xfId="2384"/>
    <cellStyle name="Normal 4 3 3 5" xfId="1566"/>
    <cellStyle name="Normal 4 3 4" xfId="396"/>
    <cellStyle name="Normal 4 3 4 2" xfId="1157"/>
    <cellStyle name="Normal 4 3 4 2 2" xfId="2491"/>
    <cellStyle name="Normal 4 3 4 3" xfId="1733"/>
    <cellStyle name="Normal 4 3 5" xfId="690"/>
    <cellStyle name="Normal 4 3 5 2" xfId="2027"/>
    <cellStyle name="Normal 4 3 6" xfId="959"/>
    <cellStyle name="Normal 4 3 6 2" xfId="2296"/>
    <cellStyle name="Normal 4 3 7" xfId="1420"/>
    <cellStyle name="Normal 4 4" xfId="86"/>
    <cellStyle name="Normal 4 4 2" xfId="236"/>
    <cellStyle name="Normal 4 4 2 2" xfId="556"/>
    <cellStyle name="Normal 4 4 2 2 2" xfId="1258"/>
    <cellStyle name="Normal 4 4 2 2 2 2" xfId="2592"/>
    <cellStyle name="Normal 4 4 2 2 3" xfId="1893"/>
    <cellStyle name="Normal 4 4 2 3" xfId="856"/>
    <cellStyle name="Normal 4 4 2 3 2" xfId="2193"/>
    <cellStyle name="Normal 4 4 2 4" xfId="1064"/>
    <cellStyle name="Normal 4 4 2 4 2" xfId="2399"/>
    <cellStyle name="Normal 4 4 2 5" xfId="1582"/>
    <cellStyle name="Normal 4 4 3" xfId="412"/>
    <cellStyle name="Normal 4 4 3 2" xfId="1169"/>
    <cellStyle name="Normal 4 4 3 2 2" xfId="2503"/>
    <cellStyle name="Normal 4 4 3 3" xfId="1749"/>
    <cellStyle name="Normal 4 4 4" xfId="706"/>
    <cellStyle name="Normal 4 4 4 2" xfId="2043"/>
    <cellStyle name="Normal 4 4 5" xfId="971"/>
    <cellStyle name="Normal 4 4 5 2" xfId="2308"/>
    <cellStyle name="Normal 4 4 6" xfId="1436"/>
    <cellStyle name="Normal 4 5" xfId="160"/>
    <cellStyle name="Normal 4 5 2" xfId="484"/>
    <cellStyle name="Normal 4 5 2 2" xfId="1208"/>
    <cellStyle name="Normal 4 5 2 2 2" xfId="2542"/>
    <cellStyle name="Normal 4 5 2 3" xfId="1821"/>
    <cellStyle name="Normal 4 5 3" xfId="780"/>
    <cellStyle name="Normal 4 5 3 2" xfId="2117"/>
    <cellStyle name="Normal 4 5 4" xfId="1011"/>
    <cellStyle name="Normal 4 5 4 2" xfId="2347"/>
    <cellStyle name="Normal 4 5 5" xfId="1508"/>
    <cellStyle name="Normal 4 6" xfId="338"/>
    <cellStyle name="Normal 4 6 2" xfId="1131"/>
    <cellStyle name="Normal 4 6 2 2" xfId="2465"/>
    <cellStyle name="Normal 4 6 3" xfId="1675"/>
    <cellStyle name="Normal 4 7" xfId="632"/>
    <cellStyle name="Normal 4 7 2" xfId="1969"/>
    <cellStyle name="Normal 4 8" xfId="933"/>
    <cellStyle name="Normal 4 8 2" xfId="2270"/>
    <cellStyle name="Normal 4 9" xfId="1362"/>
    <cellStyle name="Normal 5" xfId="14"/>
    <cellStyle name="Normal 5 2" xfId="31"/>
    <cellStyle name="Normal 5 2 2" xfId="73"/>
    <cellStyle name="Normal 5 2 2 2" xfId="145"/>
    <cellStyle name="Normal 5 2 2 2 2" xfId="295"/>
    <cellStyle name="Normal 5 2 2 2 2 2" xfId="615"/>
    <cellStyle name="Normal 5 2 2 2 2 2 2" xfId="1296"/>
    <cellStyle name="Normal 5 2 2 2 2 2 2 2" xfId="2630"/>
    <cellStyle name="Normal 5 2 2 2 2 2 3" xfId="1952"/>
    <cellStyle name="Normal 5 2 2 2 2 3" xfId="915"/>
    <cellStyle name="Normal 5 2 2 2 2 3 2" xfId="2252"/>
    <cellStyle name="Normal 5 2 2 2 2 4" xfId="1102"/>
    <cellStyle name="Normal 5 2 2 2 2 4 2" xfId="2437"/>
    <cellStyle name="Normal 5 2 2 2 2 5" xfId="1641"/>
    <cellStyle name="Normal 5 2 2 2 3" xfId="471"/>
    <cellStyle name="Normal 5 2 2 2 3 2" xfId="1196"/>
    <cellStyle name="Normal 5 2 2 2 3 2 2" xfId="2530"/>
    <cellStyle name="Normal 5 2 2 2 3 3" xfId="1808"/>
    <cellStyle name="Normal 5 2 2 2 4" xfId="765"/>
    <cellStyle name="Normal 5 2 2 2 4 2" xfId="2102"/>
    <cellStyle name="Normal 5 2 2 2 5" xfId="998"/>
    <cellStyle name="Normal 5 2 2 2 5 2" xfId="2335"/>
    <cellStyle name="Normal 5 2 2 2 6" xfId="1495"/>
    <cellStyle name="Normal 5 2 2 3" xfId="223"/>
    <cellStyle name="Normal 5 2 2 3 2" xfId="543"/>
    <cellStyle name="Normal 5 2 2 3 2 2" xfId="1246"/>
    <cellStyle name="Normal 5 2 2 3 2 2 2" xfId="2580"/>
    <cellStyle name="Normal 5 2 2 3 2 3" xfId="1880"/>
    <cellStyle name="Normal 5 2 2 3 3" xfId="843"/>
    <cellStyle name="Normal 5 2 2 3 3 2" xfId="2180"/>
    <cellStyle name="Normal 5 2 2 3 4" xfId="1052"/>
    <cellStyle name="Normal 5 2 2 3 4 2" xfId="2387"/>
    <cellStyle name="Normal 5 2 2 3 5" xfId="1569"/>
    <cellStyle name="Normal 5 2 2 4" xfId="399"/>
    <cellStyle name="Normal 5 2 2 4 2" xfId="1160"/>
    <cellStyle name="Normal 5 2 2 4 2 2" xfId="2494"/>
    <cellStyle name="Normal 5 2 2 4 3" xfId="1736"/>
    <cellStyle name="Normal 5 2 2 5" xfId="693"/>
    <cellStyle name="Normal 5 2 2 5 2" xfId="2030"/>
    <cellStyle name="Normal 5 2 2 6" xfId="962"/>
    <cellStyle name="Normal 5 2 2 6 2" xfId="2299"/>
    <cellStyle name="Normal 5 2 2 7" xfId="1423"/>
    <cellStyle name="Normal 5 2 3" xfId="104"/>
    <cellStyle name="Normal 5 2 3 2" xfId="254"/>
    <cellStyle name="Normal 5 2 3 2 2" xfId="574"/>
    <cellStyle name="Normal 5 2 3 2 2 2" xfId="1275"/>
    <cellStyle name="Normal 5 2 3 2 2 2 2" xfId="2609"/>
    <cellStyle name="Normal 5 2 3 2 2 3" xfId="1911"/>
    <cellStyle name="Normal 5 2 3 2 3" xfId="874"/>
    <cellStyle name="Normal 5 2 3 2 3 2" xfId="2211"/>
    <cellStyle name="Normal 5 2 3 2 4" xfId="1081"/>
    <cellStyle name="Normal 5 2 3 2 4 2" xfId="2416"/>
    <cellStyle name="Normal 5 2 3 2 5" xfId="1600"/>
    <cellStyle name="Normal 5 2 3 3" xfId="430"/>
    <cellStyle name="Normal 5 2 3 3 2" xfId="1181"/>
    <cellStyle name="Normal 5 2 3 3 2 2" xfId="2515"/>
    <cellStyle name="Normal 5 2 3 3 3" xfId="1767"/>
    <cellStyle name="Normal 5 2 3 4" xfId="724"/>
    <cellStyle name="Normal 5 2 3 4 2" xfId="2061"/>
    <cellStyle name="Normal 5 2 3 5" xfId="983"/>
    <cellStyle name="Normal 5 2 3 5 2" xfId="2320"/>
    <cellStyle name="Normal 5 2 3 6" xfId="1454"/>
    <cellStyle name="Normal 5 2 4" xfId="181"/>
    <cellStyle name="Normal 5 2 4 2" xfId="502"/>
    <cellStyle name="Normal 5 2 4 2 2" xfId="1225"/>
    <cellStyle name="Normal 5 2 4 2 2 2" xfId="2559"/>
    <cellStyle name="Normal 5 2 4 2 3" xfId="1839"/>
    <cellStyle name="Normal 5 2 4 3" xfId="801"/>
    <cellStyle name="Normal 5 2 4 3 2" xfId="2138"/>
    <cellStyle name="Normal 5 2 4 4" xfId="1030"/>
    <cellStyle name="Normal 5 2 4 4 2" xfId="2366"/>
    <cellStyle name="Normal 5 2 4 5" xfId="1528"/>
    <cellStyle name="Normal 5 2 5" xfId="358"/>
    <cellStyle name="Normal 5 2 5 2" xfId="1145"/>
    <cellStyle name="Normal 5 2 5 2 2" xfId="2479"/>
    <cellStyle name="Normal 5 2 5 3" xfId="1695"/>
    <cellStyle name="Normal 5 2 6" xfId="652"/>
    <cellStyle name="Normal 5 2 6 2" xfId="1989"/>
    <cellStyle name="Normal 5 2 7" xfId="947"/>
    <cellStyle name="Normal 5 2 7 2" xfId="2284"/>
    <cellStyle name="Normal 5 2 8" xfId="1382"/>
    <cellStyle name="Normal 5 3" xfId="72"/>
    <cellStyle name="Normal 5 3 2" xfId="144"/>
    <cellStyle name="Normal 5 3 2 2" xfId="294"/>
    <cellStyle name="Normal 5 3 2 2 2" xfId="614"/>
    <cellStyle name="Normal 5 3 2 2 2 2" xfId="1295"/>
    <cellStyle name="Normal 5 3 2 2 2 2 2" xfId="2629"/>
    <cellStyle name="Normal 5 3 2 2 2 3" xfId="1951"/>
    <cellStyle name="Normal 5 3 2 2 3" xfId="914"/>
    <cellStyle name="Normal 5 3 2 2 3 2" xfId="2251"/>
    <cellStyle name="Normal 5 3 2 2 4" xfId="1101"/>
    <cellStyle name="Normal 5 3 2 2 4 2" xfId="2436"/>
    <cellStyle name="Normal 5 3 2 2 5" xfId="1640"/>
    <cellStyle name="Normal 5 3 2 3" xfId="470"/>
    <cellStyle name="Normal 5 3 2 3 2" xfId="1195"/>
    <cellStyle name="Normal 5 3 2 3 2 2" xfId="2529"/>
    <cellStyle name="Normal 5 3 2 3 3" xfId="1807"/>
    <cellStyle name="Normal 5 3 2 4" xfId="764"/>
    <cellStyle name="Normal 5 3 2 4 2" xfId="2101"/>
    <cellStyle name="Normal 5 3 2 5" xfId="997"/>
    <cellStyle name="Normal 5 3 2 5 2" xfId="2334"/>
    <cellStyle name="Normal 5 3 2 6" xfId="1494"/>
    <cellStyle name="Normal 5 3 3" xfId="222"/>
    <cellStyle name="Normal 5 3 3 2" xfId="542"/>
    <cellStyle name="Normal 5 3 3 2 2" xfId="1245"/>
    <cellStyle name="Normal 5 3 3 2 2 2" xfId="2579"/>
    <cellStyle name="Normal 5 3 3 2 3" xfId="1879"/>
    <cellStyle name="Normal 5 3 3 3" xfId="842"/>
    <cellStyle name="Normal 5 3 3 3 2" xfId="2179"/>
    <cellStyle name="Normal 5 3 3 4" xfId="1051"/>
    <cellStyle name="Normal 5 3 3 4 2" xfId="2386"/>
    <cellStyle name="Normal 5 3 3 5" xfId="1568"/>
    <cellStyle name="Normal 5 3 4" xfId="398"/>
    <cellStyle name="Normal 5 3 4 2" xfId="1159"/>
    <cellStyle name="Normal 5 3 4 2 2" xfId="2493"/>
    <cellStyle name="Normal 5 3 4 3" xfId="1735"/>
    <cellStyle name="Normal 5 3 5" xfId="692"/>
    <cellStyle name="Normal 5 3 5 2" xfId="2029"/>
    <cellStyle name="Normal 5 3 6" xfId="961"/>
    <cellStyle name="Normal 5 3 6 2" xfId="2298"/>
    <cellStyle name="Normal 5 3 7" xfId="1422"/>
    <cellStyle name="Normal 5 4" xfId="90"/>
    <cellStyle name="Normal 5 4 2" xfId="240"/>
    <cellStyle name="Normal 5 4 2 2" xfId="560"/>
    <cellStyle name="Normal 5 4 2 2 2" xfId="1262"/>
    <cellStyle name="Normal 5 4 2 2 2 2" xfId="2596"/>
    <cellStyle name="Normal 5 4 2 2 3" xfId="1897"/>
    <cellStyle name="Normal 5 4 2 3" xfId="860"/>
    <cellStyle name="Normal 5 4 2 3 2" xfId="2197"/>
    <cellStyle name="Normal 5 4 2 4" xfId="1068"/>
    <cellStyle name="Normal 5 4 2 4 2" xfId="2403"/>
    <cellStyle name="Normal 5 4 2 5" xfId="1586"/>
    <cellStyle name="Normal 5 4 3" xfId="416"/>
    <cellStyle name="Normal 5 4 3 2" xfId="1172"/>
    <cellStyle name="Normal 5 4 3 2 2" xfId="2506"/>
    <cellStyle name="Normal 5 4 3 3" xfId="1753"/>
    <cellStyle name="Normal 5 4 4" xfId="710"/>
    <cellStyle name="Normal 5 4 4 2" xfId="2047"/>
    <cellStyle name="Normal 5 4 5" xfId="974"/>
    <cellStyle name="Normal 5 4 5 2" xfId="2311"/>
    <cellStyle name="Normal 5 4 6" xfId="1440"/>
    <cellStyle name="Normal 5 5" xfId="164"/>
    <cellStyle name="Normal 5 5 2" xfId="488"/>
    <cellStyle name="Normal 5 5 2 2" xfId="1212"/>
    <cellStyle name="Normal 5 5 2 2 2" xfId="2546"/>
    <cellStyle name="Normal 5 5 2 3" xfId="1825"/>
    <cellStyle name="Normal 5 5 3" xfId="784"/>
    <cellStyle name="Normal 5 5 3 2" xfId="2121"/>
    <cellStyle name="Normal 5 5 4" xfId="1015"/>
    <cellStyle name="Normal 5 5 4 2" xfId="2351"/>
    <cellStyle name="Normal 5 5 5" xfId="1512"/>
    <cellStyle name="Normal 5 6" xfId="342"/>
    <cellStyle name="Normal 5 6 2" xfId="1134"/>
    <cellStyle name="Normal 5 6 2 2" xfId="2468"/>
    <cellStyle name="Normal 5 6 3" xfId="1679"/>
    <cellStyle name="Normal 5 7" xfId="636"/>
    <cellStyle name="Normal 5 7 2" xfId="1973"/>
    <cellStyle name="Normal 5 8" xfId="936"/>
    <cellStyle name="Normal 5 8 2" xfId="2273"/>
    <cellStyle name="Normal 5 9" xfId="1366"/>
    <cellStyle name="Normal 6" xfId="17"/>
    <cellStyle name="Normal 6 2" xfId="32"/>
    <cellStyle name="Normal 6 2 2" xfId="75"/>
    <cellStyle name="Normal 6 2 2 2" xfId="147"/>
    <cellStyle name="Normal 6 2 2 2 2" xfId="297"/>
    <cellStyle name="Normal 6 2 2 2 2 2" xfId="617"/>
    <cellStyle name="Normal 6 2 2 2 2 2 2" xfId="1298"/>
    <cellStyle name="Normal 6 2 2 2 2 2 2 2" xfId="2632"/>
    <cellStyle name="Normal 6 2 2 2 2 2 3" xfId="1954"/>
    <cellStyle name="Normal 6 2 2 2 2 3" xfId="917"/>
    <cellStyle name="Normal 6 2 2 2 2 3 2" xfId="2254"/>
    <cellStyle name="Normal 6 2 2 2 2 4" xfId="1104"/>
    <cellStyle name="Normal 6 2 2 2 2 4 2" xfId="2439"/>
    <cellStyle name="Normal 6 2 2 2 2 5" xfId="1643"/>
    <cellStyle name="Normal 6 2 2 2 3" xfId="473"/>
    <cellStyle name="Normal 6 2 2 2 3 2" xfId="1198"/>
    <cellStyle name="Normal 6 2 2 2 3 2 2" xfId="2532"/>
    <cellStyle name="Normal 6 2 2 2 3 3" xfId="1810"/>
    <cellStyle name="Normal 6 2 2 2 4" xfId="767"/>
    <cellStyle name="Normal 6 2 2 2 4 2" xfId="2104"/>
    <cellStyle name="Normal 6 2 2 2 5" xfId="1000"/>
    <cellStyle name="Normal 6 2 2 2 5 2" xfId="2337"/>
    <cellStyle name="Normal 6 2 2 2 6" xfId="1497"/>
    <cellStyle name="Normal 6 2 2 3" xfId="225"/>
    <cellStyle name="Normal 6 2 2 3 2" xfId="545"/>
    <cellStyle name="Normal 6 2 2 3 2 2" xfId="1248"/>
    <cellStyle name="Normal 6 2 2 3 2 2 2" xfId="2582"/>
    <cellStyle name="Normal 6 2 2 3 2 3" xfId="1882"/>
    <cellStyle name="Normal 6 2 2 3 3" xfId="845"/>
    <cellStyle name="Normal 6 2 2 3 3 2" xfId="2182"/>
    <cellStyle name="Normal 6 2 2 3 4" xfId="1054"/>
    <cellStyle name="Normal 6 2 2 3 4 2" xfId="2389"/>
    <cellStyle name="Normal 6 2 2 3 5" xfId="1571"/>
    <cellStyle name="Normal 6 2 2 4" xfId="324"/>
    <cellStyle name="Normal 6 2 2 4 2" xfId="1123"/>
    <cellStyle name="Normal 6 2 2 4 2 2" xfId="2457"/>
    <cellStyle name="Normal 6 2 2 4 3" xfId="1664"/>
    <cellStyle name="Normal 6 2 2 5" xfId="401"/>
    <cellStyle name="Normal 6 2 2 5 2" xfId="1162"/>
    <cellStyle name="Normal 6 2 2 5 2 2" xfId="2496"/>
    <cellStyle name="Normal 6 2 2 5 3" xfId="1738"/>
    <cellStyle name="Normal 6 2 2 6" xfId="695"/>
    <cellStyle name="Normal 6 2 2 6 2" xfId="2032"/>
    <cellStyle name="Normal 6 2 2 7" xfId="964"/>
    <cellStyle name="Normal 6 2 2 7 2" xfId="2301"/>
    <cellStyle name="Normal 6 2 2 8" xfId="1425"/>
    <cellStyle name="Normal 6 2 3" xfId="105"/>
    <cellStyle name="Normal 6 2 3 2" xfId="255"/>
    <cellStyle name="Normal 6 2 3 2 2" xfId="575"/>
    <cellStyle name="Normal 6 2 3 2 2 2" xfId="1276"/>
    <cellStyle name="Normal 6 2 3 2 2 2 2" xfId="2610"/>
    <cellStyle name="Normal 6 2 3 2 2 3" xfId="1912"/>
    <cellStyle name="Normal 6 2 3 2 3" xfId="875"/>
    <cellStyle name="Normal 6 2 3 2 3 2" xfId="2212"/>
    <cellStyle name="Normal 6 2 3 2 4" xfId="1082"/>
    <cellStyle name="Normal 6 2 3 2 4 2" xfId="2417"/>
    <cellStyle name="Normal 6 2 3 2 5" xfId="1601"/>
    <cellStyle name="Normal 6 2 3 3" xfId="431"/>
    <cellStyle name="Normal 6 2 3 3 2" xfId="1182"/>
    <cellStyle name="Normal 6 2 3 3 2 2" xfId="2516"/>
    <cellStyle name="Normal 6 2 3 3 3" xfId="1768"/>
    <cellStyle name="Normal 6 2 3 4" xfId="725"/>
    <cellStyle name="Normal 6 2 3 4 2" xfId="2062"/>
    <cellStyle name="Normal 6 2 3 5" xfId="984"/>
    <cellStyle name="Normal 6 2 3 5 2" xfId="2321"/>
    <cellStyle name="Normal 6 2 3 6" xfId="1455"/>
    <cellStyle name="Normal 6 2 4" xfId="182"/>
    <cellStyle name="Normal 6 2 4 2" xfId="503"/>
    <cellStyle name="Normal 6 2 4 2 2" xfId="1226"/>
    <cellStyle name="Normal 6 2 4 2 2 2" xfId="2560"/>
    <cellStyle name="Normal 6 2 4 2 3" xfId="1840"/>
    <cellStyle name="Normal 6 2 4 3" xfId="802"/>
    <cellStyle name="Normal 6 2 4 3 2" xfId="2139"/>
    <cellStyle name="Normal 6 2 4 4" xfId="1031"/>
    <cellStyle name="Normal 6 2 4 4 2" xfId="2367"/>
    <cellStyle name="Normal 6 2 4 5" xfId="1529"/>
    <cellStyle name="Normal 6 2 5" xfId="359"/>
    <cellStyle name="Normal 6 2 5 2" xfId="1146"/>
    <cellStyle name="Normal 6 2 5 2 2" xfId="2480"/>
    <cellStyle name="Normal 6 2 5 3" xfId="1696"/>
    <cellStyle name="Normal 6 2 6" xfId="653"/>
    <cellStyle name="Normal 6 2 6 2" xfId="1990"/>
    <cellStyle name="Normal 6 2 7" xfId="948"/>
    <cellStyle name="Normal 6 2 7 2" xfId="2285"/>
    <cellStyle name="Normal 6 2 8" xfId="1383"/>
    <cellStyle name="Normal 6 3" xfId="74"/>
    <cellStyle name="Normal 6 3 2" xfId="146"/>
    <cellStyle name="Normal 6 3 2 2" xfId="296"/>
    <cellStyle name="Normal 6 3 2 2 2" xfId="616"/>
    <cellStyle name="Normal 6 3 2 2 2 2" xfId="1297"/>
    <cellStyle name="Normal 6 3 2 2 2 2 2" xfId="2631"/>
    <cellStyle name="Normal 6 3 2 2 2 3" xfId="1953"/>
    <cellStyle name="Normal 6 3 2 2 3" xfId="916"/>
    <cellStyle name="Normal 6 3 2 2 3 2" xfId="2253"/>
    <cellStyle name="Normal 6 3 2 2 4" xfId="1103"/>
    <cellStyle name="Normal 6 3 2 2 4 2" xfId="2438"/>
    <cellStyle name="Normal 6 3 2 2 5" xfId="1642"/>
    <cellStyle name="Normal 6 3 2 3" xfId="472"/>
    <cellStyle name="Normal 6 3 2 3 2" xfId="1197"/>
    <cellStyle name="Normal 6 3 2 3 2 2" xfId="2531"/>
    <cellStyle name="Normal 6 3 2 3 3" xfId="1809"/>
    <cellStyle name="Normal 6 3 2 4" xfId="766"/>
    <cellStyle name="Normal 6 3 2 4 2" xfId="2103"/>
    <cellStyle name="Normal 6 3 2 5" xfId="999"/>
    <cellStyle name="Normal 6 3 2 5 2" xfId="2336"/>
    <cellStyle name="Normal 6 3 2 6" xfId="1496"/>
    <cellStyle name="Normal 6 3 3" xfId="224"/>
    <cellStyle name="Normal 6 3 3 2" xfId="544"/>
    <cellStyle name="Normal 6 3 3 2 2" xfId="1247"/>
    <cellStyle name="Normal 6 3 3 2 2 2" xfId="2581"/>
    <cellStyle name="Normal 6 3 3 2 3" xfId="1881"/>
    <cellStyle name="Normal 6 3 3 3" xfId="844"/>
    <cellStyle name="Normal 6 3 3 3 2" xfId="2181"/>
    <cellStyle name="Normal 6 3 3 4" xfId="1053"/>
    <cellStyle name="Normal 6 3 3 4 2" xfId="2388"/>
    <cellStyle name="Normal 6 3 3 5" xfId="1570"/>
    <cellStyle name="Normal 6 3 4" xfId="400"/>
    <cellStyle name="Normal 6 3 4 2" xfId="1161"/>
    <cellStyle name="Normal 6 3 4 2 2" xfId="2495"/>
    <cellStyle name="Normal 6 3 4 3" xfId="1737"/>
    <cellStyle name="Normal 6 3 5" xfId="694"/>
    <cellStyle name="Normal 6 3 5 2" xfId="2031"/>
    <cellStyle name="Normal 6 3 6" xfId="963"/>
    <cellStyle name="Normal 6 3 6 2" xfId="2300"/>
    <cellStyle name="Normal 6 3 7" xfId="1424"/>
    <cellStyle name="Normal 6 4" xfId="92"/>
    <cellStyle name="Normal 6 4 2" xfId="242"/>
    <cellStyle name="Normal 6 4 2 2" xfId="562"/>
    <cellStyle name="Normal 6 4 2 2 2" xfId="1264"/>
    <cellStyle name="Normal 6 4 2 2 2 2" xfId="2598"/>
    <cellStyle name="Normal 6 4 2 2 3" xfId="1899"/>
    <cellStyle name="Normal 6 4 2 3" xfId="862"/>
    <cellStyle name="Normal 6 4 2 3 2" xfId="2199"/>
    <cellStyle name="Normal 6 4 2 4" xfId="1070"/>
    <cellStyle name="Normal 6 4 2 4 2" xfId="2405"/>
    <cellStyle name="Normal 6 4 2 5" xfId="1588"/>
    <cellStyle name="Normal 6 4 3" xfId="418"/>
    <cellStyle name="Normal 6 4 3 2" xfId="1174"/>
    <cellStyle name="Normal 6 4 3 2 2" xfId="2508"/>
    <cellStyle name="Normal 6 4 3 3" xfId="1755"/>
    <cellStyle name="Normal 6 4 4" xfId="712"/>
    <cellStyle name="Normal 6 4 4 2" xfId="2049"/>
    <cellStyle name="Normal 6 4 5" xfId="976"/>
    <cellStyle name="Normal 6 4 5 2" xfId="2313"/>
    <cellStyle name="Normal 6 4 6" xfId="1442"/>
    <cellStyle name="Normal 6 5" xfId="167"/>
    <cellStyle name="Normal 6 5 2" xfId="490"/>
    <cellStyle name="Normal 6 5 2 2" xfId="1214"/>
    <cellStyle name="Normal 6 5 2 2 2" xfId="2548"/>
    <cellStyle name="Normal 6 5 2 3" xfId="1827"/>
    <cellStyle name="Normal 6 5 3" xfId="787"/>
    <cellStyle name="Normal 6 5 3 2" xfId="2124"/>
    <cellStyle name="Normal 6 5 4" xfId="1018"/>
    <cellStyle name="Normal 6 5 4 2" xfId="2354"/>
    <cellStyle name="Normal 6 5 5" xfId="1515"/>
    <cellStyle name="Normal 6 6" xfId="345"/>
    <cellStyle name="Normal 6 6 2" xfId="1137"/>
    <cellStyle name="Normal 6 6 2 2" xfId="2471"/>
    <cellStyle name="Normal 6 6 3" xfId="1682"/>
    <cellStyle name="Normal 6 7" xfId="639"/>
    <cellStyle name="Normal 6 7 2" xfId="1976"/>
    <cellStyle name="Normal 6 8" xfId="939"/>
    <cellStyle name="Normal 6 8 2" xfId="2276"/>
    <cellStyle name="Normal 6 9" xfId="1369"/>
    <cellStyle name="Normal 7" xfId="20"/>
    <cellStyle name="Normal 7 2" xfId="170"/>
    <cellStyle name="Normal 7 2 2" xfId="312"/>
    <cellStyle name="Normal 7 2 3" xfId="790"/>
    <cellStyle name="Normal 7 2 3 2" xfId="2127"/>
    <cellStyle name="Normal 8" xfId="44"/>
    <cellStyle name="Normal 8 2" xfId="194"/>
    <cellStyle name="Normal 8 2 2" xfId="814"/>
    <cellStyle name="Normal 8 2 2 2" xfId="2151"/>
    <cellStyle name="Normal 8 2 3" xfId="1034"/>
    <cellStyle name="Normal 8 3" xfId="316"/>
    <cellStyle name="Normal 9" xfId="302"/>
    <cellStyle name="Normal 9 2" xfId="327"/>
    <cellStyle name="Normal 9 2 2" xfId="1125"/>
    <cellStyle name="Normal 9 2 2 2" xfId="2459"/>
    <cellStyle name="Normal 9 2 3" xfId="1666"/>
    <cellStyle name="Normal 9 3" xfId="922"/>
    <cellStyle name="Normal 9 3 2" xfId="2259"/>
    <cellStyle name="Normal 9 4" xfId="1109"/>
    <cellStyle name="Normal 9 4 2" xfId="2444"/>
    <cellStyle name="Normal 9 5" xfId="1648"/>
    <cellStyle name="Per cent 2" xfId="303"/>
    <cellStyle name="Per cent 2 2" xfId="923"/>
    <cellStyle name="Per cent 2 2 2" xfId="2260"/>
    <cellStyle name="Per cent 2 3" xfId="1110"/>
    <cellStyle name="Percent 2" xfId="4"/>
    <cellStyle name="Percent 2 2" xfId="8"/>
    <cellStyle name="Percent 2 3" xfId="931"/>
    <cellStyle name="Percent 2 3 2" xfId="2268"/>
    <cellStyle name="Percent 2 4" xfId="1310"/>
    <cellStyle name="Percent 3" xfId="15"/>
    <cellStyle name="Percent 3 2" xfId="33"/>
    <cellStyle name="Percent 3 2 2" xfId="77"/>
    <cellStyle name="Percent 3 2 2 2" xfId="149"/>
    <cellStyle name="Percent 3 2 2 2 2" xfId="299"/>
    <cellStyle name="Percent 3 2 2 2 2 2" xfId="619"/>
    <cellStyle name="Percent 3 2 2 2 2 2 2" xfId="1300"/>
    <cellStyle name="Percent 3 2 2 2 2 2 2 2" xfId="2634"/>
    <cellStyle name="Percent 3 2 2 2 2 2 3" xfId="1956"/>
    <cellStyle name="Percent 3 2 2 2 2 3" xfId="919"/>
    <cellStyle name="Percent 3 2 2 2 2 3 2" xfId="2256"/>
    <cellStyle name="Percent 3 2 2 2 2 4" xfId="1106"/>
    <cellStyle name="Percent 3 2 2 2 2 4 2" xfId="2441"/>
    <cellStyle name="Percent 3 2 2 2 2 5" xfId="1645"/>
    <cellStyle name="Percent 3 2 2 2 3" xfId="475"/>
    <cellStyle name="Percent 3 2 2 2 3 2" xfId="1200"/>
    <cellStyle name="Percent 3 2 2 2 3 2 2" xfId="2534"/>
    <cellStyle name="Percent 3 2 2 2 3 3" xfId="1812"/>
    <cellStyle name="Percent 3 2 2 2 4" xfId="769"/>
    <cellStyle name="Percent 3 2 2 2 4 2" xfId="2106"/>
    <cellStyle name="Percent 3 2 2 2 5" xfId="1002"/>
    <cellStyle name="Percent 3 2 2 2 5 2" xfId="2339"/>
    <cellStyle name="Percent 3 2 2 2 6" xfId="1499"/>
    <cellStyle name="Percent 3 2 2 3" xfId="227"/>
    <cellStyle name="Percent 3 2 2 3 2" xfId="547"/>
    <cellStyle name="Percent 3 2 2 3 2 2" xfId="1250"/>
    <cellStyle name="Percent 3 2 2 3 2 2 2" xfId="2584"/>
    <cellStyle name="Percent 3 2 2 3 2 3" xfId="1884"/>
    <cellStyle name="Percent 3 2 2 3 3" xfId="847"/>
    <cellStyle name="Percent 3 2 2 3 3 2" xfId="2184"/>
    <cellStyle name="Percent 3 2 2 3 4" xfId="1056"/>
    <cellStyle name="Percent 3 2 2 3 4 2" xfId="2391"/>
    <cellStyle name="Percent 3 2 2 3 5" xfId="1573"/>
    <cellStyle name="Percent 3 2 2 4" xfId="403"/>
    <cellStyle name="Percent 3 2 2 4 2" xfId="1164"/>
    <cellStyle name="Percent 3 2 2 4 2 2" xfId="2498"/>
    <cellStyle name="Percent 3 2 2 4 3" xfId="1740"/>
    <cellStyle name="Percent 3 2 2 5" xfId="697"/>
    <cellStyle name="Percent 3 2 2 5 2" xfId="2034"/>
    <cellStyle name="Percent 3 2 2 6" xfId="966"/>
    <cellStyle name="Percent 3 2 2 6 2" xfId="2303"/>
    <cellStyle name="Percent 3 2 2 7" xfId="1427"/>
    <cellStyle name="Percent 3 2 3" xfId="106"/>
    <cellStyle name="Percent 3 2 3 2" xfId="256"/>
    <cellStyle name="Percent 3 2 3 2 2" xfId="576"/>
    <cellStyle name="Percent 3 2 3 2 2 2" xfId="1277"/>
    <cellStyle name="Percent 3 2 3 2 2 2 2" xfId="2611"/>
    <cellStyle name="Percent 3 2 3 2 2 3" xfId="1913"/>
    <cellStyle name="Percent 3 2 3 2 3" xfId="876"/>
    <cellStyle name="Percent 3 2 3 2 3 2" xfId="2213"/>
    <cellStyle name="Percent 3 2 3 2 4" xfId="1083"/>
    <cellStyle name="Percent 3 2 3 2 4 2" xfId="2418"/>
    <cellStyle name="Percent 3 2 3 2 5" xfId="1602"/>
    <cellStyle name="Percent 3 2 3 3" xfId="432"/>
    <cellStyle name="Percent 3 2 3 3 2" xfId="1183"/>
    <cellStyle name="Percent 3 2 3 3 2 2" xfId="2517"/>
    <cellStyle name="Percent 3 2 3 3 3" xfId="1769"/>
    <cellStyle name="Percent 3 2 3 4" xfId="726"/>
    <cellStyle name="Percent 3 2 3 4 2" xfId="2063"/>
    <cellStyle name="Percent 3 2 3 5" xfId="985"/>
    <cellStyle name="Percent 3 2 3 5 2" xfId="2322"/>
    <cellStyle name="Percent 3 2 3 6" xfId="1456"/>
    <cellStyle name="Percent 3 2 4" xfId="183"/>
    <cellStyle name="Percent 3 2 4 2" xfId="504"/>
    <cellStyle name="Percent 3 2 4 2 2" xfId="1227"/>
    <cellStyle name="Percent 3 2 4 2 2 2" xfId="2561"/>
    <cellStyle name="Percent 3 2 4 2 3" xfId="1841"/>
    <cellStyle name="Percent 3 2 4 3" xfId="803"/>
    <cellStyle name="Percent 3 2 4 3 2" xfId="2140"/>
    <cellStyle name="Percent 3 2 4 4" xfId="1032"/>
    <cellStyle name="Percent 3 2 4 4 2" xfId="2368"/>
    <cellStyle name="Percent 3 2 4 5" xfId="1530"/>
    <cellStyle name="Percent 3 2 5" xfId="322"/>
    <cellStyle name="Percent 3 2 5 2" xfId="1121"/>
    <cellStyle name="Percent 3 2 5 2 2" xfId="2455"/>
    <cellStyle name="Percent 3 2 5 3" xfId="1662"/>
    <cellStyle name="Percent 3 2 6" xfId="360"/>
    <cellStyle name="Percent 3 2 6 2" xfId="1147"/>
    <cellStyle name="Percent 3 2 6 2 2" xfId="2481"/>
    <cellStyle name="Percent 3 2 6 3" xfId="1697"/>
    <cellStyle name="Percent 3 2 7" xfId="654"/>
    <cellStyle name="Percent 3 2 7 2" xfId="1991"/>
    <cellStyle name="Percent 3 2 8" xfId="949"/>
    <cellStyle name="Percent 3 2 8 2" xfId="2286"/>
    <cellStyle name="Percent 3 2 9" xfId="1384"/>
    <cellStyle name="Percent 3 3" xfId="76"/>
    <cellStyle name="Percent 3 3 2" xfId="148"/>
    <cellStyle name="Percent 3 3 2 2" xfId="298"/>
    <cellStyle name="Percent 3 3 2 2 2" xfId="618"/>
    <cellStyle name="Percent 3 3 2 2 2 2" xfId="1299"/>
    <cellStyle name="Percent 3 3 2 2 2 2 2" xfId="2633"/>
    <cellStyle name="Percent 3 3 2 2 2 3" xfId="1955"/>
    <cellStyle name="Percent 3 3 2 2 3" xfId="918"/>
    <cellStyle name="Percent 3 3 2 2 3 2" xfId="2255"/>
    <cellStyle name="Percent 3 3 2 2 4" xfId="1105"/>
    <cellStyle name="Percent 3 3 2 2 4 2" xfId="2440"/>
    <cellStyle name="Percent 3 3 2 2 5" xfId="1644"/>
    <cellStyle name="Percent 3 3 2 3" xfId="474"/>
    <cellStyle name="Percent 3 3 2 3 2" xfId="1199"/>
    <cellStyle name="Percent 3 3 2 3 2 2" xfId="2533"/>
    <cellStyle name="Percent 3 3 2 3 3" xfId="1811"/>
    <cellStyle name="Percent 3 3 2 4" xfId="768"/>
    <cellStyle name="Percent 3 3 2 4 2" xfId="2105"/>
    <cellStyle name="Percent 3 3 2 5" xfId="1001"/>
    <cellStyle name="Percent 3 3 2 5 2" xfId="2338"/>
    <cellStyle name="Percent 3 3 2 6" xfId="1498"/>
    <cellStyle name="Percent 3 3 3" xfId="226"/>
    <cellStyle name="Percent 3 3 3 2" xfId="546"/>
    <cellStyle name="Percent 3 3 3 2 2" xfId="1249"/>
    <cellStyle name="Percent 3 3 3 2 2 2" xfId="2583"/>
    <cellStyle name="Percent 3 3 3 2 3" xfId="1883"/>
    <cellStyle name="Percent 3 3 3 3" xfId="846"/>
    <cellStyle name="Percent 3 3 3 3 2" xfId="2183"/>
    <cellStyle name="Percent 3 3 3 4" xfId="1055"/>
    <cellStyle name="Percent 3 3 3 4 2" xfId="2390"/>
    <cellStyle name="Percent 3 3 3 5" xfId="1572"/>
    <cellStyle name="Percent 3 3 4" xfId="402"/>
    <cellStyle name="Percent 3 3 4 2" xfId="1163"/>
    <cellStyle name="Percent 3 3 4 2 2" xfId="2497"/>
    <cellStyle name="Percent 3 3 4 3" xfId="1739"/>
    <cellStyle name="Percent 3 3 5" xfId="696"/>
    <cellStyle name="Percent 3 3 5 2" xfId="2033"/>
    <cellStyle name="Percent 3 3 6" xfId="965"/>
    <cellStyle name="Percent 3 3 6 2" xfId="2302"/>
    <cellStyle name="Percent 3 3 7" xfId="1426"/>
    <cellStyle name="Percent 3 4" xfId="91"/>
    <cellStyle name="Percent 3 4 2" xfId="241"/>
    <cellStyle name="Percent 3 4 2 2" xfId="561"/>
    <cellStyle name="Percent 3 4 2 2 2" xfId="1263"/>
    <cellStyle name="Percent 3 4 2 2 2 2" xfId="2597"/>
    <cellStyle name="Percent 3 4 2 2 3" xfId="1898"/>
    <cellStyle name="Percent 3 4 2 3" xfId="861"/>
    <cellStyle name="Percent 3 4 2 3 2" xfId="2198"/>
    <cellStyle name="Percent 3 4 2 4" xfId="1069"/>
    <cellStyle name="Percent 3 4 2 4 2" xfId="2404"/>
    <cellStyle name="Percent 3 4 2 5" xfId="1587"/>
    <cellStyle name="Percent 3 4 3" xfId="417"/>
    <cellStyle name="Percent 3 4 3 2" xfId="1173"/>
    <cellStyle name="Percent 3 4 3 2 2" xfId="2507"/>
    <cellStyle name="Percent 3 4 3 3" xfId="1754"/>
    <cellStyle name="Percent 3 4 4" xfId="711"/>
    <cellStyle name="Percent 3 4 4 2" xfId="2048"/>
    <cellStyle name="Percent 3 4 5" xfId="975"/>
    <cellStyle name="Percent 3 4 5 2" xfId="2312"/>
    <cellStyle name="Percent 3 4 6" xfId="1441"/>
    <cellStyle name="Percent 3 5" xfId="165"/>
    <cellStyle name="Percent 3 5 2" xfId="489"/>
    <cellStyle name="Percent 3 5 2 2" xfId="1213"/>
    <cellStyle name="Percent 3 5 2 2 2" xfId="2547"/>
    <cellStyle name="Percent 3 5 2 3" xfId="1826"/>
    <cellStyle name="Percent 3 5 3" xfId="785"/>
    <cellStyle name="Percent 3 5 3 2" xfId="2122"/>
    <cellStyle name="Percent 3 5 4" xfId="1016"/>
    <cellStyle name="Percent 3 5 4 2" xfId="2352"/>
    <cellStyle name="Percent 3 5 5" xfId="1513"/>
    <cellStyle name="Percent 3 6" xfId="343"/>
    <cellStyle name="Percent 3 6 2" xfId="1135"/>
    <cellStyle name="Percent 3 6 2 2" xfId="2469"/>
    <cellStyle name="Percent 3 6 3" xfId="1680"/>
    <cellStyle name="Percent 3 7" xfId="637"/>
    <cellStyle name="Percent 3 7 2" xfId="1974"/>
    <cellStyle name="Percent 3 8" xfId="937"/>
    <cellStyle name="Percent 3 8 2" xfId="2274"/>
    <cellStyle name="Percent 3 9" xfId="1367"/>
    <cellStyle name="Percent 4" xfId="18"/>
    <cellStyle name="Percent 4 2" xfId="34"/>
    <cellStyle name="Percent 4 2 2" xfId="79"/>
    <cellStyle name="Percent 4 2 2 2" xfId="151"/>
    <cellStyle name="Percent 4 2 2 2 2" xfId="301"/>
    <cellStyle name="Percent 4 2 2 2 2 2" xfId="621"/>
    <cellStyle name="Percent 4 2 2 2 2 2 2" xfId="1302"/>
    <cellStyle name="Percent 4 2 2 2 2 2 2 2" xfId="2636"/>
    <cellStyle name="Percent 4 2 2 2 2 2 3" xfId="1958"/>
    <cellStyle name="Percent 4 2 2 2 2 3" xfId="921"/>
    <cellStyle name="Percent 4 2 2 2 2 3 2" xfId="2258"/>
    <cellStyle name="Percent 4 2 2 2 2 4" xfId="1108"/>
    <cellStyle name="Percent 4 2 2 2 2 4 2" xfId="2443"/>
    <cellStyle name="Percent 4 2 2 2 2 5" xfId="1647"/>
    <cellStyle name="Percent 4 2 2 2 3" xfId="477"/>
    <cellStyle name="Percent 4 2 2 2 3 2" xfId="1202"/>
    <cellStyle name="Percent 4 2 2 2 3 2 2" xfId="2536"/>
    <cellStyle name="Percent 4 2 2 2 3 3" xfId="1814"/>
    <cellStyle name="Percent 4 2 2 2 4" xfId="771"/>
    <cellStyle name="Percent 4 2 2 2 4 2" xfId="2108"/>
    <cellStyle name="Percent 4 2 2 2 5" xfId="1004"/>
    <cellStyle name="Percent 4 2 2 2 5 2" xfId="2341"/>
    <cellStyle name="Percent 4 2 2 2 6" xfId="1501"/>
    <cellStyle name="Percent 4 2 2 3" xfId="229"/>
    <cellStyle name="Percent 4 2 2 3 2" xfId="549"/>
    <cellStyle name="Percent 4 2 2 3 2 2" xfId="1252"/>
    <cellStyle name="Percent 4 2 2 3 2 2 2" xfId="2586"/>
    <cellStyle name="Percent 4 2 2 3 2 3" xfId="1886"/>
    <cellStyle name="Percent 4 2 2 3 3" xfId="849"/>
    <cellStyle name="Percent 4 2 2 3 3 2" xfId="2186"/>
    <cellStyle name="Percent 4 2 2 3 4" xfId="1058"/>
    <cellStyle name="Percent 4 2 2 3 4 2" xfId="2393"/>
    <cellStyle name="Percent 4 2 2 3 5" xfId="1575"/>
    <cellStyle name="Percent 4 2 2 4" xfId="325"/>
    <cellStyle name="Percent 4 2 2 4 2" xfId="1124"/>
    <cellStyle name="Percent 4 2 2 4 2 2" xfId="2458"/>
    <cellStyle name="Percent 4 2 2 4 3" xfId="1665"/>
    <cellStyle name="Percent 4 2 2 5" xfId="405"/>
    <cellStyle name="Percent 4 2 2 5 2" xfId="1166"/>
    <cellStyle name="Percent 4 2 2 5 2 2" xfId="2500"/>
    <cellStyle name="Percent 4 2 2 5 3" xfId="1742"/>
    <cellStyle name="Percent 4 2 2 6" xfId="699"/>
    <cellStyle name="Percent 4 2 2 6 2" xfId="2036"/>
    <cellStyle name="Percent 4 2 2 7" xfId="968"/>
    <cellStyle name="Percent 4 2 2 7 2" xfId="2305"/>
    <cellStyle name="Percent 4 2 2 8" xfId="1429"/>
    <cellStyle name="Percent 4 2 3" xfId="107"/>
    <cellStyle name="Percent 4 2 3 2" xfId="257"/>
    <cellStyle name="Percent 4 2 3 2 2" xfId="577"/>
    <cellStyle name="Percent 4 2 3 2 2 2" xfId="1278"/>
    <cellStyle name="Percent 4 2 3 2 2 2 2" xfId="2612"/>
    <cellStyle name="Percent 4 2 3 2 2 3" xfId="1914"/>
    <cellStyle name="Percent 4 2 3 2 3" xfId="877"/>
    <cellStyle name="Percent 4 2 3 2 3 2" xfId="2214"/>
    <cellStyle name="Percent 4 2 3 2 4" xfId="1084"/>
    <cellStyle name="Percent 4 2 3 2 4 2" xfId="2419"/>
    <cellStyle name="Percent 4 2 3 2 5" xfId="1603"/>
    <cellStyle name="Percent 4 2 3 3" xfId="433"/>
    <cellStyle name="Percent 4 2 3 3 2" xfId="1184"/>
    <cellStyle name="Percent 4 2 3 3 2 2" xfId="2518"/>
    <cellStyle name="Percent 4 2 3 3 3" xfId="1770"/>
    <cellStyle name="Percent 4 2 3 4" xfId="727"/>
    <cellStyle name="Percent 4 2 3 4 2" xfId="2064"/>
    <cellStyle name="Percent 4 2 3 5" xfId="986"/>
    <cellStyle name="Percent 4 2 3 5 2" xfId="2323"/>
    <cellStyle name="Percent 4 2 3 6" xfId="1457"/>
    <cellStyle name="Percent 4 2 4" xfId="184"/>
    <cellStyle name="Percent 4 2 4 2" xfId="505"/>
    <cellStyle name="Percent 4 2 4 2 2" xfId="1228"/>
    <cellStyle name="Percent 4 2 4 2 2 2" xfId="2562"/>
    <cellStyle name="Percent 4 2 4 2 3" xfId="1842"/>
    <cellStyle name="Percent 4 2 4 3" xfId="804"/>
    <cellStyle name="Percent 4 2 4 3 2" xfId="2141"/>
    <cellStyle name="Percent 4 2 4 4" xfId="1033"/>
    <cellStyle name="Percent 4 2 4 4 2" xfId="2369"/>
    <cellStyle name="Percent 4 2 4 5" xfId="1531"/>
    <cellStyle name="Percent 4 2 5" xfId="323"/>
    <cellStyle name="Percent 4 2 5 2" xfId="1122"/>
    <cellStyle name="Percent 4 2 5 2 2" xfId="2456"/>
    <cellStyle name="Percent 4 2 5 3" xfId="1663"/>
    <cellStyle name="Percent 4 2 6" xfId="361"/>
    <cellStyle name="Percent 4 2 6 2" xfId="1148"/>
    <cellStyle name="Percent 4 2 6 2 2" xfId="2482"/>
    <cellStyle name="Percent 4 2 6 3" xfId="1698"/>
    <cellStyle name="Percent 4 2 7" xfId="655"/>
    <cellStyle name="Percent 4 2 7 2" xfId="1992"/>
    <cellStyle name="Percent 4 2 8" xfId="950"/>
    <cellStyle name="Percent 4 2 8 2" xfId="2287"/>
    <cellStyle name="Percent 4 2 9" xfId="1385"/>
    <cellStyle name="Percent 4 3" xfId="78"/>
    <cellStyle name="Percent 4 3 2" xfId="150"/>
    <cellStyle name="Percent 4 3 2 2" xfId="300"/>
    <cellStyle name="Percent 4 3 2 2 2" xfId="620"/>
    <cellStyle name="Percent 4 3 2 2 2 2" xfId="1301"/>
    <cellStyle name="Percent 4 3 2 2 2 2 2" xfId="2635"/>
    <cellStyle name="Percent 4 3 2 2 2 3" xfId="1957"/>
    <cellStyle name="Percent 4 3 2 2 3" xfId="920"/>
    <cellStyle name="Percent 4 3 2 2 3 2" xfId="2257"/>
    <cellStyle name="Percent 4 3 2 2 4" xfId="1107"/>
    <cellStyle name="Percent 4 3 2 2 4 2" xfId="2442"/>
    <cellStyle name="Percent 4 3 2 2 5" xfId="1646"/>
    <cellStyle name="Percent 4 3 2 3" xfId="476"/>
    <cellStyle name="Percent 4 3 2 3 2" xfId="1201"/>
    <cellStyle name="Percent 4 3 2 3 2 2" xfId="2535"/>
    <cellStyle name="Percent 4 3 2 3 3" xfId="1813"/>
    <cellStyle name="Percent 4 3 2 4" xfId="770"/>
    <cellStyle name="Percent 4 3 2 4 2" xfId="2107"/>
    <cellStyle name="Percent 4 3 2 5" xfId="1003"/>
    <cellStyle name="Percent 4 3 2 5 2" xfId="2340"/>
    <cellStyle name="Percent 4 3 2 6" xfId="1500"/>
    <cellStyle name="Percent 4 3 3" xfId="228"/>
    <cellStyle name="Percent 4 3 3 2" xfId="548"/>
    <cellStyle name="Percent 4 3 3 2 2" xfId="1251"/>
    <cellStyle name="Percent 4 3 3 2 2 2" xfId="2585"/>
    <cellStyle name="Percent 4 3 3 2 3" xfId="1885"/>
    <cellStyle name="Percent 4 3 3 3" xfId="848"/>
    <cellStyle name="Percent 4 3 3 3 2" xfId="2185"/>
    <cellStyle name="Percent 4 3 3 4" xfId="1057"/>
    <cellStyle name="Percent 4 3 3 4 2" xfId="2392"/>
    <cellStyle name="Percent 4 3 3 5" xfId="1574"/>
    <cellStyle name="Percent 4 3 4" xfId="404"/>
    <cellStyle name="Percent 4 3 4 2" xfId="1165"/>
    <cellStyle name="Percent 4 3 4 2 2" xfId="2499"/>
    <cellStyle name="Percent 4 3 4 3" xfId="1741"/>
    <cellStyle name="Percent 4 3 5" xfId="698"/>
    <cellStyle name="Percent 4 3 5 2" xfId="2035"/>
    <cellStyle name="Percent 4 3 6" xfId="967"/>
    <cellStyle name="Percent 4 3 6 2" xfId="2304"/>
    <cellStyle name="Percent 4 3 7" xfId="1428"/>
    <cellStyle name="Percent 4 4" xfId="93"/>
    <cellStyle name="Percent 4 4 2" xfId="243"/>
    <cellStyle name="Percent 4 4 2 2" xfId="563"/>
    <cellStyle name="Percent 4 4 2 2 2" xfId="1265"/>
    <cellStyle name="Percent 4 4 2 2 2 2" xfId="2599"/>
    <cellStyle name="Percent 4 4 2 2 3" xfId="1900"/>
    <cellStyle name="Percent 4 4 2 3" xfId="863"/>
    <cellStyle name="Percent 4 4 2 3 2" xfId="2200"/>
    <cellStyle name="Percent 4 4 2 4" xfId="1071"/>
    <cellStyle name="Percent 4 4 2 4 2" xfId="2406"/>
    <cellStyle name="Percent 4 4 2 5" xfId="1589"/>
    <cellStyle name="Percent 4 4 3" xfId="419"/>
    <cellStyle name="Percent 4 4 3 2" xfId="1175"/>
    <cellStyle name="Percent 4 4 3 2 2" xfId="2509"/>
    <cellStyle name="Percent 4 4 3 3" xfId="1756"/>
    <cellStyle name="Percent 4 4 4" xfId="713"/>
    <cellStyle name="Percent 4 4 4 2" xfId="2050"/>
    <cellStyle name="Percent 4 4 5" xfId="977"/>
    <cellStyle name="Percent 4 4 5 2" xfId="2314"/>
    <cellStyle name="Percent 4 4 6" xfId="1443"/>
    <cellStyle name="Percent 4 5" xfId="168"/>
    <cellStyle name="Percent 4 5 2" xfId="491"/>
    <cellStyle name="Percent 4 5 2 2" xfId="1215"/>
    <cellStyle name="Percent 4 5 2 2 2" xfId="2549"/>
    <cellStyle name="Percent 4 5 2 3" xfId="1828"/>
    <cellStyle name="Percent 4 5 3" xfId="788"/>
    <cellStyle name="Percent 4 5 3 2" xfId="2125"/>
    <cellStyle name="Percent 4 5 4" xfId="1019"/>
    <cellStyle name="Percent 4 5 4 2" xfId="2355"/>
    <cellStyle name="Percent 4 5 5" xfId="1516"/>
    <cellStyle name="Percent 4 6" xfId="346"/>
    <cellStyle name="Percent 4 6 2" xfId="1138"/>
    <cellStyle name="Percent 4 6 2 2" xfId="2472"/>
    <cellStyle name="Percent 4 6 3" xfId="1683"/>
    <cellStyle name="Percent 4 7" xfId="640"/>
    <cellStyle name="Percent 4 7 2" xfId="1977"/>
    <cellStyle name="Percent 4 8" xfId="940"/>
    <cellStyle name="Percent 4 8 2" xfId="2277"/>
    <cellStyle name="Percent 4 9" xfId="1370"/>
    <cellStyle name="Percent 5" xfId="152"/>
    <cellStyle name="Percent 5 2" xfId="326"/>
    <cellStyle name="Percent 5 3" xfId="772"/>
    <cellStyle name="Percent 5 3 2" xfId="2109"/>
  </cellStyles>
  <dxfs count="0"/>
  <tableStyles count="0" defaultTableStyle="TableStyleMedium9" defaultPivotStyle="PivotStyleMedium4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KPD%20KOLUT%202006%20NET%20BUANGET\BUKU%201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_2018%20job\Rencana%20Evaluasi%20DAK%20TA%202017\04%20KKE%20aliran%20keuangan%20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MERIKSAAN%20(PS)\LKPD%20TARAKAN%202013\3.%20Pelaporan\KHP\LHP%20Net\Buku%20I%20Kota%20Tarakan%20TA%202013\Kolaka%20Utara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.10%20prog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r KKE"/>
      <sheetName val="KKE link aplikasi"/>
      <sheetName val="Peta DAK"/>
      <sheetName val="KKE 1 Umum"/>
      <sheetName val="KKE 2a"/>
      <sheetName val="KKE 2b"/>
      <sheetName val="KKE 3 Eva Perencanaan"/>
      <sheetName val="Sheet3"/>
      <sheetName val="KKE 4 Eva Salur DAK_Fisik"/>
      <sheetName val="KKE 5 Eva Salur Tamb DAK"/>
      <sheetName val="KKE 6 Uji Salur Tw IV_Tahap II"/>
      <sheetName val="KKE 7a Register SP2D Daerah"/>
      <sheetName val="KKE 7b identifikasi Sisa DAK"/>
      <sheetName val="KKE 8a Kontrak_Swakelola_SP2D"/>
      <sheetName val="KKE 8b Penunjang_SP2D"/>
      <sheetName val="KKE 9 Observasi Fisik"/>
      <sheetName val="KKE 10 Eva Manfaat_Sasaran"/>
      <sheetName val="KKE 11 uji Keselaras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DAK Reguler</v>
          </cell>
          <cell r="G4" t="str">
            <v>Percepatan Infrastruktur Publik Daerah Bidang Jalan</v>
          </cell>
        </row>
        <row r="5">
          <cell r="C5" t="str">
            <v>DAK Penugasan</v>
          </cell>
          <cell r="G5" t="str">
            <v>Percepatan Infrastruktur Publik Daerah Bidang Irigasi</v>
          </cell>
        </row>
        <row r="6">
          <cell r="C6" t="str">
            <v xml:space="preserve">Tambahan DAK </v>
          </cell>
          <cell r="G6" t="str">
            <v>Kesehatan - RS Rujukan dan Pratama</v>
          </cell>
        </row>
        <row r="7">
          <cell r="G7" t="str">
            <v>Kesehatan dan KB</v>
          </cell>
        </row>
        <row r="8">
          <cell r="G8" t="str">
            <v>Jalan</v>
          </cell>
        </row>
        <row r="9">
          <cell r="G9" t="str">
            <v>Irigasi</v>
          </cell>
        </row>
        <row r="11">
          <cell r="G11" t="str">
            <v>Pelayanan Kesehatan Rujukan - Prioritas Daerah</v>
          </cell>
        </row>
        <row r="12">
          <cell r="G12" t="str">
            <v>Prioritas Daerah</v>
          </cell>
        </row>
        <row r="13">
          <cell r="G13" t="str">
            <v>Pelayanan Kesehatan Dasar</v>
          </cell>
        </row>
        <row r="14">
          <cell r="G14" t="str">
            <v>Pendukung Konektivitas</v>
          </cell>
        </row>
        <row r="15">
          <cell r="G15" t="str">
            <v>Pendukung Ketahanan Pangan</v>
          </cell>
        </row>
        <row r="16">
          <cell r="G16" t="str">
            <v>Pelayanan Kesehatan Rujukan - Sarana Pelayanan Rujukan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UDPAR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Program Unggulan"/>
      <sheetName val="APRIL"/>
      <sheetName val="MEI"/>
      <sheetName val="JUNI"/>
      <sheetName val="JULI"/>
      <sheetName val="AGUSTUS"/>
      <sheetName val="SEPTEMBER"/>
      <sheetName val="OKTOBER PERUBAH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G30">
            <v>2373875000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4"/>
  <sheetViews>
    <sheetView view="pageBreakPreview" topLeftCell="A91" zoomScaleNormal="70" zoomScaleSheetLayoutView="100" workbookViewId="0">
      <selection activeCell="H16" sqref="H16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124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2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ht="19.5" customHeight="1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H9/C9*100%</f>
        <v>8.0503816630486148E-3</v>
      </c>
      <c r="E9" s="40">
        <f>E11+E53+E62+E71+E80+E89+E98+E107</f>
        <v>418502331</v>
      </c>
      <c r="F9" s="42">
        <f>E9/C9*100%</f>
        <v>8.0503816630486131E-3</v>
      </c>
      <c r="G9" s="15" t="s">
        <v>1</v>
      </c>
      <c r="H9" s="43">
        <f>H11+H53+H62+H71+H80+H89+H98+H107</f>
        <v>418502331.00000006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9.5" customHeight="1" x14ac:dyDescent="0.25">
      <c r="A11" s="16" t="s">
        <v>110</v>
      </c>
      <c r="B11" s="17" t="s">
        <v>3</v>
      </c>
      <c r="C11" s="48">
        <f>SUM(C12:C51)</f>
        <v>15629071544</v>
      </c>
      <c r="D11" s="49">
        <f>H11/C11*100%</f>
        <v>2.6777171620323351E-2</v>
      </c>
      <c r="E11" s="48">
        <f>SUM(E12:E51)</f>
        <v>418502331</v>
      </c>
      <c r="F11" s="49">
        <f>E11/C11*100%</f>
        <v>2.6777171620323347E-2</v>
      </c>
      <c r="G11" s="18" t="s">
        <v>0</v>
      </c>
      <c r="H11" s="48">
        <f>SUM(H12:H51)</f>
        <v>418502331.00000006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46"/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/>
      <c r="E14" s="92"/>
      <c r="F14" s="58">
        <f>E14/C14*100%</f>
        <v>0</v>
      </c>
      <c r="G14" s="27" t="s">
        <v>33</v>
      </c>
      <c r="H14" s="46">
        <f t="shared" ref="H14:H20" si="0">D14*C14</f>
        <v>0</v>
      </c>
    </row>
    <row r="15" spans="1:10" ht="24" customHeight="1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si="0"/>
        <v>0</v>
      </c>
    </row>
    <row r="16" spans="1:10" ht="29.25" customHeight="1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ht="24" customHeight="1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24" customHeight="1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/>
      <c r="E19" s="92"/>
      <c r="F19" s="58">
        <f>E19/C19*100%</f>
        <v>0</v>
      </c>
      <c r="G19" s="27" t="s">
        <v>33</v>
      </c>
      <c r="H19" s="46">
        <f t="shared" si="0"/>
        <v>0</v>
      </c>
    </row>
    <row r="20" spans="1:8" ht="24" customHeight="1" x14ac:dyDescent="0.25">
      <c r="A20" s="28" t="s">
        <v>123</v>
      </c>
      <c r="B20" s="120" t="s">
        <v>72</v>
      </c>
      <c r="C20" s="109">
        <v>20000000</v>
      </c>
      <c r="D20" s="97"/>
      <c r="E20" s="92"/>
      <c r="F20" s="58">
        <f>E20/C20*100%</f>
        <v>0</v>
      </c>
      <c r="G20" s="27" t="s">
        <v>33</v>
      </c>
      <c r="H20" s="46">
        <f t="shared" si="0"/>
        <v>0</v>
      </c>
    </row>
    <row r="21" spans="1:8" ht="24" customHeight="1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ht="20.25" customHeight="1" x14ac:dyDescent="0.25">
      <c r="A22" s="28" t="s">
        <v>77</v>
      </c>
      <c r="B22" s="28" t="s">
        <v>10</v>
      </c>
      <c r="C22" s="108">
        <v>11713143962</v>
      </c>
      <c r="D22" s="97">
        <f>E22/C22*100%</f>
        <v>3.4246224523608398E-2</v>
      </c>
      <c r="E22" s="100">
        <v>401130958</v>
      </c>
      <c r="F22" s="58">
        <f>E22/C22*100%</f>
        <v>3.4246224523608398E-2</v>
      </c>
      <c r="G22" s="27" t="s">
        <v>33</v>
      </c>
      <c r="H22" s="46">
        <f>D22*C22</f>
        <v>401130958.00000006</v>
      </c>
    </row>
    <row r="23" spans="1:8" ht="30" customHeight="1" x14ac:dyDescent="0.25">
      <c r="A23" s="28" t="s">
        <v>78</v>
      </c>
      <c r="B23" s="28" t="s">
        <v>11</v>
      </c>
      <c r="C23" s="108">
        <v>1853928000</v>
      </c>
      <c r="D23" s="97"/>
      <c r="E23" s="100"/>
      <c r="F23" s="58">
        <f>E23/C23*100%</f>
        <v>0</v>
      </c>
      <c r="G23" s="27" t="s">
        <v>33</v>
      </c>
      <c r="H23" s="46">
        <f>D23*C23</f>
        <v>0</v>
      </c>
    </row>
    <row r="24" spans="1:8" ht="29.25" customHeight="1" x14ac:dyDescent="0.25">
      <c r="A24" s="28" t="s">
        <v>79</v>
      </c>
      <c r="B24" s="28" t="s">
        <v>60</v>
      </c>
      <c r="C24" s="108">
        <v>50000000</v>
      </c>
      <c r="D24" s="97"/>
      <c r="E24" s="100"/>
      <c r="F24" s="58">
        <f>E24/C24*100%</f>
        <v>0</v>
      </c>
      <c r="G24" s="27" t="s">
        <v>33</v>
      </c>
      <c r="H24" s="46">
        <f>D24*C24</f>
        <v>0</v>
      </c>
    </row>
    <row r="25" spans="1:8" ht="24" customHeight="1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24" customHeight="1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/>
      <c r="E30" s="92"/>
      <c r="F30" s="58">
        <f>E30/C30*100%</f>
        <v>0</v>
      </c>
      <c r="G30" s="27" t="s">
        <v>33</v>
      </c>
      <c r="H30" s="46">
        <f t="shared" ref="H30:H36" si="1">D30*C30</f>
        <v>0</v>
      </c>
    </row>
    <row r="31" spans="1:8" ht="30" customHeight="1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1"/>
        <v>0</v>
      </c>
    </row>
    <row r="32" spans="1:8" ht="21" customHeight="1" x14ac:dyDescent="0.25">
      <c r="A32" s="28" t="s">
        <v>86</v>
      </c>
      <c r="B32" s="28" t="s">
        <v>16</v>
      </c>
      <c r="C32" s="108">
        <v>6708000</v>
      </c>
      <c r="D32" s="97"/>
      <c r="E32" s="92"/>
      <c r="F32" s="58">
        <f>E32/C32*100%</f>
        <v>0</v>
      </c>
      <c r="G32" s="27" t="s">
        <v>33</v>
      </c>
      <c r="H32" s="46">
        <f t="shared" si="1"/>
        <v>0</v>
      </c>
    </row>
    <row r="33" spans="1:10" ht="30" customHeight="1" x14ac:dyDescent="0.25">
      <c r="A33" s="28" t="s">
        <v>87</v>
      </c>
      <c r="B33" s="28" t="s">
        <v>17</v>
      </c>
      <c r="C33" s="108">
        <v>62599600</v>
      </c>
      <c r="D33" s="97"/>
      <c r="E33" s="92"/>
      <c r="F33" s="58">
        <f>E33/C33*100%</f>
        <v>0</v>
      </c>
      <c r="G33" s="27" t="s">
        <v>33</v>
      </c>
      <c r="H33" s="46">
        <f t="shared" si="1"/>
        <v>0</v>
      </c>
    </row>
    <row r="34" spans="1:10" ht="30" customHeight="1" x14ac:dyDescent="0.25">
      <c r="A34" s="28" t="s">
        <v>122</v>
      </c>
      <c r="B34" s="106" t="s">
        <v>62</v>
      </c>
      <c r="C34" s="109">
        <v>3000000</v>
      </c>
      <c r="D34" s="97"/>
      <c r="E34" s="92"/>
      <c r="F34" s="58">
        <f>E34/C34*100%</f>
        <v>0</v>
      </c>
      <c r="G34" s="27" t="s">
        <v>33</v>
      </c>
      <c r="H34" s="46">
        <f t="shared" si="1"/>
        <v>0</v>
      </c>
    </row>
    <row r="35" spans="1:10" ht="30" customHeight="1" x14ac:dyDescent="0.25">
      <c r="A35" s="25" t="s">
        <v>125</v>
      </c>
      <c r="B35" s="106" t="s">
        <v>69</v>
      </c>
      <c r="C35" s="109">
        <v>12000000</v>
      </c>
      <c r="D35" s="97"/>
      <c r="E35" s="92"/>
      <c r="F35" s="58">
        <f>E35/C35*100%</f>
        <v>0</v>
      </c>
      <c r="G35" s="27" t="s">
        <v>33</v>
      </c>
      <c r="H35" s="46">
        <f t="shared" si="1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/>
      <c r="E36" s="92"/>
      <c r="F36" s="58">
        <f>E36/C36*100%</f>
        <v>0</v>
      </c>
      <c r="G36" s="27" t="s">
        <v>33</v>
      </c>
      <c r="H36" s="46">
        <f t="shared" si="1"/>
        <v>0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ht="22.5" customHeight="1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7.3183451820489326E-2</v>
      </c>
      <c r="E42" s="100">
        <v>17371373</v>
      </c>
      <c r="F42" s="58">
        <f>E42/C42*100%</f>
        <v>7.3183451820489326E-2</v>
      </c>
      <c r="G42" s="27" t="s">
        <v>33</v>
      </c>
      <c r="H42" s="46">
        <f>D42*C42</f>
        <v>17371373</v>
      </c>
      <c r="J42" s="85" t="s">
        <v>112</v>
      </c>
    </row>
    <row r="43" spans="1:10" ht="20.25" customHeight="1" x14ac:dyDescent="0.25">
      <c r="A43" s="28" t="s">
        <v>93</v>
      </c>
      <c r="B43" s="28" t="s">
        <v>20</v>
      </c>
      <c r="C43" s="108">
        <v>20000000</v>
      </c>
      <c r="D43" s="97"/>
      <c r="E43" s="91"/>
      <c r="F43" s="58">
        <f>E43/C43*100%</f>
        <v>0</v>
      </c>
      <c r="G43" s="27" t="s">
        <v>33</v>
      </c>
      <c r="H43" s="46">
        <f>D43*C43</f>
        <v>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45" customHeight="1" x14ac:dyDescent="0.25">
      <c r="A45" s="25" t="s">
        <v>107</v>
      </c>
      <c r="B45" s="28" t="s">
        <v>132</v>
      </c>
      <c r="C45" s="108">
        <v>151843982</v>
      </c>
      <c r="D45" s="97"/>
      <c r="E45" s="92"/>
      <c r="F45" s="58">
        <f>E45/C45*100%</f>
        <v>0</v>
      </c>
      <c r="G45" s="27" t="s">
        <v>33</v>
      </c>
      <c r="H45" s="46">
        <f>D45*C45</f>
        <v>0</v>
      </c>
    </row>
    <row r="46" spans="1:10" ht="22.5" customHeight="1" x14ac:dyDescent="0.25">
      <c r="A46" s="25" t="s">
        <v>95</v>
      </c>
      <c r="B46" s="106" t="s">
        <v>66</v>
      </c>
      <c r="C46" s="109">
        <v>30280000</v>
      </c>
      <c r="D46" s="97"/>
      <c r="E46" s="92"/>
      <c r="F46" s="58">
        <f>E46/C46*100%</f>
        <v>0</v>
      </c>
      <c r="G46" s="27" t="s">
        <v>33</v>
      </c>
      <c r="H46" s="46">
        <f>D46*C46</f>
        <v>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/>
      <c r="E47" s="92"/>
      <c r="F47" s="58">
        <f>E47/C47*100%</f>
        <v>0</v>
      </c>
      <c r="G47" s="27" t="s">
        <v>33</v>
      </c>
      <c r="H47" s="46">
        <f>D47*C47</f>
        <v>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/>
      <c r="E48" s="92"/>
      <c r="F48" s="58">
        <f>E48/C48*100%</f>
        <v>0</v>
      </c>
      <c r="G48" s="27" t="s">
        <v>33</v>
      </c>
      <c r="H48" s="46">
        <f>D48*C48</f>
        <v>0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/>
      <c r="E51" s="90"/>
      <c r="F51" s="58">
        <f>E51/C51*100%</f>
        <v>0</v>
      </c>
      <c r="G51" s="27" t="s">
        <v>33</v>
      </c>
      <c r="H51" s="46">
        <f>D51*C51</f>
        <v>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H53/C53</f>
        <v>0</v>
      </c>
      <c r="E53" s="63">
        <f>SUM(E54:E60)</f>
        <v>0</v>
      </c>
      <c r="F53" s="49">
        <f>E53/C53*100%</f>
        <v>0</v>
      </c>
      <c r="G53" s="18" t="s">
        <v>0</v>
      </c>
      <c r="H53" s="63">
        <f>SUM(H54:H60)</f>
        <v>0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/>
      <c r="E56" s="92"/>
      <c r="F56" s="58">
        <f>E56/C56*100%</f>
        <v>0</v>
      </c>
      <c r="G56" s="27" t="s">
        <v>33</v>
      </c>
      <c r="H56" s="46">
        <f>D56*C56</f>
        <v>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ht="29.25" customHeight="1" x14ac:dyDescent="0.25">
      <c r="A59" s="28" t="s">
        <v>104</v>
      </c>
      <c r="B59" s="28" t="s">
        <v>40</v>
      </c>
      <c r="C59" s="108">
        <v>2975640000</v>
      </c>
      <c r="D59" s="97"/>
      <c r="E59" s="92"/>
      <c r="F59" s="58">
        <f>E59/C59*100%</f>
        <v>0</v>
      </c>
      <c r="G59" s="27" t="s">
        <v>33</v>
      </c>
      <c r="H59" s="46">
        <f>D59*C59</f>
        <v>0</v>
      </c>
    </row>
    <row r="60" spans="1:10" ht="21" customHeight="1" x14ac:dyDescent="0.25">
      <c r="A60" s="28" t="s">
        <v>105</v>
      </c>
      <c r="B60" s="28" t="s">
        <v>41</v>
      </c>
      <c r="C60" s="108">
        <v>1803960912</v>
      </c>
      <c r="D60" s="97"/>
      <c r="E60" s="92"/>
      <c r="F60" s="58">
        <f>E60/C60*100%</f>
        <v>0</v>
      </c>
      <c r="G60" s="27" t="s">
        <v>33</v>
      </c>
      <c r="H60" s="46">
        <f>D60*C60</f>
        <v>0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0</v>
      </c>
      <c r="E62" s="63">
        <f>SUM(E63:E69)</f>
        <v>0</v>
      </c>
      <c r="F62" s="49">
        <f>E62/C62*100%</f>
        <v>0</v>
      </c>
      <c r="G62" s="18" t="s">
        <v>0</v>
      </c>
      <c r="H62" s="63">
        <f>SUM(H63:H70)</f>
        <v>0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/>
      <c r="E65" s="92"/>
      <c r="F65" s="58">
        <f>E65/C65*100%</f>
        <v>0</v>
      </c>
      <c r="G65" s="27" t="s">
        <v>33</v>
      </c>
      <c r="H65" s="46">
        <f>D65*C65</f>
        <v>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ht="24" customHeight="1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ht="32.25" customHeight="1" x14ac:dyDescent="0.25">
      <c r="A68" s="28" t="s">
        <v>104</v>
      </c>
      <c r="B68" s="28" t="s">
        <v>40</v>
      </c>
      <c r="C68" s="108">
        <v>2695640000</v>
      </c>
      <c r="D68" s="97"/>
      <c r="E68" s="92"/>
      <c r="F68" s="58">
        <f>E68/C68*100%</f>
        <v>0</v>
      </c>
      <c r="G68" s="27" t="s">
        <v>33</v>
      </c>
      <c r="H68" s="46">
        <f>D68*C68</f>
        <v>0</v>
      </c>
    </row>
    <row r="69" spans="1:8" ht="21" customHeight="1" x14ac:dyDescent="0.25">
      <c r="A69" s="28" t="s">
        <v>105</v>
      </c>
      <c r="B69" s="28" t="s">
        <v>41</v>
      </c>
      <c r="C69" s="108">
        <v>1635097968</v>
      </c>
      <c r="D69" s="97"/>
      <c r="E69" s="92"/>
      <c r="F69" s="58">
        <f>E69/C69*100%</f>
        <v>0</v>
      </c>
      <c r="G69" s="27" t="s">
        <v>33</v>
      </c>
      <c r="H69" s="46">
        <f>D69*C69</f>
        <v>0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0</v>
      </c>
      <c r="E71" s="63">
        <f>SUM(E72:E78)</f>
        <v>0</v>
      </c>
      <c r="F71" s="49">
        <f>E71/C71*100%</f>
        <v>0</v>
      </c>
      <c r="G71" s="18" t="s">
        <v>0</v>
      </c>
      <c r="H71" s="63">
        <f>SUM(H72:H78)</f>
        <v>0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/>
      <c r="E74" s="92"/>
      <c r="F74" s="58">
        <f>E74/C74*100%</f>
        <v>0</v>
      </c>
      <c r="G74" s="27" t="s">
        <v>33</v>
      </c>
      <c r="H74" s="46">
        <f>D74*C74</f>
        <v>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ht="24" customHeight="1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ht="30" customHeight="1" x14ac:dyDescent="0.25">
      <c r="A77" s="28" t="s">
        <v>104</v>
      </c>
      <c r="B77" s="28" t="s">
        <v>40</v>
      </c>
      <c r="C77" s="108">
        <v>2905640000</v>
      </c>
      <c r="D77" s="97"/>
      <c r="E77" s="92"/>
      <c r="F77" s="58">
        <f>E77/C77*100%</f>
        <v>0</v>
      </c>
      <c r="G77" s="27" t="s">
        <v>33</v>
      </c>
      <c r="H77" s="46">
        <f>D77*C77</f>
        <v>0</v>
      </c>
    </row>
    <row r="78" spans="1:8" ht="21" customHeight="1" x14ac:dyDescent="0.25">
      <c r="A78" s="28" t="s">
        <v>105</v>
      </c>
      <c r="B78" s="28" t="s">
        <v>41</v>
      </c>
      <c r="C78" s="108">
        <v>1761745176</v>
      </c>
      <c r="D78" s="97"/>
      <c r="E78" s="92"/>
      <c r="F78" s="58">
        <f>E78/C78*100%</f>
        <v>0</v>
      </c>
      <c r="G78" s="27" t="s">
        <v>33</v>
      </c>
      <c r="H78" s="46">
        <f>D78*C78</f>
        <v>0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0</v>
      </c>
      <c r="E80" s="63">
        <f>SUM(E81:E87)</f>
        <v>0</v>
      </c>
      <c r="F80" s="49">
        <f>E80/C80*100%</f>
        <v>0</v>
      </c>
      <c r="G80" s="18" t="s">
        <v>0</v>
      </c>
      <c r="H80" s="63">
        <f>SUM(H81:H87)</f>
        <v>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/>
      <c r="E83" s="92"/>
      <c r="F83" s="58">
        <f>E83/C83*100%</f>
        <v>0</v>
      </c>
      <c r="G83" s="27" t="s">
        <v>33</v>
      </c>
      <c r="H83" s="46">
        <f>D83*C83</f>
        <v>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ht="24" customHeight="1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ht="27.75" customHeight="1" x14ac:dyDescent="0.25">
      <c r="A86" s="28" t="s">
        <v>104</v>
      </c>
      <c r="B86" s="28" t="s">
        <v>40</v>
      </c>
      <c r="C86" s="108">
        <v>2480900000</v>
      </c>
      <c r="D86" s="97"/>
      <c r="E86" s="92"/>
      <c r="F86" s="58">
        <f>E86/C86*100%</f>
        <v>0</v>
      </c>
      <c r="G86" s="27" t="s">
        <v>33</v>
      </c>
      <c r="H86" s="46">
        <f>D86*C86</f>
        <v>0</v>
      </c>
    </row>
    <row r="87" spans="1:10" ht="21" customHeight="1" x14ac:dyDescent="0.25">
      <c r="A87" s="28" t="s">
        <v>105</v>
      </c>
      <c r="B87" s="28" t="s">
        <v>41</v>
      </c>
      <c r="C87" s="108">
        <v>1508450760</v>
      </c>
      <c r="D87" s="97"/>
      <c r="E87" s="92"/>
      <c r="F87" s="58">
        <f>E87/C87*100%</f>
        <v>0</v>
      </c>
      <c r="G87" s="27" t="s">
        <v>33</v>
      </c>
      <c r="H87" s="46">
        <f>D87*C87</f>
        <v>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0</v>
      </c>
      <c r="E89" s="63">
        <f>SUM(E90:E96)</f>
        <v>0</v>
      </c>
      <c r="F89" s="49">
        <f>E89/C89*100%</f>
        <v>0</v>
      </c>
      <c r="G89" s="18" t="s">
        <v>0</v>
      </c>
      <c r="H89" s="63">
        <f>SUM(H90:H96)</f>
        <v>0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/>
      <c r="E92" s="92"/>
      <c r="F92" s="58">
        <f>E92/C92*100%</f>
        <v>0</v>
      </c>
      <c r="G92" s="27" t="s">
        <v>33</v>
      </c>
      <c r="H92" s="46">
        <f>D92*C92</f>
        <v>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24" customHeight="1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ht="30" customHeight="1" x14ac:dyDescent="0.25">
      <c r="A95" s="28" t="s">
        <v>104</v>
      </c>
      <c r="B95" s="28" t="s">
        <v>40</v>
      </c>
      <c r="C95" s="108">
        <v>3395640000</v>
      </c>
      <c r="D95" s="97"/>
      <c r="E95" s="92"/>
      <c r="F95" s="58">
        <f>E95/C95*100%</f>
        <v>0</v>
      </c>
      <c r="G95" s="27" t="s">
        <v>33</v>
      </c>
      <c r="H95" s="46">
        <f>D95*C95</f>
        <v>0</v>
      </c>
    </row>
    <row r="96" spans="1:10" ht="21" customHeight="1" x14ac:dyDescent="0.25">
      <c r="A96" s="28" t="s">
        <v>105</v>
      </c>
      <c r="B96" s="28" t="s">
        <v>41</v>
      </c>
      <c r="C96" s="108">
        <v>2057255328</v>
      </c>
      <c r="D96" s="97"/>
      <c r="E96" s="92"/>
      <c r="F96" s="58">
        <f>E96/C96*100%</f>
        <v>0</v>
      </c>
      <c r="G96" s="27" t="s">
        <v>33</v>
      </c>
      <c r="H96" s="46">
        <f>D96*C96</f>
        <v>0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0</v>
      </c>
      <c r="E98" s="63">
        <f>SUM(E99:E105)</f>
        <v>0</v>
      </c>
      <c r="F98" s="49">
        <f>E98/C98*100%</f>
        <v>0</v>
      </c>
      <c r="G98" s="18" t="s">
        <v>0</v>
      </c>
      <c r="H98" s="63">
        <f>SUM(H99:H105)</f>
        <v>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/>
      <c r="E101" s="92"/>
      <c r="F101" s="58">
        <f>E101/C101*100%</f>
        <v>0</v>
      </c>
      <c r="G101" s="27" t="s">
        <v>33</v>
      </c>
      <c r="H101" s="46">
        <f>D101*C101</f>
        <v>0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ht="24" customHeight="1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ht="30.75" customHeight="1" x14ac:dyDescent="0.25">
      <c r="A104" s="28" t="s">
        <v>104</v>
      </c>
      <c r="B104" s="28" t="s">
        <v>40</v>
      </c>
      <c r="C104" s="108">
        <v>1430900000</v>
      </c>
      <c r="D104" s="97"/>
      <c r="E104" s="92"/>
      <c r="F104" s="58">
        <f>E104/C104*100%</f>
        <v>0</v>
      </c>
      <c r="G104" s="27" t="s">
        <v>33</v>
      </c>
      <c r="H104" s="46">
        <f>D104*C104</f>
        <v>0</v>
      </c>
    </row>
    <row r="105" spans="1:8" ht="21" customHeight="1" x14ac:dyDescent="0.25">
      <c r="A105" s="28" t="s">
        <v>105</v>
      </c>
      <c r="B105" s="28" t="s">
        <v>41</v>
      </c>
      <c r="C105" s="108">
        <v>870474720</v>
      </c>
      <c r="D105" s="97"/>
      <c r="E105" s="92"/>
      <c r="F105" s="58">
        <f>E105/C105*100%</f>
        <v>0</v>
      </c>
      <c r="G105" s="27" t="s">
        <v>33</v>
      </c>
      <c r="H105" s="46">
        <f>D105*C105</f>
        <v>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0</v>
      </c>
      <c r="E107" s="63">
        <f>SUM(E108:E114)</f>
        <v>0</v>
      </c>
      <c r="F107" s="49">
        <f>E107/C107*100%</f>
        <v>0</v>
      </c>
      <c r="G107" s="18" t="s">
        <v>0</v>
      </c>
      <c r="H107" s="63">
        <f>SUM(H108:H114)</f>
        <v>0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57"/>
      <c r="E110" s="89"/>
      <c r="F110" s="58">
        <f>E110/C110*100%</f>
        <v>0</v>
      </c>
      <c r="G110" s="27" t="s">
        <v>33</v>
      </c>
      <c r="H110" s="46">
        <f>D110*C110</f>
        <v>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ht="24" customHeight="1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ht="30.75" customHeight="1" x14ac:dyDescent="0.25">
      <c r="A113" s="28" t="s">
        <v>104</v>
      </c>
      <c r="B113" s="28" t="s">
        <v>40</v>
      </c>
      <c r="C113" s="108">
        <v>5850440000</v>
      </c>
      <c r="D113" s="97"/>
      <c r="E113" s="92"/>
      <c r="F113" s="58">
        <f>E113/C113*100%</f>
        <v>0</v>
      </c>
      <c r="G113" s="27" t="s">
        <v>33</v>
      </c>
      <c r="H113" s="46">
        <f>D113*C113</f>
        <v>0</v>
      </c>
    </row>
    <row r="114" spans="1:8" ht="21" customHeight="1" x14ac:dyDescent="0.25">
      <c r="A114" s="28" t="s">
        <v>105</v>
      </c>
      <c r="B114" s="28" t="s">
        <v>41</v>
      </c>
      <c r="C114" s="108">
        <v>3539546088</v>
      </c>
      <c r="D114" s="57"/>
      <c r="E114" s="89"/>
      <c r="F114" s="58">
        <f>E114/C114*100%</f>
        <v>0</v>
      </c>
      <c r="G114" s="27" t="s">
        <v>33</v>
      </c>
      <c r="H114" s="46">
        <f>D114*C114</f>
        <v>0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Januari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2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2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H130/C130*100%</f>
        <v>8.0503816630486148E-3</v>
      </c>
      <c r="E130" s="74">
        <f>E132+E144+E150+E156+E162+E168+E174+E180</f>
        <v>418502331</v>
      </c>
      <c r="F130" s="42">
        <f>E130/C130*100%</f>
        <v>8.0503816630486131E-3</v>
      </c>
      <c r="G130" s="15" t="s">
        <v>1</v>
      </c>
      <c r="H130" s="43">
        <f>H132+H144+H150+H156+H162+H168+H174+H180</f>
        <v>418502331.00000006</v>
      </c>
      <c r="K130" s="47">
        <f>C130-C9</f>
        <v>0</v>
      </c>
      <c r="L130" s="47" t="e">
        <f>#REF!-#REF!</f>
        <v>#REF!</v>
      </c>
      <c r="M130" s="47">
        <f t="shared" ref="M130" si="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2.6777171620323351E-2</v>
      </c>
      <c r="E132" s="48">
        <f>SUM(E133:E142)</f>
        <v>418502331</v>
      </c>
      <c r="F132" s="49">
        <f>E132/C132*100%</f>
        <v>2.6777171620323347E-2</v>
      </c>
      <c r="G132" s="18" t="s">
        <v>0</v>
      </c>
      <c r="H132" s="48">
        <f>SUM(H133:H142)</f>
        <v>418502331.00000006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</v>
      </c>
      <c r="E134" s="37">
        <f>SUM(E14:E20)</f>
        <v>0</v>
      </c>
      <c r="F134" s="58">
        <f>E134/C134*100%</f>
        <v>0</v>
      </c>
      <c r="G134" s="27" t="s">
        <v>61</v>
      </c>
      <c r="H134" s="37">
        <f>SUM(H14:H20)</f>
        <v>0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3">H135/C135*100%</f>
        <v>2.945794507948566E-2</v>
      </c>
      <c r="E135" s="77">
        <f>SUM(E22:E24)</f>
        <v>401130958</v>
      </c>
      <c r="F135" s="58">
        <f t="shared" ref="F135:F142" si="4">E135/C135*100%</f>
        <v>2.9457945079485657E-2</v>
      </c>
      <c r="G135" s="27" t="s">
        <v>61</v>
      </c>
      <c r="H135" s="77">
        <f>SUM(H22:H24)</f>
        <v>401130958.00000006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3"/>
        <v>0</v>
      </c>
      <c r="E137" s="77">
        <f>SUM(E30:E36)</f>
        <v>0</v>
      </c>
      <c r="F137" s="58">
        <f t="shared" si="4"/>
        <v>0</v>
      </c>
      <c r="G137" s="27" t="s">
        <v>61</v>
      </c>
      <c r="H137" s="77">
        <f>SUM(H30:H36)</f>
        <v>0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3"/>
        <v>6.749637386227865E-2</v>
      </c>
      <c r="E139" s="77">
        <f>SUM(E42:E43)</f>
        <v>17371373</v>
      </c>
      <c r="F139" s="58">
        <f t="shared" si="4"/>
        <v>6.749637386227865E-2</v>
      </c>
      <c r="G139" s="27" t="s">
        <v>61</v>
      </c>
      <c r="H139" s="77">
        <f>SUM(H42:H43)</f>
        <v>17371373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3"/>
        <v>0</v>
      </c>
      <c r="E140" s="77">
        <f>SUM(E45:E48)</f>
        <v>0</v>
      </c>
      <c r="F140" s="58">
        <f t="shared" si="4"/>
        <v>0</v>
      </c>
      <c r="G140" s="27" t="s">
        <v>61</v>
      </c>
      <c r="H140" s="77">
        <f>SUM(H45:H48)</f>
        <v>0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3"/>
        <v>0</v>
      </c>
      <c r="E142" s="77">
        <f>SUM(E51)</f>
        <v>0</v>
      </c>
      <c r="F142" s="58">
        <f t="shared" si="4"/>
        <v>0</v>
      </c>
      <c r="G142" s="27" t="s">
        <v>61</v>
      </c>
      <c r="H142" s="77">
        <f>SUM(H51)</f>
        <v>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0</v>
      </c>
      <c r="E144" s="48">
        <f>SUM(E145:E148)</f>
        <v>0</v>
      </c>
      <c r="F144" s="49">
        <f>E144/C144*100%</f>
        <v>0</v>
      </c>
      <c r="G144" s="18" t="s">
        <v>0</v>
      </c>
      <c r="H144" s="48">
        <f>SUM(H145:H148)</f>
        <v>0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</v>
      </c>
      <c r="E146" s="37">
        <f>SUM(E56)</f>
        <v>0</v>
      </c>
      <c r="F146" s="58">
        <f>E146/C146*100%</f>
        <v>0</v>
      </c>
      <c r="G146" s="27" t="s">
        <v>61</v>
      </c>
      <c r="H146" s="37">
        <f>SUM(H56)</f>
        <v>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</v>
      </c>
      <c r="E148" s="77">
        <f>SUM(E59:E60)</f>
        <v>0</v>
      </c>
      <c r="F148" s="58">
        <f>E148/C148*100%</f>
        <v>0</v>
      </c>
      <c r="G148" s="27" t="s">
        <v>61</v>
      </c>
      <c r="H148" s="77">
        <f>SUM(H59:H60)</f>
        <v>0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0</v>
      </c>
      <c r="E150" s="48">
        <f>SUM(E151:E154)</f>
        <v>0</v>
      </c>
      <c r="F150" s="49">
        <f>E150/C150*100%</f>
        <v>0</v>
      </c>
      <c r="G150" s="18" t="s">
        <v>0</v>
      </c>
      <c r="H150" s="48">
        <f>SUM(H151:H154)</f>
        <v>0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</v>
      </c>
      <c r="E152" s="37">
        <f>SUM(E65)</f>
        <v>0</v>
      </c>
      <c r="F152" s="58">
        <f>E152/C152*100%</f>
        <v>0</v>
      </c>
      <c r="G152" s="27" t="s">
        <v>61</v>
      </c>
      <c r="H152" s="37">
        <f>SUM(H65)</f>
        <v>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</v>
      </c>
      <c r="E154" s="77">
        <f>SUM(E68:E69)</f>
        <v>0</v>
      </c>
      <c r="F154" s="58">
        <f>E154/C154*100%</f>
        <v>0</v>
      </c>
      <c r="G154" s="27" t="s">
        <v>61</v>
      </c>
      <c r="H154" s="77">
        <f>SUM(H68:H69)</f>
        <v>0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0</v>
      </c>
      <c r="E156" s="48">
        <f>SUM(E157:E160)</f>
        <v>0</v>
      </c>
      <c r="F156" s="49">
        <f>E156/C156*100%</f>
        <v>0</v>
      </c>
      <c r="G156" s="18" t="s">
        <v>0</v>
      </c>
      <c r="H156" s="48">
        <f>SUM(H157:H160)</f>
        <v>0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</v>
      </c>
      <c r="E158" s="37">
        <f>SUM(E74)</f>
        <v>0</v>
      </c>
      <c r="F158" s="58">
        <f>E158/C158*100%</f>
        <v>0</v>
      </c>
      <c r="G158" s="27" t="s">
        <v>61</v>
      </c>
      <c r="H158" s="37">
        <f>SUM(H74)</f>
        <v>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0</v>
      </c>
      <c r="E160" s="77">
        <f>SUM(E77:E78)</f>
        <v>0</v>
      </c>
      <c r="F160" s="58">
        <f>E160/C160*100%</f>
        <v>0</v>
      </c>
      <c r="G160" s="27" t="s">
        <v>61</v>
      </c>
      <c r="H160" s="77">
        <f>SUM(H77:H78)</f>
        <v>0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0</v>
      </c>
      <c r="E162" s="48">
        <f>SUM(E163:E166)</f>
        <v>0</v>
      </c>
      <c r="F162" s="49">
        <f>E162/C162*100%</f>
        <v>0</v>
      </c>
      <c r="G162" s="18" t="s">
        <v>0</v>
      </c>
      <c r="H162" s="48">
        <f>SUM(H163:H166)</f>
        <v>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0</v>
      </c>
      <c r="E164" s="37">
        <f>SUM(E83)</f>
        <v>0</v>
      </c>
      <c r="F164" s="58">
        <f>E164/C164*100%</f>
        <v>0</v>
      </c>
      <c r="G164" s="27" t="s">
        <v>61</v>
      </c>
      <c r="H164" s="37">
        <f>SUM(H83)</f>
        <v>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</v>
      </c>
      <c r="E166" s="77">
        <f>SUM(E86:E87)</f>
        <v>0</v>
      </c>
      <c r="F166" s="58">
        <f>E166/C166*100%</f>
        <v>0</v>
      </c>
      <c r="G166" s="27" t="s">
        <v>61</v>
      </c>
      <c r="H166" s="77">
        <f>SUM(H86:H87)</f>
        <v>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0</v>
      </c>
      <c r="E168" s="48">
        <f>SUM(E169:E172)</f>
        <v>0</v>
      </c>
      <c r="F168" s="49">
        <f>E168/C168*100%</f>
        <v>0</v>
      </c>
      <c r="G168" s="18" t="s">
        <v>0</v>
      </c>
      <c r="H168" s="48">
        <f>SUM(H169:H172)</f>
        <v>0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</v>
      </c>
      <c r="E170" s="37">
        <f>SUM(E92)</f>
        <v>0</v>
      </c>
      <c r="F170" s="58">
        <f>E170/C170*100%</f>
        <v>0</v>
      </c>
      <c r="G170" s="27" t="s">
        <v>61</v>
      </c>
      <c r="H170" s="37">
        <f>SUM(H92)</f>
        <v>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0</v>
      </c>
      <c r="E172" s="77">
        <f>SUM(E95:E96)</f>
        <v>0</v>
      </c>
      <c r="F172" s="58">
        <f>E172/C172*100%</f>
        <v>0</v>
      </c>
      <c r="G172" s="27" t="s">
        <v>61</v>
      </c>
      <c r="H172" s="77">
        <f>SUM(H95:H96)</f>
        <v>0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0</v>
      </c>
      <c r="E174" s="48">
        <f>SUM(E175:E178)</f>
        <v>0</v>
      </c>
      <c r="F174" s="49">
        <f>E174/C174*100%</f>
        <v>0</v>
      </c>
      <c r="G174" s="18" t="s">
        <v>0</v>
      </c>
      <c r="H174" s="48">
        <f>SUM(H175:H178)</f>
        <v>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</v>
      </c>
      <c r="E176" s="37">
        <f>SUM(E101)</f>
        <v>0</v>
      </c>
      <c r="F176" s="58">
        <f>E176/C176*100%</f>
        <v>0</v>
      </c>
      <c r="G176" s="27" t="s">
        <v>61</v>
      </c>
      <c r="H176" s="37">
        <f>SUM(H101)</f>
        <v>0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</v>
      </c>
      <c r="E178" s="77">
        <f>SUM(E104:E105)</f>
        <v>0</v>
      </c>
      <c r="F178" s="58">
        <f>E178/C178*100%</f>
        <v>0</v>
      </c>
      <c r="G178" s="27" t="s">
        <v>61</v>
      </c>
      <c r="H178" s="77">
        <f>SUM(H104:H105)</f>
        <v>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0</v>
      </c>
      <c r="E180" s="48">
        <f>SUM(E181:E184)</f>
        <v>0</v>
      </c>
      <c r="F180" s="49">
        <f>E180/C180*100%</f>
        <v>0</v>
      </c>
      <c r="G180" s="18" t="s">
        <v>0</v>
      </c>
      <c r="H180" s="48">
        <f>SUM(H181:H184)</f>
        <v>0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</v>
      </c>
      <c r="E182" s="37">
        <f>SUM(E110)</f>
        <v>0</v>
      </c>
      <c r="F182" s="58">
        <f>E182/C182*100%</f>
        <v>0</v>
      </c>
      <c r="G182" s="27" t="s">
        <v>61</v>
      </c>
      <c r="H182" s="37">
        <f>SUM(H110)</f>
        <v>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0</v>
      </c>
      <c r="E184" s="77">
        <f>SUM(E112:E114)</f>
        <v>0</v>
      </c>
      <c r="F184" s="58">
        <f>E184/C184*100%</f>
        <v>0</v>
      </c>
      <c r="G184" s="27" t="s">
        <v>61</v>
      </c>
      <c r="H184" s="77">
        <f>SUM(H112:H114)</f>
        <v>0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Januari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2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2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8.0503816630486148E-3</v>
      </c>
      <c r="E196" s="74">
        <f>E198+E202+E206+E210+E214+E218+E222+E226</f>
        <v>418502331</v>
      </c>
      <c r="F196" s="42">
        <f>E196/C196*100%</f>
        <v>8.0503816630486131E-3</v>
      </c>
      <c r="G196" s="15" t="s">
        <v>1</v>
      </c>
      <c r="H196" s="43">
        <f>H198+H202+H206+H210+H214+H218+H222+H226</f>
        <v>418502331.00000006</v>
      </c>
      <c r="K196" s="47">
        <f>C196-C130</f>
        <v>0</v>
      </c>
      <c r="L196" s="47" t="e">
        <f>#REF!-#REF!</f>
        <v>#REF!</v>
      </c>
      <c r="M196" s="47">
        <f t="shared" ref="M196:N196" si="5">D196-D130</f>
        <v>0</v>
      </c>
      <c r="N196" s="47">
        <f t="shared" si="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2.6777171620323351E-2</v>
      </c>
      <c r="E198" s="48">
        <f>SUM(E199:E200)</f>
        <v>418502331</v>
      </c>
      <c r="F198" s="49">
        <f>E198/C198*100%</f>
        <v>2.6777171620323347E-2</v>
      </c>
      <c r="G198" s="18" t="s">
        <v>0</v>
      </c>
      <c r="H198" s="48">
        <f>SUM(H199:H200)</f>
        <v>418502331.00000006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2.8748521304515121E-2</v>
      </c>
      <c r="E199" s="37">
        <f>SUM(E134:E140)</f>
        <v>418502331</v>
      </c>
      <c r="F199" s="58">
        <f>E199/C199*100%</f>
        <v>2.8748521304515114E-2</v>
      </c>
      <c r="G199" s="27" t="s">
        <v>32</v>
      </c>
      <c r="H199" s="37">
        <f>SUM(H134:H140)</f>
        <v>418502331.00000006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0</v>
      </c>
      <c r="E200" s="77">
        <f>SUM(E142)</f>
        <v>0</v>
      </c>
      <c r="F200" s="58">
        <f>E200/C200*100%</f>
        <v>0</v>
      </c>
      <c r="G200" s="27" t="s">
        <v>32</v>
      </c>
      <c r="H200" s="77">
        <f>SUM(H142)</f>
        <v>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0</v>
      </c>
      <c r="E202" s="88">
        <f>SUM(E203:E204)</f>
        <v>0</v>
      </c>
      <c r="F202" s="49">
        <f>E202/C202*100%</f>
        <v>0</v>
      </c>
      <c r="G202" s="18" t="s">
        <v>0</v>
      </c>
      <c r="H202" s="43">
        <f>SUM(H203:H204)</f>
        <v>0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</v>
      </c>
      <c r="E203" s="37">
        <f>SUM(E146)</f>
        <v>0</v>
      </c>
      <c r="F203" s="58">
        <f>E203/C203*100%</f>
        <v>0</v>
      </c>
      <c r="G203" s="27" t="s">
        <v>32</v>
      </c>
      <c r="H203" s="37">
        <f>SUM(H146)</f>
        <v>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</v>
      </c>
      <c r="E204" s="77">
        <f>SUM(E148:E148)</f>
        <v>0</v>
      </c>
      <c r="F204" s="58">
        <f>E204/C204*100%</f>
        <v>0</v>
      </c>
      <c r="G204" s="27" t="s">
        <v>32</v>
      </c>
      <c r="H204" s="77">
        <f>SUM(H148:H148)</f>
        <v>0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0</v>
      </c>
      <c r="E206" s="88">
        <f>SUM(E207:E209)</f>
        <v>0</v>
      </c>
      <c r="F206" s="49">
        <f>E206/C206*100%</f>
        <v>0</v>
      </c>
      <c r="G206" s="18" t="s">
        <v>0</v>
      </c>
      <c r="H206" s="43">
        <f>SUM(H207:H209)</f>
        <v>0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</v>
      </c>
      <c r="E207" s="37">
        <f>SUM(E152)</f>
        <v>0</v>
      </c>
      <c r="F207" s="58">
        <f>E207/C207*100%</f>
        <v>0</v>
      </c>
      <c r="G207" s="27" t="s">
        <v>32</v>
      </c>
      <c r="H207" s="37">
        <f>SUM(H152)</f>
        <v>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</v>
      </c>
      <c r="E208" s="77">
        <f>SUM(E154:E154)</f>
        <v>0</v>
      </c>
      <c r="F208" s="58">
        <f>E208/C208*100%</f>
        <v>0</v>
      </c>
      <c r="G208" s="27" t="s">
        <v>32</v>
      </c>
      <c r="H208" s="77">
        <f>SUM(H154:H154)</f>
        <v>0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0</v>
      </c>
      <c r="E210" s="88">
        <f>SUM(E211:E212)</f>
        <v>0</v>
      </c>
      <c r="F210" s="49">
        <f>E210/C210*100%</f>
        <v>0</v>
      </c>
      <c r="G210" s="18" t="s">
        <v>0</v>
      </c>
      <c r="H210" s="43">
        <f>SUM(H211:H212)</f>
        <v>0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</v>
      </c>
      <c r="E211" s="37">
        <f>SUM(E158)</f>
        <v>0</v>
      </c>
      <c r="F211" s="58">
        <f>E211/C211*100%</f>
        <v>0</v>
      </c>
      <c r="G211" s="27" t="s">
        <v>32</v>
      </c>
      <c r="H211" s="37">
        <f>SUM(H158)</f>
        <v>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0</v>
      </c>
      <c r="E212" s="77">
        <f>SUM(E160:E160)</f>
        <v>0</v>
      </c>
      <c r="F212" s="58">
        <f>E212/C212*100%</f>
        <v>0</v>
      </c>
      <c r="G212" s="27" t="s">
        <v>32</v>
      </c>
      <c r="H212" s="77">
        <f>SUM(H160:H160)</f>
        <v>0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0</v>
      </c>
      <c r="E214" s="88">
        <f>SUM(E215:E216)</f>
        <v>0</v>
      </c>
      <c r="F214" s="49">
        <f>E214/C214*100%</f>
        <v>0</v>
      </c>
      <c r="G214" s="18" t="s">
        <v>0</v>
      </c>
      <c r="H214" s="43">
        <f>SUM(H215:H216)</f>
        <v>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0</v>
      </c>
      <c r="E215" s="37">
        <f>SUM(E164)</f>
        <v>0</v>
      </c>
      <c r="F215" s="58">
        <f>E215/C215*100%</f>
        <v>0</v>
      </c>
      <c r="G215" s="27" t="s">
        <v>32</v>
      </c>
      <c r="H215" s="37">
        <f>SUM(H164)</f>
        <v>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</v>
      </c>
      <c r="E216" s="77">
        <f>SUM(E166:E166)</f>
        <v>0</v>
      </c>
      <c r="F216" s="58">
        <f>E216/C216*100%</f>
        <v>0</v>
      </c>
      <c r="G216" s="27" t="s">
        <v>32</v>
      </c>
      <c r="H216" s="77">
        <f>SUM(H166:H166)</f>
        <v>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0</v>
      </c>
      <c r="E218" s="88">
        <f>SUM(E219:E220)</f>
        <v>0</v>
      </c>
      <c r="F218" s="49">
        <f>E218/C218*100%</f>
        <v>0</v>
      </c>
      <c r="G218" s="18" t="s">
        <v>0</v>
      </c>
      <c r="H218" s="43">
        <f>SUM(H219:H220)</f>
        <v>0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</v>
      </c>
      <c r="E219" s="37">
        <f>SUM(E170)</f>
        <v>0</v>
      </c>
      <c r="F219" s="58">
        <f>E219/C219*100%</f>
        <v>0</v>
      </c>
      <c r="G219" s="27" t="s">
        <v>32</v>
      </c>
      <c r="H219" s="37">
        <f>SUM(H170)</f>
        <v>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0</v>
      </c>
      <c r="E220" s="77">
        <f>SUM(E172:E172)</f>
        <v>0</v>
      </c>
      <c r="F220" s="58">
        <f>E220/C220*100%</f>
        <v>0</v>
      </c>
      <c r="G220" s="27" t="s">
        <v>32</v>
      </c>
      <c r="H220" s="77">
        <f>SUM(H172:H172)</f>
        <v>0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0</v>
      </c>
      <c r="E222" s="88">
        <f>SUM(E223:E224)</f>
        <v>0</v>
      </c>
      <c r="F222" s="49">
        <f>E222/C222*100%</f>
        <v>0</v>
      </c>
      <c r="G222" s="18" t="s">
        <v>0</v>
      </c>
      <c r="H222" s="43">
        <f>SUM(H223:H224)</f>
        <v>0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</v>
      </c>
      <c r="E223" s="37">
        <f>SUM(E176)</f>
        <v>0</v>
      </c>
      <c r="F223" s="58">
        <f>E223/C223*100%</f>
        <v>0</v>
      </c>
      <c r="G223" s="27" t="s">
        <v>32</v>
      </c>
      <c r="H223" s="37">
        <f>SUM(H176)</f>
        <v>0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</v>
      </c>
      <c r="E224" s="77">
        <f>SUM(E178:E178)</f>
        <v>0</v>
      </c>
      <c r="F224" s="58">
        <f>E224/C224*100%</f>
        <v>0</v>
      </c>
      <c r="G224" s="27" t="s">
        <v>32</v>
      </c>
      <c r="H224" s="77">
        <f>SUM(H178:H178)</f>
        <v>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0</v>
      </c>
      <c r="E226" s="88">
        <f>SUM(E227:E228)</f>
        <v>0</v>
      </c>
      <c r="F226" s="49">
        <f>E226/C226*100%</f>
        <v>0</v>
      </c>
      <c r="G226" s="18" t="s">
        <v>0</v>
      </c>
      <c r="H226" s="43">
        <f>SUM(H227:H228)</f>
        <v>0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</v>
      </c>
      <c r="E227" s="37">
        <f>SUM(E182)</f>
        <v>0</v>
      </c>
      <c r="F227" s="58">
        <f>E227/C227*100%</f>
        <v>0</v>
      </c>
      <c r="G227" s="27" t="s">
        <v>32</v>
      </c>
      <c r="H227" s="37">
        <f>SUM(H182)</f>
        <v>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0</v>
      </c>
      <c r="E228" s="77">
        <f>SUM(E184:E184)</f>
        <v>0</v>
      </c>
      <c r="F228" s="58">
        <f>E228/C228*100%</f>
        <v>0</v>
      </c>
      <c r="G228" s="27" t="s">
        <v>32</v>
      </c>
      <c r="H228" s="77">
        <f>SUM(H184:H184)</f>
        <v>0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Januari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2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2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8.0503816630486148E-3</v>
      </c>
      <c r="E240" s="14">
        <f>SUM(E242:E244)</f>
        <v>418502331</v>
      </c>
      <c r="F240" s="42">
        <f>E240/C240*100%</f>
        <v>8.0503816630486131E-3</v>
      </c>
      <c r="G240" s="15" t="s">
        <v>1</v>
      </c>
      <c r="H240" s="14">
        <f>SUM(H242:H244)</f>
        <v>418502331.00000006</v>
      </c>
      <c r="K240" s="47">
        <f>C240-C196</f>
        <v>0</v>
      </c>
      <c r="L240" s="47" t="e">
        <f>#REF!-#REF!</f>
        <v>#REF!</v>
      </c>
      <c r="M240" s="47">
        <f t="shared" ref="M240:N240" si="6">D240-D196</f>
        <v>0</v>
      </c>
      <c r="N240" s="47">
        <f t="shared" si="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2.8748521304515121E-2</v>
      </c>
      <c r="E242" s="37">
        <f>E199</f>
        <v>418502331</v>
      </c>
      <c r="F242" s="58">
        <f>E242/C242*100%</f>
        <v>2.8748521304515114E-2</v>
      </c>
      <c r="G242" s="27" t="s">
        <v>32</v>
      </c>
      <c r="H242" s="37">
        <f>H199</f>
        <v>418502331.00000006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7">H243/C243*100%</f>
        <v>0</v>
      </c>
      <c r="E243" s="77">
        <f>E200+E203+E207+E211+E215+E219+E223+E227</f>
        <v>0</v>
      </c>
      <c r="F243" s="58">
        <f t="shared" ref="F243:F244" si="8">E243/C243*100%</f>
        <v>0</v>
      </c>
      <c r="G243" s="27" t="s">
        <v>32</v>
      </c>
      <c r="H243" s="77">
        <f>H200+H203+H207+H211+H215+H219+H223+H227</f>
        <v>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7"/>
        <v>0</v>
      </c>
      <c r="E244" s="77">
        <f>E204+E208+E212+E216+E220+E224+E228</f>
        <v>0</v>
      </c>
      <c r="F244" s="58">
        <f t="shared" si="8"/>
        <v>0</v>
      </c>
      <c r="G244" s="27" t="s">
        <v>32</v>
      </c>
      <c r="H244" s="77">
        <f>H204+H208+H212+H216+H220+H224+H228</f>
        <v>0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A233:G233"/>
    <mergeCell ref="B236:G236"/>
    <mergeCell ref="A237:A239"/>
    <mergeCell ref="B237:B239"/>
    <mergeCell ref="C237:C238"/>
    <mergeCell ref="D237:F237"/>
    <mergeCell ref="G237:G239"/>
    <mergeCell ref="E238:F23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2:G2"/>
    <mergeCell ref="B5:G5"/>
    <mergeCell ref="A6:A8"/>
    <mergeCell ref="B6:B8"/>
    <mergeCell ref="D6:F6"/>
    <mergeCell ref="G6:G8"/>
    <mergeCell ref="E7:F7"/>
    <mergeCell ref="C6:C8"/>
  </mergeCells>
  <pageMargins left="0.6692913385826772" right="0.47244094488188981" top="0.55118110236220474" bottom="0.86614173228346458" header="0.31496062992125984" footer="0.31496062992125984"/>
  <pageSetup paperSize="14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topLeftCell="A31" workbookViewId="0">
      <selection activeCell="E255" sqref="E255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142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30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E9/C9*100%</f>
        <v>0.74987115500355095</v>
      </c>
      <c r="E9" s="40">
        <f>E11+E53+E62+E71+E80+E89+E98+E107</f>
        <v>38982353813</v>
      </c>
      <c r="F9" s="42">
        <f>E9/C9*100%</f>
        <v>0.74987115500355095</v>
      </c>
      <c r="G9" s="15" t="s">
        <v>1</v>
      </c>
      <c r="H9" s="43">
        <f>H11+H53+H62+H71+H80+H89+H98+H107</f>
        <v>38982353813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15629071544</v>
      </c>
      <c r="D11" s="49">
        <f>E11/C11*100%</f>
        <v>0.72526618405247478</v>
      </c>
      <c r="E11" s="48">
        <f>SUM(E14:E51)</f>
        <v>11335237079</v>
      </c>
      <c r="F11" s="49">
        <f>E11/C11*100%</f>
        <v>0.72526618405247478</v>
      </c>
      <c r="G11" s="18" t="s">
        <v>0</v>
      </c>
      <c r="H11" s="48">
        <f>SUM(H14:H51)</f>
        <v>11335237079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0.79983302000000001</v>
      </c>
      <c r="E14" s="92">
        <f>39991651</f>
        <v>39991651</v>
      </c>
      <c r="F14" s="58">
        <f>E14/C14*100%</f>
        <v>0.79983302000000001</v>
      </c>
      <c r="G14" s="27" t="s">
        <v>33</v>
      </c>
      <c r="H14" s="46">
        <f>39991651</f>
        <v>39991651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ref="H15:H18" si="0">D15*C15</f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0.77300000000000002</v>
      </c>
      <c r="E19" s="92">
        <f>21220000+1970000</f>
        <v>23190000</v>
      </c>
      <c r="F19" s="58">
        <f>E19/C19*100%</f>
        <v>0.77300000000000002</v>
      </c>
      <c r="G19" s="27" t="s">
        <v>33</v>
      </c>
      <c r="H19" s="46">
        <f>23190000</f>
        <v>23190000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0.53825000000000001</v>
      </c>
      <c r="E20" s="92">
        <f>9180000+1585000</f>
        <v>10765000</v>
      </c>
      <c r="F20" s="58">
        <f>E20/C20*100%</f>
        <v>0.53825000000000001</v>
      </c>
      <c r="G20" s="27" t="s">
        <v>33</v>
      </c>
      <c r="H20" s="46">
        <f>10765000</f>
        <v>10765000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11713143962</v>
      </c>
      <c r="D22" s="97">
        <f>E22/C22*100%</f>
        <v>0.73112137038378522</v>
      </c>
      <c r="E22" s="100">
        <f>8563729865</f>
        <v>8563729865</v>
      </c>
      <c r="F22" s="58">
        <f>E22/C22*100%</f>
        <v>0.73112137038378522</v>
      </c>
      <c r="G22" s="27" t="s">
        <v>33</v>
      </c>
      <c r="H22" s="46">
        <f>8563729865</f>
        <v>8563729865</v>
      </c>
    </row>
    <row r="23" spans="1:8" ht="30" x14ac:dyDescent="0.25">
      <c r="A23" s="28" t="s">
        <v>78</v>
      </c>
      <c r="B23" s="28" t="s">
        <v>11</v>
      </c>
      <c r="C23" s="108">
        <v>1853928000</v>
      </c>
      <c r="D23" s="97">
        <f>E23/C23*100%</f>
        <v>0.77548633118438259</v>
      </c>
      <c r="E23" s="100">
        <f>1437695823</f>
        <v>1437695823</v>
      </c>
      <c r="F23" s="58">
        <f>E23/C23*100%</f>
        <v>0.77548633118438259</v>
      </c>
      <c r="G23" s="27" t="s">
        <v>33</v>
      </c>
      <c r="H23" s="46">
        <f>1437695823</f>
        <v>1437695823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0.5419735</v>
      </c>
      <c r="E24" s="100">
        <f>26352675+746000</f>
        <v>27098675</v>
      </c>
      <c r="F24" s="58">
        <f>E24/C24*100%</f>
        <v>0.5419735</v>
      </c>
      <c r="G24" s="27" t="s">
        <v>33</v>
      </c>
      <c r="H24" s="46">
        <f>27098675</f>
        <v>27098675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0.60178829814862911</v>
      </c>
      <c r="E30" s="92">
        <f>4432500+3677500</f>
        <v>8110000</v>
      </c>
      <c r="F30" s="58">
        <f>E30/C30*100%</f>
        <v>0.60178829814862911</v>
      </c>
      <c r="G30" s="27" t="s">
        <v>33</v>
      </c>
      <c r="H30" s="46">
        <f t="shared" ref="H30:H35" si="2">D30*C30</f>
        <v>8110000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2"/>
        <v>0</v>
      </c>
    </row>
    <row r="32" spans="1:8" x14ac:dyDescent="0.25">
      <c r="A32" s="28" t="s">
        <v>86</v>
      </c>
      <c r="B32" s="28" t="s">
        <v>16</v>
      </c>
      <c r="C32" s="108">
        <v>6708000</v>
      </c>
      <c r="D32" s="97">
        <f t="shared" ref="D32:D36" si="3">E32/C32*100%</f>
        <v>0.54658616577221231</v>
      </c>
      <c r="E32" s="92">
        <f>3666500</f>
        <v>3666500</v>
      </c>
      <c r="F32" s="58">
        <f>E32/C32*100%</f>
        <v>0.54658616577221231</v>
      </c>
      <c r="G32" s="27" t="s">
        <v>33</v>
      </c>
      <c r="H32" s="46">
        <f>3666500</f>
        <v>3666500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0.82257394615940038</v>
      </c>
      <c r="E33" s="92">
        <f>36329500+15163300</f>
        <v>51492800</v>
      </c>
      <c r="F33" s="58">
        <f>E33/C33*100%</f>
        <v>0.82257394615940038</v>
      </c>
      <c r="G33" s="27" t="s">
        <v>33</v>
      </c>
      <c r="H33" s="46">
        <f>51492800</f>
        <v>51492800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</v>
      </c>
      <c r="E35" s="92"/>
      <c r="F35" s="58">
        <f>E35/C35*100%</f>
        <v>0</v>
      </c>
      <c r="G35" s="27" t="s">
        <v>33</v>
      </c>
      <c r="H35" s="46">
        <f t="shared" si="2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>
        <f t="shared" si="3"/>
        <v>0.98444024772381888</v>
      </c>
      <c r="E36" s="92">
        <f>89649136+56750911</f>
        <v>146400047</v>
      </c>
      <c r="F36" s="58">
        <f>E36/C36*100%</f>
        <v>0.98444024772381888</v>
      </c>
      <c r="G36" s="27" t="s">
        <v>33</v>
      </c>
      <c r="H36" s="46">
        <v>146400047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0.70869751334955289</v>
      </c>
      <c r="E42" s="100">
        <f>163578967+4642790</f>
        <v>168221757</v>
      </c>
      <c r="F42" s="58">
        <f>E42/C42*100%</f>
        <v>0.70869751334955289</v>
      </c>
      <c r="G42" s="27" t="s">
        <v>33</v>
      </c>
      <c r="H42" s="46">
        <f>168221757</f>
        <v>168221757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20000000</v>
      </c>
      <c r="D43" s="97">
        <f>E43/C43*100%</f>
        <v>0.42499999999999999</v>
      </c>
      <c r="E43" s="91">
        <f>8500000</f>
        <v>8500000</v>
      </c>
      <c r="F43" s="58">
        <f>E43/C43*100%</f>
        <v>0.42499999999999999</v>
      </c>
      <c r="G43" s="27" t="s">
        <v>33</v>
      </c>
      <c r="H43" s="46">
        <v>8500000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151843982</v>
      </c>
      <c r="D45" s="97">
        <f>E45/C45*100%</f>
        <v>0.20063142179714438</v>
      </c>
      <c r="E45" s="92">
        <f>20940000+9524674</f>
        <v>30464674</v>
      </c>
      <c r="F45" s="58">
        <f>E45/C45*100%</f>
        <v>0.20063142179714438</v>
      </c>
      <c r="G45" s="27" t="s">
        <v>33</v>
      </c>
      <c r="H45" s="46">
        <f>30464674</f>
        <v>30464674</v>
      </c>
    </row>
    <row r="46" spans="1:10" x14ac:dyDescent="0.25">
      <c r="A46" s="25" t="s">
        <v>95</v>
      </c>
      <c r="B46" s="106" t="s">
        <v>66</v>
      </c>
      <c r="C46" s="109">
        <v>30280000</v>
      </c>
      <c r="D46" s="97">
        <f t="shared" ref="D46:D48" si="4">E46/C46*100%</f>
        <v>0.62780713342140027</v>
      </c>
      <c r="E46" s="92">
        <f>19010000</f>
        <v>19010000</v>
      </c>
      <c r="F46" s="58">
        <f>E46/C46*100%</f>
        <v>0.62780713342140027</v>
      </c>
      <c r="G46" s="27" t="s">
        <v>33</v>
      </c>
      <c r="H46" s="46">
        <f>19010000</f>
        <v>19010000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0.11691834451901566</v>
      </c>
      <c r="E47" s="92">
        <f>11450000+1093000</f>
        <v>12543000</v>
      </c>
      <c r="F47" s="58">
        <f>E47/C47*100%</f>
        <v>0.11691834451901566</v>
      </c>
      <c r="G47" s="27" t="s">
        <v>33</v>
      </c>
      <c r="H47" s="46">
        <f>D47*C47</f>
        <v>12543000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0.64145554137417571</v>
      </c>
      <c r="E48" s="92">
        <f>19048825+11106000</f>
        <v>30154825</v>
      </c>
      <c r="F48" s="58">
        <f>E48/C48*100%</f>
        <v>0.64145554137417571</v>
      </c>
      <c r="G48" s="27" t="s">
        <v>33</v>
      </c>
      <c r="H48" s="46">
        <f>30154825</f>
        <v>30154825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>
        <f>E51/C51*100%</f>
        <v>0.70373088306647258</v>
      </c>
      <c r="E51" s="90">
        <f>754202462</f>
        <v>754202462</v>
      </c>
      <c r="F51" s="58">
        <f>E51/C51*100%</f>
        <v>0.70373088306647258</v>
      </c>
      <c r="G51" s="27" t="s">
        <v>33</v>
      </c>
      <c r="H51" s="46">
        <f>754202462</f>
        <v>754202462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E53/C53*100%</f>
        <v>0.88529000616676357</v>
      </c>
      <c r="E53" s="63">
        <f>SUM(E54:E60)</f>
        <v>4395111572</v>
      </c>
      <c r="F53" s="49">
        <f>E53/C53*100%</f>
        <v>0.88529000616676357</v>
      </c>
      <c r="G53" s="18" t="s">
        <v>0</v>
      </c>
      <c r="H53" s="63">
        <f>SUM(H56:H60)</f>
        <v>4395111572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>
        <f>E56/C56*100%</f>
        <v>0.83898572972972973</v>
      </c>
      <c r="E56" s="92">
        <f>155212360</f>
        <v>155212360</v>
      </c>
      <c r="F56" s="58">
        <f>E56/C56*100%</f>
        <v>0.83898572972972973</v>
      </c>
      <c r="G56" s="27" t="s">
        <v>33</v>
      </c>
      <c r="H56" s="46">
        <f>155212360</f>
        <v>155212360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0.99600758156228575</v>
      </c>
      <c r="E59" s="92">
        <f>962815000+2000945000</f>
        <v>2963760000</v>
      </c>
      <c r="F59" s="58">
        <f>E59/C59*100%</f>
        <v>0.99600758156228575</v>
      </c>
      <c r="G59" s="27" t="s">
        <v>33</v>
      </c>
      <c r="H59" s="46">
        <f>2963760000</f>
        <v>2963760000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0.70740956941532662</v>
      </c>
      <c r="E60" s="92">
        <f>909613212+366526000</f>
        <v>1276139212</v>
      </c>
      <c r="F60" s="58">
        <f>E60/C60*100%</f>
        <v>0.70740956941532662</v>
      </c>
      <c r="G60" s="27" t="s">
        <v>33</v>
      </c>
      <c r="H60" s="46">
        <f>1276139212</f>
        <v>1276139212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0.74172962599600489</v>
      </c>
      <c r="E62" s="63">
        <f>SUM(E63:E69)</f>
        <v>3460716078</v>
      </c>
      <c r="F62" s="49">
        <f>E62/C62*100%</f>
        <v>0.74172962599600489</v>
      </c>
      <c r="G62" s="18" t="s">
        <v>0</v>
      </c>
      <c r="H62" s="63">
        <f>SUM(H65:H69)</f>
        <v>3460716078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>
        <f>E65/C65*100%</f>
        <v>0.75796450746268662</v>
      </c>
      <c r="E65" s="92">
        <f>253918110</f>
        <v>253918110</v>
      </c>
      <c r="F65" s="58">
        <f>E65/C65*100%</f>
        <v>0.75796450746268662</v>
      </c>
      <c r="G65" s="27" t="s">
        <v>33</v>
      </c>
      <c r="H65" s="46">
        <f>253918110</f>
        <v>253918110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0.81182947277826412</v>
      </c>
      <c r="E68" s="92">
        <f>244500000+1943900000</f>
        <v>2188400000</v>
      </c>
      <c r="F68" s="58">
        <f>E68/C68*100%</f>
        <v>0.81182947277826412</v>
      </c>
      <c r="G68" s="27" t="s">
        <v>33</v>
      </c>
      <c r="H68" s="46">
        <f>2188400000</f>
        <v>2188400000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0.62283605504425654</v>
      </c>
      <c r="E69" s="92">
        <f>810071568+208326400</f>
        <v>1018397968</v>
      </c>
      <c r="F69" s="58">
        <f>E69/C69*100%</f>
        <v>0.62283605504425654</v>
      </c>
      <c r="G69" s="27" t="s">
        <v>33</v>
      </c>
      <c r="H69" s="46">
        <f>1018397968</f>
        <v>1018397968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0.40869691833383837</v>
      </c>
      <c r="E71" s="63">
        <f>SUM(E72:E78)</f>
        <v>1983154868</v>
      </c>
      <c r="F71" s="49">
        <f>E71/C71*100%</f>
        <v>0.40869691833383837</v>
      </c>
      <c r="G71" s="18" t="s">
        <v>0</v>
      </c>
      <c r="H71" s="63">
        <f>SUM(H72:H78)</f>
        <v>1983154868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>
        <f>E74/C74*100%</f>
        <v>0.7335535135135135</v>
      </c>
      <c r="E74" s="92">
        <f>135707400</f>
        <v>135707400</v>
      </c>
      <c r="F74" s="58">
        <f>E74/C74*100%</f>
        <v>0.7335535135135135</v>
      </c>
      <c r="G74" s="27" t="s">
        <v>33</v>
      </c>
      <c r="H74" s="46">
        <f>135707400</f>
        <v>135707400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2905640000</v>
      </c>
      <c r="D77" s="97">
        <f t="shared" ref="D77:D78" si="7">E77/C77*100%</f>
        <v>0.37318700871408711</v>
      </c>
      <c r="E77" s="92">
        <f>1084347100</f>
        <v>1084347100</v>
      </c>
      <c r="F77" s="58">
        <f>E77/C77*100%</f>
        <v>0.37318700871408711</v>
      </c>
      <c r="G77" s="27" t="s">
        <v>33</v>
      </c>
      <c r="H77" s="46">
        <f>1084347100</f>
        <v>1084347100</v>
      </c>
    </row>
    <row r="78" spans="1:8" x14ac:dyDescent="0.25">
      <c r="A78" s="28" t="s">
        <v>105</v>
      </c>
      <c r="B78" s="28" t="s">
        <v>41</v>
      </c>
      <c r="C78" s="108">
        <v>1761745176</v>
      </c>
      <c r="D78" s="97">
        <f t="shared" si="7"/>
        <v>0.43315025259930101</v>
      </c>
      <c r="E78" s="92">
        <f>759100368+4000000</f>
        <v>763100368</v>
      </c>
      <c r="F78" s="58">
        <f>E78/C78*100%</f>
        <v>0.43315025259930101</v>
      </c>
      <c r="G78" s="27" t="s">
        <v>33</v>
      </c>
      <c r="H78" s="46">
        <f>763100368</f>
        <v>763100368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0.90015505069823121</v>
      </c>
      <c r="E80" s="63">
        <f>SUM(E81:E87)</f>
        <v>3757562920</v>
      </c>
      <c r="F80" s="49">
        <f>E80/C80*100%</f>
        <v>0.90015505069823121</v>
      </c>
      <c r="G80" s="18" t="s">
        <v>0</v>
      </c>
      <c r="H80" s="63">
        <f>SUM(H83:H87)</f>
        <v>3757562920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>
        <f>E83/C83*100%</f>
        <v>0.79030464864864869</v>
      </c>
      <c r="E83" s="92">
        <f>146206360</f>
        <v>146206360</v>
      </c>
      <c r="F83" s="58">
        <f>E83/C83*100%</f>
        <v>0.79030464864864869</v>
      </c>
      <c r="G83" s="27" t="s">
        <v>33</v>
      </c>
      <c r="H83" s="46">
        <f>146206360</f>
        <v>146206360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0.94033415292837275</v>
      </c>
      <c r="E86" s="92">
        <f>708125000+1624750000</f>
        <v>2332875000</v>
      </c>
      <c r="F86" s="58">
        <f>E86/C86*100%</f>
        <v>0.94033415292837275</v>
      </c>
      <c r="G86" s="27" t="s">
        <v>33</v>
      </c>
      <c r="H86" s="46">
        <f>2332875000</f>
        <v>2332875000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0.84754610087504612</v>
      </c>
      <c r="E87" s="92">
        <f>1241231560+37250000</f>
        <v>1278481560</v>
      </c>
      <c r="F87" s="58">
        <f>E87/C87*100%</f>
        <v>0.84754610087504612</v>
      </c>
      <c r="G87" s="27" t="s">
        <v>33</v>
      </c>
      <c r="H87" s="46">
        <f>1278481560</f>
        <v>1278481560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0.76588509839038998</v>
      </c>
      <c r="E89" s="63">
        <f>SUM(E90:E96)</f>
        <v>4317980018</v>
      </c>
      <c r="F89" s="49">
        <f>E89/C89*100%</f>
        <v>0.76588509839038998</v>
      </c>
      <c r="G89" s="18" t="s">
        <v>0</v>
      </c>
      <c r="H89" s="63">
        <f>SUM(H92:H96)</f>
        <v>4317980018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>
        <f>E92/C92*100%</f>
        <v>0.74972627027027028</v>
      </c>
      <c r="E92" s="92">
        <f>138699360</f>
        <v>138699360</v>
      </c>
      <c r="F92" s="58">
        <f>E92/C92*100%</f>
        <v>0.74972627027027028</v>
      </c>
      <c r="G92" s="27" t="s">
        <v>33</v>
      </c>
      <c r="H92" s="46">
        <f>138699360</f>
        <v>138699360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0.99650139590769338</v>
      </c>
      <c r="E95" s="92">
        <f>2244317000+1139443000</f>
        <v>3383760000</v>
      </c>
      <c r="F95" s="58">
        <f>E95/C95*100%</f>
        <v>0.99650139590769338</v>
      </c>
      <c r="G95" s="27" t="s">
        <v>33</v>
      </c>
      <c r="H95" s="46">
        <f>3383760000</f>
        <v>3383760000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0.38669028932513716</v>
      </c>
      <c r="E96" s="92">
        <f>683520658+112000000</f>
        <v>795520658</v>
      </c>
      <c r="F96" s="58">
        <f>E96/C96*100%</f>
        <v>0.38669028932513716</v>
      </c>
      <c r="G96" s="27" t="s">
        <v>33</v>
      </c>
      <c r="H96" s="46">
        <f>795520658</f>
        <v>795520658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0.88483415725848436</v>
      </c>
      <c r="E98" s="63">
        <f>SUM(E99:E105)</f>
        <v>2200029280</v>
      </c>
      <c r="F98" s="49">
        <f>E98/C98*100%</f>
        <v>0.88483415725848436</v>
      </c>
      <c r="G98" s="18" t="s">
        <v>0</v>
      </c>
      <c r="H98" s="63">
        <f>SUM(H99:H105)</f>
        <v>2200029280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>
        <f>E101/C101*100%</f>
        <v>0.80768843243243238</v>
      </c>
      <c r="E101" s="92">
        <f>149422360</f>
        <v>149422360</v>
      </c>
      <c r="F101" s="58">
        <f>E101/C101*100%</f>
        <v>0.80768843243243238</v>
      </c>
      <c r="G101" s="27" t="s">
        <v>33</v>
      </c>
      <c r="H101" s="46">
        <v>149422360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0.98484869662450203</v>
      </c>
      <c r="E104" s="92">
        <f>441009463+968210537</f>
        <v>1409220000</v>
      </c>
      <c r="F104" s="58">
        <f>E104/C104*100%</f>
        <v>0.98484869662450203</v>
      </c>
      <c r="G104" s="27" t="s">
        <v>33</v>
      </c>
      <c r="H104" s="46">
        <f>1409220000</f>
        <v>1409220000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0.73682429284103734</v>
      </c>
      <c r="E105" s="92">
        <f>629136920+12250000</f>
        <v>641386920</v>
      </c>
      <c r="F105" s="58">
        <f>E105/C105*100%</f>
        <v>0.73682429284103734</v>
      </c>
      <c r="G105" s="27" t="s">
        <v>33</v>
      </c>
      <c r="H105" s="46">
        <f>641386920</f>
        <v>641386920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0.78669169111799553</v>
      </c>
      <c r="E107" s="63">
        <f>SUM(E108:E114)</f>
        <v>7532561998</v>
      </c>
      <c r="F107" s="49">
        <f>E107/C107*100%</f>
        <v>0.78669169111799553</v>
      </c>
      <c r="G107" s="18" t="s">
        <v>0</v>
      </c>
      <c r="H107" s="63">
        <f>SUM(H110:H114)</f>
        <v>7532561998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97">
        <f>E110/C110*100%</f>
        <v>0.75057789189189195</v>
      </c>
      <c r="E110" s="89">
        <f>138856910</f>
        <v>138856910</v>
      </c>
      <c r="F110" s="58">
        <f>E110/C110*100%</f>
        <v>0.75057789189189195</v>
      </c>
      <c r="G110" s="27" t="s">
        <v>33</v>
      </c>
      <c r="H110" s="46">
        <f>138856910</f>
        <v>138856910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0.82826590820519486</v>
      </c>
      <c r="E113" s="92">
        <f>1348650000+3497070000</f>
        <v>4845720000</v>
      </c>
      <c r="F113" s="58">
        <f>E113/C113*100%</f>
        <v>0.82826590820519486</v>
      </c>
      <c r="G113" s="27" t="s">
        <v>33</v>
      </c>
      <c r="H113" s="123">
        <f>4845720000</f>
        <v>4845720000</v>
      </c>
    </row>
    <row r="114" spans="1:8" x14ac:dyDescent="0.25">
      <c r="A114" s="28" t="s">
        <v>105</v>
      </c>
      <c r="B114" s="28" t="s">
        <v>41</v>
      </c>
      <c r="C114" s="108">
        <v>3539546088</v>
      </c>
      <c r="D114" s="97">
        <f t="shared" si="11"/>
        <v>0.71986210227304148</v>
      </c>
      <c r="E114" s="89">
        <f>1583115888+964869200</f>
        <v>2547985088</v>
      </c>
      <c r="F114" s="58">
        <f>E114/C114*100%</f>
        <v>0.71986210227304148</v>
      </c>
      <c r="G114" s="27" t="s">
        <v>33</v>
      </c>
      <c r="H114" s="46">
        <f>2547985088</f>
        <v>2547985088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Oktober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30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30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E130/C130*100%</f>
        <v>0.74987115500355095</v>
      </c>
      <c r="E130" s="74">
        <f>E132+E144+E150+E156+E162+E168+E174+E180</f>
        <v>38982353813</v>
      </c>
      <c r="F130" s="42">
        <f>E130/C130*100%</f>
        <v>0.74987115500355095</v>
      </c>
      <c r="G130" s="15" t="s">
        <v>1</v>
      </c>
      <c r="H130" s="43">
        <f>H132+H144+H150+H156+H162+H168+H174+H180</f>
        <v>39057605882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0.73008106181332866</v>
      </c>
      <c r="E132" s="48">
        <f>SUM(E133:E142)</f>
        <v>11335237079</v>
      </c>
      <c r="F132" s="49">
        <f>E132/C132*100%</f>
        <v>0.72526618405247478</v>
      </c>
      <c r="G132" s="18" t="s">
        <v>0</v>
      </c>
      <c r="H132" s="48">
        <f>SUM(H134:H142)</f>
        <v>11410489148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0.73946650999999997</v>
      </c>
      <c r="E134" s="37">
        <f>SUM(E14:E20)</f>
        <v>73946651</v>
      </c>
      <c r="F134" s="58">
        <f>E134/C134*100%</f>
        <v>0.73946650999999997</v>
      </c>
      <c r="G134" s="27" t="s">
        <v>61</v>
      </c>
      <c r="H134" s="37">
        <f>SUM(H14:H20)</f>
        <v>73946651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13">H135/C135*100%</f>
        <v>0.73646701662337888</v>
      </c>
      <c r="E135" s="77">
        <f>SUM(E22:E24)</f>
        <v>10028524363</v>
      </c>
      <c r="F135" s="58">
        <f t="shared" ref="F135:F142" si="14">E135/C135*100%</f>
        <v>0.73646701662337888</v>
      </c>
      <c r="G135" s="27" t="s">
        <v>61</v>
      </c>
      <c r="H135" s="77">
        <f>SUM(H22:H24)</f>
        <v>10028524363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13"/>
        <v>0.85059214249521597</v>
      </c>
      <c r="E137" s="77">
        <f>SUM(E30:E36)</f>
        <v>209669347</v>
      </c>
      <c r="F137" s="58">
        <f t="shared" si="14"/>
        <v>0.85059214249521597</v>
      </c>
      <c r="G137" s="27" t="s">
        <v>61</v>
      </c>
      <c r="H137" s="77">
        <f>209669347</f>
        <v>209669347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13"/>
        <v>0.68665141092018223</v>
      </c>
      <c r="E139" s="77">
        <f>SUM(E42:E43)</f>
        <v>176721757</v>
      </c>
      <c r="F139" s="58">
        <f t="shared" si="14"/>
        <v>0.68665141092018223</v>
      </c>
      <c r="G139" s="27" t="s">
        <v>61</v>
      </c>
      <c r="H139" s="77">
        <f>SUM(H42:H43)</f>
        <v>176721757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13"/>
        <v>0.49767422568066744</v>
      </c>
      <c r="E140" s="77">
        <f>SUM(E45:E48)</f>
        <v>92172499</v>
      </c>
      <c r="F140" s="58">
        <f t="shared" si="14"/>
        <v>0.27398533928949481</v>
      </c>
      <c r="G140" s="27" t="s">
        <v>61</v>
      </c>
      <c r="H140" s="77">
        <f>167424568</f>
        <v>167424568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13"/>
        <v>0.70373088306647258</v>
      </c>
      <c r="E142" s="77">
        <f>SUM(E51)</f>
        <v>754202462</v>
      </c>
      <c r="F142" s="58">
        <f t="shared" si="14"/>
        <v>0.70373088306647258</v>
      </c>
      <c r="G142" s="27" t="s">
        <v>61</v>
      </c>
      <c r="H142" s="77">
        <f>754202462</f>
        <v>754202462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0.88529000616676357</v>
      </c>
      <c r="E144" s="48">
        <f>SUM(E145:E148)</f>
        <v>4395111572</v>
      </c>
      <c r="F144" s="49">
        <f>E144/C144*100%</f>
        <v>0.88529000616676357</v>
      </c>
      <c r="G144" s="18" t="s">
        <v>0</v>
      </c>
      <c r="H144" s="48">
        <f>H146+H148</f>
        <v>4395111572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0.83898572972972973</v>
      </c>
      <c r="E146" s="37">
        <f>SUM(E56)</f>
        <v>155212360</v>
      </c>
      <c r="F146" s="58">
        <f>E146/C146*100%</f>
        <v>0.83898572972972973</v>
      </c>
      <c r="G146" s="27" t="s">
        <v>61</v>
      </c>
      <c r="H146" s="37">
        <f>155212360</f>
        <v>155212360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0.88708226692212166</v>
      </c>
      <c r="E148" s="77">
        <f>SUM(E59:E60)</f>
        <v>4239899212</v>
      </c>
      <c r="F148" s="58">
        <f>E148/C148*100%</f>
        <v>0.88708226692212166</v>
      </c>
      <c r="G148" s="27" t="s">
        <v>61</v>
      </c>
      <c r="H148" s="77">
        <f>SUM(H59:H60)</f>
        <v>4239899212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0.74172962599600489</v>
      </c>
      <c r="E150" s="48">
        <f>SUM(E151:E154)</f>
        <v>3460716078</v>
      </c>
      <c r="F150" s="49">
        <f>E150/C150*100%</f>
        <v>0.74172962599600489</v>
      </c>
      <c r="G150" s="18" t="s">
        <v>0</v>
      </c>
      <c r="H150" s="48">
        <f>SUM(H151:H154)</f>
        <v>3460716078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0.75796450746268662</v>
      </c>
      <c r="E152" s="37">
        <f>SUM(E65)</f>
        <v>253918110</v>
      </c>
      <c r="F152" s="58">
        <f>E152/C152*100%</f>
        <v>0.75796450746268662</v>
      </c>
      <c r="G152" s="27" t="s">
        <v>61</v>
      </c>
      <c r="H152" s="37">
        <f>SUM(H65)</f>
        <v>253918110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0.74047379261806223</v>
      </c>
      <c r="E154" s="77">
        <f>SUM(E68:E69)</f>
        <v>3206797968</v>
      </c>
      <c r="F154" s="58">
        <f>E154/C154*100%</f>
        <v>0.74047379261806223</v>
      </c>
      <c r="G154" s="27" t="s">
        <v>61</v>
      </c>
      <c r="H154" s="77">
        <f>SUM(H68:H69)</f>
        <v>3206797968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0.40869691833383837</v>
      </c>
      <c r="E156" s="48">
        <f>SUM(E157:E160)</f>
        <v>1983154868</v>
      </c>
      <c r="F156" s="49">
        <f>E156/C156*100%</f>
        <v>0.40869691833383837</v>
      </c>
      <c r="G156" s="18" t="s">
        <v>0</v>
      </c>
      <c r="H156" s="48">
        <f>SUM(H157:H160)</f>
        <v>1983154868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0.7335535135135135</v>
      </c>
      <c r="E158" s="37">
        <f>SUM(E74)</f>
        <v>135707400</v>
      </c>
      <c r="F158" s="58">
        <f>E158/C158*100%</f>
        <v>0.7335535135135135</v>
      </c>
      <c r="G158" s="27" t="s">
        <v>61</v>
      </c>
      <c r="H158" s="37">
        <f>SUM(H74)</f>
        <v>135707400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0.39582065724930865</v>
      </c>
      <c r="E160" s="77">
        <f>SUM(E77:E78)</f>
        <v>1847447468</v>
      </c>
      <c r="F160" s="58">
        <f>E160/C160*100%</f>
        <v>0.39582065724930865</v>
      </c>
      <c r="G160" s="27" t="s">
        <v>61</v>
      </c>
      <c r="H160" s="77">
        <f>SUM(H77:H78)</f>
        <v>1847447468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0.90015505069823121</v>
      </c>
      <c r="E162" s="48">
        <f>SUM(E163:E166)</f>
        <v>3757562920</v>
      </c>
      <c r="F162" s="49">
        <f>E162/C162*100%</f>
        <v>0.90015505069823121</v>
      </c>
      <c r="G162" s="18" t="s">
        <v>0</v>
      </c>
      <c r="H162" s="48">
        <f>SUM(H163:H166)</f>
        <v>3757562920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0.79030464864864869</v>
      </c>
      <c r="E164" s="37">
        <f>SUM(E83)</f>
        <v>146206360</v>
      </c>
      <c r="F164" s="58">
        <f>E164/C164*100%</f>
        <v>0.79030464864864869</v>
      </c>
      <c r="G164" s="27" t="s">
        <v>61</v>
      </c>
      <c r="H164" s="37">
        <f>SUM(H83)</f>
        <v>146206360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0.90524919398162929</v>
      </c>
      <c r="E166" s="77">
        <f>SUM(E86:E87)</f>
        <v>3611356560</v>
      </c>
      <c r="F166" s="58">
        <f>E166/C166*100%</f>
        <v>0.90524919398162929</v>
      </c>
      <c r="G166" s="27" t="s">
        <v>61</v>
      </c>
      <c r="H166" s="77">
        <f>SUM(H86:H87)</f>
        <v>3611356560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0.76588509839038998</v>
      </c>
      <c r="E168" s="48">
        <f>SUM(E169:E172)</f>
        <v>4317980018</v>
      </c>
      <c r="F168" s="49">
        <f>E168/C168*100%</f>
        <v>0.76588509839038998</v>
      </c>
      <c r="G168" s="18" t="s">
        <v>0</v>
      </c>
      <c r="H168" s="48">
        <f>SUM(H169:H172)</f>
        <v>4317980018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0.74972627027027028</v>
      </c>
      <c r="E170" s="37">
        <f>SUM(E92)</f>
        <v>138699360</v>
      </c>
      <c r="F170" s="58">
        <f>E170/C170*100%</f>
        <v>0.74972627027027028</v>
      </c>
      <c r="G170" s="27" t="s">
        <v>61</v>
      </c>
      <c r="H170" s="37">
        <f>SUM(H92)</f>
        <v>138699360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0.76643331782656221</v>
      </c>
      <c r="E172" s="77">
        <f>SUM(E95:E96)</f>
        <v>4179280658</v>
      </c>
      <c r="F172" s="58">
        <f>E172/C172*100%</f>
        <v>0.76643331782656221</v>
      </c>
      <c r="G172" s="27" t="s">
        <v>61</v>
      </c>
      <c r="H172" s="77">
        <f>SUM(H95:H96)</f>
        <v>4179280658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0.88483415725848436</v>
      </c>
      <c r="E174" s="48">
        <f>SUM(E175:E178)</f>
        <v>2200029280</v>
      </c>
      <c r="F174" s="49">
        <f>E174/C174*100%</f>
        <v>0.88483415725848436</v>
      </c>
      <c r="G174" s="18" t="s">
        <v>0</v>
      </c>
      <c r="H174" s="48">
        <f>SUM(H175:H178)</f>
        <v>2200029280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0.80768843243243238</v>
      </c>
      <c r="E176" s="37">
        <f>SUM(E101)</f>
        <v>149422360</v>
      </c>
      <c r="F176" s="58">
        <f>E176/C176*100%</f>
        <v>0.80768843243243238</v>
      </c>
      <c r="G176" s="27" t="s">
        <v>61</v>
      </c>
      <c r="H176" s="37">
        <f>SUM(H101)</f>
        <v>149422360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0.89103565020476105</v>
      </c>
      <c r="E178" s="77">
        <f>SUM(E104:E105)</f>
        <v>2050606920</v>
      </c>
      <c r="F178" s="58">
        <f>E178/C178*100%</f>
        <v>0.89103565020476105</v>
      </c>
      <c r="G178" s="27" t="s">
        <v>61</v>
      </c>
      <c r="H178" s="77">
        <f>SUM(H104:H105)</f>
        <v>2050606920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0.78669169111799553</v>
      </c>
      <c r="E180" s="48">
        <f>SUM(E181:E184)</f>
        <v>7532561998</v>
      </c>
      <c r="F180" s="49">
        <f>E180/C180*100%</f>
        <v>0.78669169111799553</v>
      </c>
      <c r="G180" s="18" t="s">
        <v>0</v>
      </c>
      <c r="H180" s="48">
        <f>SUM(H181:H184)</f>
        <v>7532561998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0.75057789189189195</v>
      </c>
      <c r="E182" s="37">
        <f>SUM(E110)</f>
        <v>138856910</v>
      </c>
      <c r="F182" s="58">
        <f>E182/C182*100%</f>
        <v>0.75057789189189195</v>
      </c>
      <c r="G182" s="27" t="s">
        <v>61</v>
      </c>
      <c r="H182" s="37">
        <f>SUM(H110)</f>
        <v>138856910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0.78740319939864856</v>
      </c>
      <c r="E184" s="77">
        <f>SUM(E112:E114)</f>
        <v>7393705088</v>
      </c>
      <c r="F184" s="58">
        <f>E184/C184*100%</f>
        <v>0.78740319939864856</v>
      </c>
      <c r="G184" s="27" t="s">
        <v>61</v>
      </c>
      <c r="H184" s="77">
        <f>SUM(H112:H114)</f>
        <v>7393705088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Oktober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30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30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0.7513187165378834</v>
      </c>
      <c r="E196" s="74">
        <f>E198+E202+E206+E210+E214+E218+E222+E226</f>
        <v>38982353813</v>
      </c>
      <c r="F196" s="42">
        <f>E196/C196*100%</f>
        <v>0.74987115500355095</v>
      </c>
      <c r="G196" s="15" t="s">
        <v>1</v>
      </c>
      <c r="H196" s="43">
        <f>H198+H202+H206+H210+H214+H218+H222+H226</f>
        <v>39057605882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1.4475615343324533E-3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0.73008106181332866</v>
      </c>
      <c r="E198" s="48">
        <f>SUM(E199:E200)</f>
        <v>11335237079</v>
      </c>
      <c r="F198" s="49">
        <f>E198/C198*100%</f>
        <v>0.72526618405247478</v>
      </c>
      <c r="G198" s="18" t="s">
        <v>0</v>
      </c>
      <c r="H198" s="48">
        <f>SUM(H199:H200)</f>
        <v>11410489148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0.73202097605399419</v>
      </c>
      <c r="E199" s="37">
        <f>SUM(E134:E140)</f>
        <v>10581034617</v>
      </c>
      <c r="F199" s="58">
        <f>E199/C199*100%</f>
        <v>0.72685162441935458</v>
      </c>
      <c r="G199" s="27" t="s">
        <v>32</v>
      </c>
      <c r="H199" s="37">
        <f>SUM(H134:H140)</f>
        <v>10656286686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0.70373088306647258</v>
      </c>
      <c r="E200" s="77">
        <f>SUM(E142)</f>
        <v>754202462</v>
      </c>
      <c r="F200" s="58">
        <f>E200/C200*100%</f>
        <v>0.70373088306647258</v>
      </c>
      <c r="G200" s="27" t="s">
        <v>32</v>
      </c>
      <c r="H200" s="77">
        <f>SUM(H142)</f>
        <v>754202462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0.88529000616676357</v>
      </c>
      <c r="E202" s="88">
        <f>SUM(E203:E204)</f>
        <v>4395111572</v>
      </c>
      <c r="F202" s="49">
        <f>E202/C202*100%</f>
        <v>0.88529000616676357</v>
      </c>
      <c r="G202" s="18" t="s">
        <v>0</v>
      </c>
      <c r="H202" s="43">
        <f>SUM(H203:H204)</f>
        <v>4395111572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0.83898572972972973</v>
      </c>
      <c r="E203" s="37">
        <f>SUM(E146)</f>
        <v>155212360</v>
      </c>
      <c r="F203" s="58">
        <f>E203/C203*100%</f>
        <v>0.83898572972972973</v>
      </c>
      <c r="G203" s="27" t="s">
        <v>32</v>
      </c>
      <c r="H203" s="37">
        <f>SUM(H146)</f>
        <v>155212360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0.88708226692212166</v>
      </c>
      <c r="E204" s="77">
        <f>SUM(E148:E148)</f>
        <v>4239899212</v>
      </c>
      <c r="F204" s="58">
        <f>E204/C204*100%</f>
        <v>0.88708226692212166</v>
      </c>
      <c r="G204" s="27" t="s">
        <v>32</v>
      </c>
      <c r="H204" s="77">
        <f>SUM(H148:H148)</f>
        <v>4239899212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0.74172962599600489</v>
      </c>
      <c r="E206" s="88">
        <f>SUM(E207:E209)</f>
        <v>3460716078</v>
      </c>
      <c r="F206" s="49">
        <f>E206/C206*100%</f>
        <v>0.74172962599600489</v>
      </c>
      <c r="G206" s="18" t="s">
        <v>0</v>
      </c>
      <c r="H206" s="43">
        <f>SUM(H207:H209)</f>
        <v>3460716078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0.75796450746268662</v>
      </c>
      <c r="E207" s="37">
        <f>SUM(E152)</f>
        <v>253918110</v>
      </c>
      <c r="F207" s="58">
        <f>E207/C207*100%</f>
        <v>0.75796450746268662</v>
      </c>
      <c r="G207" s="27" t="s">
        <v>32</v>
      </c>
      <c r="H207" s="37">
        <f>SUM(H152)</f>
        <v>253918110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0.74047379261806223</v>
      </c>
      <c r="E208" s="77">
        <f>SUM(E154:E154)</f>
        <v>3206797968</v>
      </c>
      <c r="F208" s="58">
        <f>E208/C208*100%</f>
        <v>0.74047379261806223</v>
      </c>
      <c r="G208" s="27" t="s">
        <v>32</v>
      </c>
      <c r="H208" s="77">
        <f>SUM(H154:H154)</f>
        <v>3206797968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0.40869691833383837</v>
      </c>
      <c r="E210" s="88">
        <f>SUM(E211:E212)</f>
        <v>1983154868</v>
      </c>
      <c r="F210" s="49">
        <f>E210/C210*100%</f>
        <v>0.40869691833383837</v>
      </c>
      <c r="G210" s="18" t="s">
        <v>0</v>
      </c>
      <c r="H210" s="43">
        <f>SUM(H211:H212)</f>
        <v>1983154868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0.7335535135135135</v>
      </c>
      <c r="E211" s="37">
        <f>SUM(E158)</f>
        <v>135707400</v>
      </c>
      <c r="F211" s="58">
        <f>E211/C211*100%</f>
        <v>0.7335535135135135</v>
      </c>
      <c r="G211" s="27" t="s">
        <v>32</v>
      </c>
      <c r="H211" s="37">
        <f>SUM(H158)</f>
        <v>135707400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0.39582065724930865</v>
      </c>
      <c r="E212" s="77">
        <f>SUM(E160:E160)</f>
        <v>1847447468</v>
      </c>
      <c r="F212" s="58">
        <f>E212/C212*100%</f>
        <v>0.39582065724930865</v>
      </c>
      <c r="G212" s="27" t="s">
        <v>32</v>
      </c>
      <c r="H212" s="77">
        <f>SUM(H160:H160)</f>
        <v>1847447468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0.90015505069823121</v>
      </c>
      <c r="E214" s="88">
        <f>SUM(E215:E216)</f>
        <v>3757562920</v>
      </c>
      <c r="F214" s="49">
        <f>E214/C214*100%</f>
        <v>0.90015505069823121</v>
      </c>
      <c r="G214" s="18" t="s">
        <v>0</v>
      </c>
      <c r="H214" s="43">
        <f>SUM(H215:H216)</f>
        <v>3757562920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0.79030464864864869</v>
      </c>
      <c r="E215" s="37">
        <f>SUM(E164)</f>
        <v>146206360</v>
      </c>
      <c r="F215" s="58">
        <f>E215/C215*100%</f>
        <v>0.79030464864864869</v>
      </c>
      <c r="G215" s="27" t="s">
        <v>32</v>
      </c>
      <c r="H215" s="37">
        <f>SUM(H164)</f>
        <v>146206360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0.90524919398162929</v>
      </c>
      <c r="E216" s="77">
        <f>SUM(E166:E166)</f>
        <v>3611356560</v>
      </c>
      <c r="F216" s="58">
        <f>E216/C216*100%</f>
        <v>0.90524919398162929</v>
      </c>
      <c r="G216" s="27" t="s">
        <v>32</v>
      </c>
      <c r="H216" s="77">
        <f>SUM(H166:H166)</f>
        <v>3611356560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0.76588509839038998</v>
      </c>
      <c r="E218" s="88">
        <f>SUM(E219:E220)</f>
        <v>4317980018</v>
      </c>
      <c r="F218" s="49">
        <f>E218/C218*100%</f>
        <v>0.76588509839038998</v>
      </c>
      <c r="G218" s="18" t="s">
        <v>0</v>
      </c>
      <c r="H218" s="43">
        <f>SUM(H219:H220)</f>
        <v>4317980018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0.74972627027027028</v>
      </c>
      <c r="E219" s="37">
        <f>SUM(E170)</f>
        <v>138699360</v>
      </c>
      <c r="F219" s="58">
        <f>E219/C219*100%</f>
        <v>0.74972627027027028</v>
      </c>
      <c r="G219" s="27" t="s">
        <v>32</v>
      </c>
      <c r="H219" s="37">
        <f>SUM(H170)</f>
        <v>138699360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0.76643331782656221</v>
      </c>
      <c r="E220" s="77">
        <f>SUM(E172:E172)</f>
        <v>4179280658</v>
      </c>
      <c r="F220" s="58">
        <f>E220/C220*100%</f>
        <v>0.76643331782656221</v>
      </c>
      <c r="G220" s="27" t="s">
        <v>32</v>
      </c>
      <c r="H220" s="77">
        <f>SUM(H172:H172)</f>
        <v>4179280658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0.88483415725848436</v>
      </c>
      <c r="E222" s="88">
        <f>SUM(E223:E224)</f>
        <v>2200029280</v>
      </c>
      <c r="F222" s="49">
        <f>E222/C222*100%</f>
        <v>0.88483415725848436</v>
      </c>
      <c r="G222" s="18" t="s">
        <v>0</v>
      </c>
      <c r="H222" s="43">
        <f>SUM(H223:H224)</f>
        <v>2200029280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0.80768843243243238</v>
      </c>
      <c r="E223" s="37">
        <f>SUM(E176)</f>
        <v>149422360</v>
      </c>
      <c r="F223" s="58">
        <f>E223/C223*100%</f>
        <v>0.80768843243243238</v>
      </c>
      <c r="G223" s="27" t="s">
        <v>32</v>
      </c>
      <c r="H223" s="37">
        <f>SUM(H176)</f>
        <v>149422360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0.89103565020476105</v>
      </c>
      <c r="E224" s="77">
        <f>SUM(E178:E178)</f>
        <v>2050606920</v>
      </c>
      <c r="F224" s="58">
        <f>E224/C224*100%</f>
        <v>0.89103565020476105</v>
      </c>
      <c r="G224" s="27" t="s">
        <v>32</v>
      </c>
      <c r="H224" s="77">
        <f>SUM(H178:H178)</f>
        <v>2050606920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0.78669169111799553</v>
      </c>
      <c r="E226" s="88">
        <f>SUM(E227:E228)</f>
        <v>7532561998</v>
      </c>
      <c r="F226" s="49">
        <f>E226/C226*100%</f>
        <v>0.78669169111799553</v>
      </c>
      <c r="G226" s="18" t="s">
        <v>0</v>
      </c>
      <c r="H226" s="43">
        <f>SUM(H227:H228)</f>
        <v>7532561998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0.75057789189189195</v>
      </c>
      <c r="E227" s="37">
        <f>SUM(E182)</f>
        <v>138856910</v>
      </c>
      <c r="F227" s="58">
        <f>E227/C227*100%</f>
        <v>0.75057789189189195</v>
      </c>
      <c r="G227" s="27" t="s">
        <v>32</v>
      </c>
      <c r="H227" s="37">
        <f>SUM(H182)</f>
        <v>138856910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0.78740319939864856</v>
      </c>
      <c r="E228" s="77">
        <f>SUM(E184:E184)</f>
        <v>7393705088</v>
      </c>
      <c r="F228" s="58">
        <f>E228/C228*100%</f>
        <v>0.78740319939864856</v>
      </c>
      <c r="G228" s="27" t="s">
        <v>32</v>
      </c>
      <c r="H228" s="77">
        <f>SUM(H184:H184)</f>
        <v>7393705088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Oktober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30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30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0.7513187165378834</v>
      </c>
      <c r="E240" s="14">
        <f>SUM(E242:E244)</f>
        <v>38982353813</v>
      </c>
      <c r="F240" s="42">
        <f>E240/C240*100%</f>
        <v>0.74987115500355095</v>
      </c>
      <c r="G240" s="15" t="s">
        <v>1</v>
      </c>
      <c r="H240" s="14">
        <f>SUM(H242:H244)</f>
        <v>39057605882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0.73202097605399419</v>
      </c>
      <c r="E242" s="37">
        <f>E199</f>
        <v>10581034617</v>
      </c>
      <c r="F242" s="58">
        <f>E242/C242*100%</f>
        <v>0.72685162441935458</v>
      </c>
      <c r="G242" s="27" t="s">
        <v>32</v>
      </c>
      <c r="H242" s="37">
        <f>H199</f>
        <v>10656286686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17">H243/C243*100%</f>
        <v>0.74391482644076412</v>
      </c>
      <c r="E243" s="77">
        <f>E200+E203+E207+E211+E215+E219+E223+E227</f>
        <v>1872225322</v>
      </c>
      <c r="F243" s="58">
        <f t="shared" ref="F243:F244" si="18">E243/C243*100%</f>
        <v>0.74391482644076412</v>
      </c>
      <c r="G243" s="27" t="s">
        <v>32</v>
      </c>
      <c r="H243" s="77">
        <f>H200+H203+H207+H211+H215+H219+H223+H227</f>
        <v>1872225322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17"/>
        <v>0.75989924046365243</v>
      </c>
      <c r="E244" s="77">
        <f>E204+E208+E212+E216+E220+E224+E228</f>
        <v>26529093874</v>
      </c>
      <c r="F244" s="58">
        <f t="shared" si="18"/>
        <v>0.75989924046365243</v>
      </c>
      <c r="G244" s="27" t="s">
        <v>32</v>
      </c>
      <c r="H244" s="77">
        <f>H204+H208+H212+H216+H220+H224+H228</f>
        <v>26529093874</v>
      </c>
    </row>
  </sheetData>
  <mergeCells count="32">
    <mergeCell ref="A2:G2"/>
    <mergeCell ref="B5:G5"/>
    <mergeCell ref="A6:A8"/>
    <mergeCell ref="B6:B8"/>
    <mergeCell ref="C6:C8"/>
    <mergeCell ref="D6:F6"/>
    <mergeCell ref="G6:G8"/>
    <mergeCell ref="E7:F7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233:G233"/>
    <mergeCell ref="B236:G236"/>
    <mergeCell ref="A237:A239"/>
    <mergeCell ref="B237:B239"/>
    <mergeCell ref="C237:C238"/>
    <mergeCell ref="D237:F237"/>
    <mergeCell ref="G237:G239"/>
    <mergeCell ref="E238:F2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workbookViewId="0">
      <selection sqref="A1:XFD1048576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 t="s">
        <v>144</v>
      </c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143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31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53938952658</v>
      </c>
      <c r="D9" s="42">
        <f>E9/C9*100%</f>
        <v>0.81812200633181975</v>
      </c>
      <c r="E9" s="40">
        <f>E11+E53+E62+E71+E80+E89+E98+E107</f>
        <v>44128644168</v>
      </c>
      <c r="F9" s="42">
        <f>E9/C9*100%</f>
        <v>0.81812200633181975</v>
      </c>
      <c r="G9" s="15" t="s">
        <v>1</v>
      </c>
      <c r="H9" s="43">
        <f>H11+H53+H62+H71+H80+H89+H98+H107</f>
        <v>44128644168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17086990906</v>
      </c>
      <c r="D11" s="49">
        <f>E11/C11*100%</f>
        <v>0.73315238785555192</v>
      </c>
      <c r="E11" s="48">
        <f>SUM(E14:E51)</f>
        <v>12527368184</v>
      </c>
      <c r="F11" s="49">
        <f>E11/C11*100%</f>
        <v>0.73315238785555192</v>
      </c>
      <c r="G11" s="18" t="s">
        <v>0</v>
      </c>
      <c r="H11" s="48">
        <f>SUM(H14:H51)</f>
        <v>12527368184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0.79983302000000001</v>
      </c>
      <c r="E14" s="92">
        <f>39991651</f>
        <v>39991651</v>
      </c>
      <c r="F14" s="58">
        <f>E14/C14*100%</f>
        <v>0.79983302000000001</v>
      </c>
      <c r="G14" s="27" t="s">
        <v>33</v>
      </c>
      <c r="H14" s="46">
        <f>39991651</f>
        <v>39991651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ref="H15:H18" si="0">D15*C15</f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0.87966666666666671</v>
      </c>
      <c r="E19" s="92">
        <f>24420000+1970000</f>
        <v>26390000</v>
      </c>
      <c r="F19" s="58">
        <f>E19/C19*100%</f>
        <v>0.87966666666666671</v>
      </c>
      <c r="G19" s="27" t="s">
        <v>33</v>
      </c>
      <c r="H19" s="46">
        <f>26390000</f>
        <v>26390000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0.53825000000000001</v>
      </c>
      <c r="E20" s="92">
        <f>9180000+1585000</f>
        <v>10765000</v>
      </c>
      <c r="F20" s="58">
        <f>E20/C20*100%</f>
        <v>0.53825000000000001</v>
      </c>
      <c r="G20" s="27" t="s">
        <v>33</v>
      </c>
      <c r="H20" s="46">
        <f>10765000</f>
        <v>10765000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12286248670</v>
      </c>
      <c r="D22" s="97">
        <f>E22/C22*100%</f>
        <v>0.76594471801456709</v>
      </c>
      <c r="E22" s="100">
        <f>9410587273</f>
        <v>9410587273</v>
      </c>
      <c r="F22" s="58">
        <f>E22/C22*100%</f>
        <v>0.76594471801456709</v>
      </c>
      <c r="G22" s="27" t="s">
        <v>33</v>
      </c>
      <c r="H22" s="46">
        <f>9410587273</f>
        <v>9410587273</v>
      </c>
    </row>
    <row r="23" spans="1:8" ht="30" x14ac:dyDescent="0.25">
      <c r="A23" s="28" t="s">
        <v>78</v>
      </c>
      <c r="B23" s="28" t="s">
        <v>11</v>
      </c>
      <c r="C23" s="108">
        <v>1901284136</v>
      </c>
      <c r="D23" s="97">
        <f>E23/C23*100%</f>
        <v>0.82334922664078858</v>
      </c>
      <c r="E23" s="100">
        <f>1565420823</f>
        <v>1565420823</v>
      </c>
      <c r="F23" s="58">
        <f>E23/C23*100%</f>
        <v>0.82334922664078858</v>
      </c>
      <c r="G23" s="27" t="s">
        <v>33</v>
      </c>
      <c r="H23" s="46">
        <f>1565420823</f>
        <v>1565420823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0.8844455</v>
      </c>
      <c r="E24" s="100">
        <f>41100675+3121600</f>
        <v>44222275</v>
      </c>
      <c r="F24" s="58">
        <f>E24/C24*100%</f>
        <v>0.8844455</v>
      </c>
      <c r="G24" s="27" t="s">
        <v>33</v>
      </c>
      <c r="H24" s="46">
        <f>44222275</f>
        <v>44222275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0.74455533706822985</v>
      </c>
      <c r="E30" s="92">
        <f>6106500+3927500</f>
        <v>10034000</v>
      </c>
      <c r="F30" s="58">
        <f>E30/C30*100%</f>
        <v>0.74455533706822985</v>
      </c>
      <c r="G30" s="27" t="s">
        <v>33</v>
      </c>
      <c r="H30" s="46">
        <f>10034000</f>
        <v>10034000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ref="H31:H34" si="2">D31*C31</f>
        <v>0</v>
      </c>
    </row>
    <row r="32" spans="1:8" x14ac:dyDescent="0.25">
      <c r="A32" s="28" t="s">
        <v>86</v>
      </c>
      <c r="B32" s="28" t="s">
        <v>16</v>
      </c>
      <c r="C32" s="108">
        <v>16708000</v>
      </c>
      <c r="D32" s="97">
        <f t="shared" ref="D32:D36" si="3">E32/C32*100%</f>
        <v>0.27432966243715584</v>
      </c>
      <c r="E32" s="92">
        <f>4583500</f>
        <v>4583500</v>
      </c>
      <c r="F32" s="58">
        <f>E32/C32*100%</f>
        <v>0.27432966243715584</v>
      </c>
      <c r="G32" s="27" t="s">
        <v>33</v>
      </c>
      <c r="H32" s="46">
        <f>4583500</f>
        <v>4583500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0.96318187336660299</v>
      </c>
      <c r="E33" s="92">
        <f>43341500+16953300</f>
        <v>60294800</v>
      </c>
      <c r="F33" s="58">
        <f>E33/C33*100%</f>
        <v>0.96318187336660299</v>
      </c>
      <c r="G33" s="27" t="s">
        <v>33</v>
      </c>
      <c r="H33" s="46">
        <f>60294800</f>
        <v>60294800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2.8833333333333332E-2</v>
      </c>
      <c r="E35" s="92">
        <f>346000</f>
        <v>346000</v>
      </c>
      <c r="F35" s="58">
        <f>E35/C35*100%</f>
        <v>2.8833333333333332E-2</v>
      </c>
      <c r="G35" s="27" t="s">
        <v>33</v>
      </c>
      <c r="H35" s="46">
        <f>346000</f>
        <v>346000</v>
      </c>
    </row>
    <row r="36" spans="1:10" ht="30" x14ac:dyDescent="0.25">
      <c r="A36" s="28" t="s">
        <v>88</v>
      </c>
      <c r="B36" s="28" t="s">
        <v>18</v>
      </c>
      <c r="C36" s="108">
        <v>408714000</v>
      </c>
      <c r="D36" s="97">
        <f t="shared" si="3"/>
        <v>0.35819680020748007</v>
      </c>
      <c r="E36" s="92">
        <f>89649136+56750911</f>
        <v>146400047</v>
      </c>
      <c r="F36" s="58">
        <f>E36/C36*100%</f>
        <v>0.35819680020748007</v>
      </c>
      <c r="G36" s="27" t="s">
        <v>33</v>
      </c>
      <c r="H36" s="46">
        <v>146400047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0.78764273542081376</v>
      </c>
      <c r="E42" s="100">
        <f>182317997+4642790</f>
        <v>186960787</v>
      </c>
      <c r="F42" s="58">
        <f>E42/C42*100%</f>
        <v>0.78764273542081376</v>
      </c>
      <c r="G42" s="27" t="s">
        <v>33</v>
      </c>
      <c r="H42" s="46">
        <f>186960787</f>
        <v>186960787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51000000</v>
      </c>
      <c r="D43" s="97">
        <f>E43/C43*100%</f>
        <v>0.16666666666666666</v>
      </c>
      <c r="E43" s="91">
        <f>8500000</f>
        <v>8500000</v>
      </c>
      <c r="F43" s="58">
        <f>E43/C43*100%</f>
        <v>0.16666666666666666</v>
      </c>
      <c r="G43" s="27" t="s">
        <v>33</v>
      </c>
      <c r="H43" s="46">
        <v>8500000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244497500</v>
      </c>
      <c r="D45" s="97">
        <f>E45/C45*100%</f>
        <v>0.49305920510434664</v>
      </c>
      <c r="E45" s="92">
        <f>20940000+99611743</f>
        <v>120551743</v>
      </c>
      <c r="F45" s="58">
        <f>E45/C45*100%</f>
        <v>0.49305920510434664</v>
      </c>
      <c r="G45" s="27" t="s">
        <v>33</v>
      </c>
      <c r="H45" s="46">
        <f>120551743</f>
        <v>120551743</v>
      </c>
    </row>
    <row r="46" spans="1:10" x14ac:dyDescent="0.25">
      <c r="A46" s="25" t="s">
        <v>95</v>
      </c>
      <c r="B46" s="106" t="s">
        <v>66</v>
      </c>
      <c r="C46" s="109">
        <v>64490000</v>
      </c>
      <c r="D46" s="97">
        <f t="shared" ref="D46:D48" si="4">E46/C46*100%</f>
        <v>0.36160645061249808</v>
      </c>
      <c r="E46" s="92">
        <f>23320000</f>
        <v>23320000</v>
      </c>
      <c r="F46" s="58">
        <f>E46/C46*100%</f>
        <v>0.36160645061249808</v>
      </c>
      <c r="G46" s="27" t="s">
        <v>33</v>
      </c>
      <c r="H46" s="46">
        <f>23320000</f>
        <v>23320000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0.15420395227442207</v>
      </c>
      <c r="E47" s="92">
        <f>15450000+1093000</f>
        <v>16543000</v>
      </c>
      <c r="F47" s="58">
        <f>E47/C47*100%</f>
        <v>0.15420395227442207</v>
      </c>
      <c r="G47" s="27" t="s">
        <v>33</v>
      </c>
      <c r="H47" s="46">
        <f>D47*C47</f>
        <v>16543000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0.66864124654328871</v>
      </c>
      <c r="E48" s="92">
        <f>19048825+12384000</f>
        <v>31432825</v>
      </c>
      <c r="F48" s="58">
        <f>E48/C48*100%</f>
        <v>0.66864124654328871</v>
      </c>
      <c r="G48" s="27" t="s">
        <v>33</v>
      </c>
      <c r="H48" s="46">
        <f>31432825</f>
        <v>31432825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1481315000</v>
      </c>
      <c r="D51" s="97">
        <f>E51/C51*100%</f>
        <v>0.55425379477018732</v>
      </c>
      <c r="E51" s="90">
        <f>821024460</f>
        <v>821024460</v>
      </c>
      <c r="F51" s="58">
        <f>E51/C51*100%</f>
        <v>0.55425379477018732</v>
      </c>
      <c r="G51" s="27" t="s">
        <v>33</v>
      </c>
      <c r="H51" s="46">
        <f>821024460</f>
        <v>821024460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5014600912</v>
      </c>
      <c r="D53" s="49">
        <f>E53/C53*100%</f>
        <v>0.94751360185609923</v>
      </c>
      <c r="E53" s="63">
        <f>SUM(E54:E60)</f>
        <v>4751402572</v>
      </c>
      <c r="F53" s="49">
        <f>E53/C53*100%</f>
        <v>0.94751360185609923</v>
      </c>
      <c r="G53" s="18" t="s">
        <v>0</v>
      </c>
      <c r="H53" s="63">
        <f>SUM(H56:H60)</f>
        <v>4751402572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235000000</v>
      </c>
      <c r="D56" s="97">
        <f>E56/C56*100%</f>
        <v>0.66047812765957448</v>
      </c>
      <c r="E56" s="92">
        <f>155212360</f>
        <v>155212360</v>
      </c>
      <c r="F56" s="58">
        <f>E56/C56*100%</f>
        <v>0.66047812765957448</v>
      </c>
      <c r="G56" s="27" t="s">
        <v>33</v>
      </c>
      <c r="H56" s="46">
        <f>155212360</f>
        <v>155212360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0.99600758156228575</v>
      </c>
      <c r="E59" s="92">
        <f>962815000+2000945000</f>
        <v>2963760000</v>
      </c>
      <c r="F59" s="58">
        <f>E59/C59*100%</f>
        <v>0.99600758156228575</v>
      </c>
      <c r="G59" s="27" t="s">
        <v>33</v>
      </c>
      <c r="H59" s="46">
        <f>2963760000</f>
        <v>2963760000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0.90491440315642491</v>
      </c>
      <c r="E60" s="92">
        <f>1632430212</f>
        <v>1632430212</v>
      </c>
      <c r="F60" s="58">
        <f>E60/C60*100%</f>
        <v>0.90491440315642491</v>
      </c>
      <c r="G60" s="27" t="s">
        <v>33</v>
      </c>
      <c r="H60" s="46">
        <f>E60</f>
        <v>1632430212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4715737968</v>
      </c>
      <c r="D62" s="49">
        <f>H62/C62</f>
        <v>0.81677695074172108</v>
      </c>
      <c r="E62" s="63">
        <f>SUM(E63:E69)</f>
        <v>3851706078</v>
      </c>
      <c r="F62" s="49">
        <f>E62/C62*100%</f>
        <v>0.81677695074172108</v>
      </c>
      <c r="G62" s="18" t="s">
        <v>0</v>
      </c>
      <c r="H62" s="63">
        <f>SUM(H65:H69)</f>
        <v>3851706078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385000000</v>
      </c>
      <c r="D65" s="97">
        <f>E65/C65*100%</f>
        <v>0.66926781818181813</v>
      </c>
      <c r="E65" s="92">
        <f>257668110</f>
        <v>257668110</v>
      </c>
      <c r="F65" s="58">
        <f>E65/C65*100%</f>
        <v>0.66926781818181813</v>
      </c>
      <c r="G65" s="27" t="s">
        <v>33</v>
      </c>
      <c r="H65" s="46">
        <f>257668110</f>
        <v>257668110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0.91319315635619003</v>
      </c>
      <c r="E68" s="92">
        <f>2461640000</f>
        <v>2461640000</v>
      </c>
      <c r="F68" s="58">
        <f>E68/C68*100%</f>
        <v>0.91319315635619003</v>
      </c>
      <c r="G68" s="27" t="s">
        <v>33</v>
      </c>
      <c r="H68" s="46">
        <f>2461640000</f>
        <v>2461640000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0.69255664807969475</v>
      </c>
      <c r="E69" s="92">
        <f>924071568+208326400</f>
        <v>1132397968</v>
      </c>
      <c r="F69" s="58">
        <f>E69/C69*100%</f>
        <v>0.69255664807969475</v>
      </c>
      <c r="G69" s="27" t="s">
        <v>33</v>
      </c>
      <c r="H69" s="46">
        <f>1132397968</f>
        <v>1132397968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4935085176</v>
      </c>
      <c r="D71" s="49">
        <f>H71/C71</f>
        <v>0.77499754950531374</v>
      </c>
      <c r="E71" s="63">
        <f>SUM(E72:E78)</f>
        <v>3824678918</v>
      </c>
      <c r="F71" s="49">
        <f>E71/C71*100%</f>
        <v>0.77499754950531374</v>
      </c>
      <c r="G71" s="18" t="s">
        <v>0</v>
      </c>
      <c r="H71" s="63">
        <f>SUM(H72:H78)</f>
        <v>3824678918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235000000</v>
      </c>
      <c r="D74" s="97">
        <f>E74/C74*100%</f>
        <v>0.62694212765957447</v>
      </c>
      <c r="E74" s="92">
        <f>147331400</f>
        <v>147331400</v>
      </c>
      <c r="F74" s="58">
        <f>E74/C74*100%</f>
        <v>0.62694212765957447</v>
      </c>
      <c r="G74" s="27" t="s">
        <v>33</v>
      </c>
      <c r="H74" s="46">
        <f>147331400</f>
        <v>147331400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2930640000</v>
      </c>
      <c r="D77" s="97">
        <f t="shared" ref="D77:D78" si="7">E77/C77*100%</f>
        <v>0.86808603240247861</v>
      </c>
      <c r="E77" s="92">
        <f>2544047650</f>
        <v>2544047650</v>
      </c>
      <c r="F77" s="58">
        <f>E77/C77*100%</f>
        <v>0.86808603240247861</v>
      </c>
      <c r="G77" s="27" t="s">
        <v>33</v>
      </c>
      <c r="H77" s="46">
        <f>2544047650</f>
        <v>2544047650</v>
      </c>
    </row>
    <row r="78" spans="1:8" x14ac:dyDescent="0.25">
      <c r="A78" s="28" t="s">
        <v>105</v>
      </c>
      <c r="B78" s="28" t="s">
        <v>41</v>
      </c>
      <c r="C78" s="108">
        <v>1769445176</v>
      </c>
      <c r="D78" s="97">
        <f t="shared" si="7"/>
        <v>0.64048317708375269</v>
      </c>
      <c r="E78" s="92">
        <f>1133299868</f>
        <v>1133299868</v>
      </c>
      <c r="F78" s="58">
        <f>E78/C78*100%</f>
        <v>0.64048317708375269</v>
      </c>
      <c r="G78" s="27" t="s">
        <v>33</v>
      </c>
      <c r="H78" s="46">
        <f>1133299868</f>
        <v>1133299868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4224350760</v>
      </c>
      <c r="D80" s="49">
        <f>H80/C80</f>
        <v>0.90428033490287152</v>
      </c>
      <c r="E80" s="63">
        <f>SUM(E81:E87)</f>
        <v>3819997320</v>
      </c>
      <c r="F80" s="49">
        <f>E80/C80*100%</f>
        <v>0.90428033490287152</v>
      </c>
      <c r="G80" s="18" t="s">
        <v>0</v>
      </c>
      <c r="H80" s="63">
        <f>SUM(H83:H87)</f>
        <v>3819997320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235000000</v>
      </c>
      <c r="D83" s="97">
        <f>E83/C83*100%</f>
        <v>0.63492068085106379</v>
      </c>
      <c r="E83" s="92">
        <f>149206360</f>
        <v>149206360</v>
      </c>
      <c r="F83" s="58">
        <f>E83/C83*100%</f>
        <v>0.63492068085106379</v>
      </c>
      <c r="G83" s="27" t="s">
        <v>33</v>
      </c>
      <c r="H83" s="46">
        <f>149206360</f>
        <v>149206360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0.95686041355959528</v>
      </c>
      <c r="E86" s="92">
        <f>'[4]OKTOBER PERUBAHAN'!$G$30</f>
        <v>2373875000</v>
      </c>
      <c r="F86" s="58">
        <f>E86/C86*100%</f>
        <v>0.95686041355959528</v>
      </c>
      <c r="G86" s="27" t="s">
        <v>33</v>
      </c>
      <c r="H86" s="46">
        <f>2373875000</f>
        <v>2373875000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0.85976685112346662</v>
      </c>
      <c r="E87" s="92">
        <f>1296915960</f>
        <v>1296915960</v>
      </c>
      <c r="F87" s="58">
        <f>E87/C87*100%</f>
        <v>0.85976685112346662</v>
      </c>
      <c r="G87" s="27" t="s">
        <v>33</v>
      </c>
      <c r="H87" s="46">
        <f>1296915960</f>
        <v>1296915960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5687895328</v>
      </c>
      <c r="D89" s="49">
        <f>H89/C89</f>
        <v>0.83205568054363466</v>
      </c>
      <c r="E89" s="63">
        <f>SUM(E90:E96)</f>
        <v>4732645618</v>
      </c>
      <c r="F89" s="49">
        <f>E89/C89*100%</f>
        <v>0.83205568054363466</v>
      </c>
      <c r="G89" s="18" t="s">
        <v>0</v>
      </c>
      <c r="H89" s="63">
        <f>SUM(H92:H96)</f>
        <v>4732645618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235000000</v>
      </c>
      <c r="D92" s="97">
        <f>E92/C92*100%</f>
        <v>0.59021004255319154</v>
      </c>
      <c r="E92" s="92">
        <f>138699360</f>
        <v>138699360</v>
      </c>
      <c r="F92" s="58">
        <f>E92/C92*100%</f>
        <v>0.59021004255319154</v>
      </c>
      <c r="G92" s="27" t="s">
        <v>33</v>
      </c>
      <c r="H92" s="46">
        <f>138699360</f>
        <v>138699360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0.99650139590769338</v>
      </c>
      <c r="E95" s="92">
        <f>2244317000+1139443000</f>
        <v>3383760000</v>
      </c>
      <c r="F95" s="58">
        <f>E95/C95*100%</f>
        <v>0.99650139590769338</v>
      </c>
      <c r="G95" s="27" t="s">
        <v>33</v>
      </c>
      <c r="H95" s="46">
        <f>3383760000</f>
        <v>3383760000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0.58825282478500407</v>
      </c>
      <c r="E96" s="92">
        <f>1210186258</f>
        <v>1210186258</v>
      </c>
      <c r="F96" s="58">
        <f>E96/C96*100%</f>
        <v>0.58825282478500407</v>
      </c>
      <c r="G96" s="27" t="s">
        <v>33</v>
      </c>
      <c r="H96" s="46">
        <f>1210186258</f>
        <v>1210186258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2595213720</v>
      </c>
      <c r="D98" s="49">
        <f>H98/C98</f>
        <v>0.87713364893893975</v>
      </c>
      <c r="E98" s="63">
        <f>SUM(E99:E105)</f>
        <v>2276349280</v>
      </c>
      <c r="F98" s="49">
        <f>E98/C98*100%</f>
        <v>0.87713364893893975</v>
      </c>
      <c r="G98" s="18" t="s">
        <v>0</v>
      </c>
      <c r="H98" s="63">
        <f>SUM(H99:H105)</f>
        <v>2276349280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293839000</v>
      </c>
      <c r="D101" s="97">
        <f>E101/C101*100%</f>
        <v>0.53404197536746312</v>
      </c>
      <c r="E101" s="92">
        <f>156922360</f>
        <v>156922360</v>
      </c>
      <c r="F101" s="58">
        <f>E101/C101*100%</f>
        <v>0.53404197536746312</v>
      </c>
      <c r="G101" s="27" t="s">
        <v>33</v>
      </c>
      <c r="H101" s="46">
        <f>156922360</f>
        <v>156922360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0.98818226291145428</v>
      </c>
      <c r="E104" s="92">
        <f>1413990000</f>
        <v>1413990000</v>
      </c>
      <c r="F104" s="58">
        <f>E104/C104*100%</f>
        <v>0.98818226291145428</v>
      </c>
      <c r="G104" s="27" t="s">
        <v>33</v>
      </c>
      <c r="H104" s="46">
        <f>1413990000</f>
        <v>1413990000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0.81040483289394094</v>
      </c>
      <c r="E105" s="92">
        <f>705436920</f>
        <v>705436920</v>
      </c>
      <c r="F105" s="58">
        <f>E105/C105*100%</f>
        <v>0.81040483289394094</v>
      </c>
      <c r="G105" s="27" t="s">
        <v>33</v>
      </c>
      <c r="H105" s="46">
        <f>705436920</f>
        <v>705436920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9679077888</v>
      </c>
      <c r="D107" s="49">
        <f>H107/C107</f>
        <v>0.86211685602255583</v>
      </c>
      <c r="E107" s="63">
        <f>SUM(E108:E114)</f>
        <v>8344496198</v>
      </c>
      <c r="F107" s="49">
        <f>E107/C107*100%</f>
        <v>0.86211685602255583</v>
      </c>
      <c r="G107" s="18" t="s">
        <v>0</v>
      </c>
      <c r="H107" s="63">
        <f>SUM(H110:H114)</f>
        <v>8344496198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235000000</v>
      </c>
      <c r="D110" s="97">
        <f>E110/C110*100%</f>
        <v>0.67770685106382977</v>
      </c>
      <c r="E110" s="89">
        <f>159261110</f>
        <v>159261110</v>
      </c>
      <c r="F110" s="58">
        <f>E110/C110*100%</f>
        <v>0.67770685106382977</v>
      </c>
      <c r="G110" s="27" t="s">
        <v>33</v>
      </c>
      <c r="H110" s="46">
        <f>159261110</f>
        <v>159261110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0.90117153581610954</v>
      </c>
      <c r="E113" s="92">
        <f>1635180000+3637070000</f>
        <v>5272250000</v>
      </c>
      <c r="F113" s="58">
        <f>E113/C113*100%</f>
        <v>0.90117153581610954</v>
      </c>
      <c r="G113" s="27" t="s">
        <v>33</v>
      </c>
      <c r="H113" s="123">
        <f>5272250000</f>
        <v>5272250000</v>
      </c>
    </row>
    <row r="114" spans="1:8" x14ac:dyDescent="0.25">
      <c r="A114" s="28" t="s">
        <v>105</v>
      </c>
      <c r="B114" s="28" t="s">
        <v>41</v>
      </c>
      <c r="C114" s="108">
        <v>3593637888</v>
      </c>
      <c r="D114" s="97">
        <f t="shared" si="11"/>
        <v>0.81059505125075082</v>
      </c>
      <c r="E114" s="89">
        <f>2912985088</f>
        <v>2912985088</v>
      </c>
      <c r="F114" s="58">
        <f>E114/C114*100%</f>
        <v>0.81059505125075082</v>
      </c>
      <c r="G114" s="27" t="s">
        <v>33</v>
      </c>
      <c r="H114" s="46">
        <f>2912985088</f>
        <v>2912985088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Oktober 2023 PERUBAHAN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31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31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53938952658</v>
      </c>
      <c r="D130" s="42">
        <f>E130/C130*100%</f>
        <v>0.81812200633181975</v>
      </c>
      <c r="E130" s="74">
        <f>E132+E144+E150+E156+E162+E168+E174+E180</f>
        <v>44128644168</v>
      </c>
      <c r="F130" s="42">
        <f>E130/C130*100%</f>
        <v>0.81812200633181975</v>
      </c>
      <c r="G130" s="15" t="s">
        <v>1</v>
      </c>
      <c r="H130" s="43">
        <f>H132+H144+H150+H156+H162+H168+H174+H180</f>
        <v>44128644168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17086990906</v>
      </c>
      <c r="D132" s="49">
        <f>H132/C132*100%</f>
        <v>0.73315238785555192</v>
      </c>
      <c r="E132" s="48">
        <f>SUM(E133:E142)</f>
        <v>12527368184</v>
      </c>
      <c r="F132" s="49">
        <f>E132/C132*100%</f>
        <v>0.73315238785555192</v>
      </c>
      <c r="G132" s="18" t="s">
        <v>0</v>
      </c>
      <c r="H132" s="48">
        <f>SUM(H134:H142)</f>
        <v>12527368184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0.77146650999999999</v>
      </c>
      <c r="E134" s="37">
        <f>SUM(E14:E20)</f>
        <v>77146651</v>
      </c>
      <c r="F134" s="58">
        <f>E134/C134*100%</f>
        <v>0.77146650999999999</v>
      </c>
      <c r="G134" s="27" t="s">
        <v>61</v>
      </c>
      <c r="H134" s="37">
        <f>SUM(H14:H20)</f>
        <v>77146651</v>
      </c>
    </row>
    <row r="135" spans="1:14" x14ac:dyDescent="0.25">
      <c r="A135" s="36" t="s">
        <v>76</v>
      </c>
      <c r="B135" s="36" t="s">
        <v>26</v>
      </c>
      <c r="C135" s="77">
        <f>SUM(C22:C24)</f>
        <v>14237532806</v>
      </c>
      <c r="D135" s="76">
        <f t="shared" ref="D135:D142" si="13">H135/C135*100%</f>
        <v>0.77402668855349999</v>
      </c>
      <c r="E135" s="77">
        <f>SUM(E22:E24)</f>
        <v>11020230371</v>
      </c>
      <c r="F135" s="58">
        <f t="shared" ref="F135:F142" si="14">E135/C135*100%</f>
        <v>0.77402668855349999</v>
      </c>
      <c r="G135" s="27" t="s">
        <v>61</v>
      </c>
      <c r="H135" s="77">
        <f>SUM(H22:H24)</f>
        <v>11020230371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516498100</v>
      </c>
      <c r="D137" s="76">
        <f t="shared" si="13"/>
        <v>0.42915617114564408</v>
      </c>
      <c r="E137" s="77">
        <f>SUM(E30:E36)</f>
        <v>221658347</v>
      </c>
      <c r="F137" s="58">
        <f t="shared" si="14"/>
        <v>0.42915617114564408</v>
      </c>
      <c r="G137" s="27" t="s">
        <v>61</v>
      </c>
      <c r="H137" s="77">
        <f>221658347</f>
        <v>221658347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288367500</v>
      </c>
      <c r="D139" s="76">
        <f t="shared" si="13"/>
        <v>0.677818363719906</v>
      </c>
      <c r="E139" s="77">
        <f>SUM(E42:E43)</f>
        <v>195460787</v>
      </c>
      <c r="F139" s="58">
        <f t="shared" si="14"/>
        <v>0.677818363719906</v>
      </c>
      <c r="G139" s="27" t="s">
        <v>61</v>
      </c>
      <c r="H139" s="77">
        <f>SUM(H42:H43)</f>
        <v>195460787</v>
      </c>
    </row>
    <row r="140" spans="1:14" ht="30" x14ac:dyDescent="0.25">
      <c r="A140" s="36" t="s">
        <v>94</v>
      </c>
      <c r="B140" s="36" t="s">
        <v>30</v>
      </c>
      <c r="C140" s="77">
        <f>SUM(C45:C48)</f>
        <v>463277500</v>
      </c>
      <c r="D140" s="76">
        <f t="shared" si="13"/>
        <v>0.41410940095299253</v>
      </c>
      <c r="E140" s="77">
        <f>SUM(E45:E48)</f>
        <v>191847568</v>
      </c>
      <c r="F140" s="58">
        <f t="shared" si="14"/>
        <v>0.41410940095299253</v>
      </c>
      <c r="G140" s="27" t="s">
        <v>61</v>
      </c>
      <c r="H140" s="77">
        <f>191847568</f>
        <v>191847568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1481315000</v>
      </c>
      <c r="D142" s="76">
        <f t="shared" si="13"/>
        <v>0.55425379477018732</v>
      </c>
      <c r="E142" s="77">
        <f>SUM(E51)</f>
        <v>821024460</v>
      </c>
      <c r="F142" s="58">
        <f t="shared" si="14"/>
        <v>0.55425379477018732</v>
      </c>
      <c r="G142" s="27" t="s">
        <v>61</v>
      </c>
      <c r="H142" s="77">
        <f>821024460</f>
        <v>821024460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5014600912</v>
      </c>
      <c r="D144" s="49">
        <f>H144/C144*100%</f>
        <v>0.94751360185609923</v>
      </c>
      <c r="E144" s="48">
        <f>SUM(E145:E148)</f>
        <v>4751402572</v>
      </c>
      <c r="F144" s="49">
        <f>E144/C144*100%</f>
        <v>0.94751360185609923</v>
      </c>
      <c r="G144" s="18" t="s">
        <v>0</v>
      </c>
      <c r="H144" s="48">
        <f>H146+H148</f>
        <v>4751402572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235000000</v>
      </c>
      <c r="D146" s="76">
        <f>H146/C146*100%</f>
        <v>0.66047812765957448</v>
      </c>
      <c r="E146" s="37">
        <f>SUM(E56)</f>
        <v>155212360</v>
      </c>
      <c r="F146" s="58">
        <f>E146/C146*100%</f>
        <v>0.66047812765957448</v>
      </c>
      <c r="G146" s="27" t="s">
        <v>61</v>
      </c>
      <c r="H146" s="37">
        <f>155212360</f>
        <v>155212360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0.96162635680742381</v>
      </c>
      <c r="E148" s="77">
        <f>SUM(E59:E60)</f>
        <v>4596190212</v>
      </c>
      <c r="F148" s="58">
        <f>E148/C148*100%</f>
        <v>0.96162635680742381</v>
      </c>
      <c r="G148" s="27" t="s">
        <v>61</v>
      </c>
      <c r="H148" s="77">
        <f>SUM(H59:H60)</f>
        <v>4596190212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4715737968</v>
      </c>
      <c r="D150" s="49">
        <f>H150/C150*100%</f>
        <v>0.81677695074172108</v>
      </c>
      <c r="E150" s="48">
        <f>SUM(E151:E154)</f>
        <v>3851706078</v>
      </c>
      <c r="F150" s="49">
        <f>E150/C150*100%</f>
        <v>0.81677695074172108</v>
      </c>
      <c r="G150" s="18" t="s">
        <v>0</v>
      </c>
      <c r="H150" s="48">
        <f>SUM(H151:H154)</f>
        <v>3851706078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385000000</v>
      </c>
      <c r="D152" s="76">
        <f>H152/C152*100%</f>
        <v>0.66926781818181813</v>
      </c>
      <c r="E152" s="37">
        <f>SUM(E65)</f>
        <v>257668110</v>
      </c>
      <c r="F152" s="58">
        <f>E152/C152*100%</f>
        <v>0.66926781818181813</v>
      </c>
      <c r="G152" s="27" t="s">
        <v>61</v>
      </c>
      <c r="H152" s="37">
        <f>SUM(H65)</f>
        <v>257668110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0.82989042388537326</v>
      </c>
      <c r="E154" s="77">
        <f>SUM(E68:E69)</f>
        <v>3594037968</v>
      </c>
      <c r="F154" s="58">
        <f>E154/C154*100%</f>
        <v>0.82989042388537326</v>
      </c>
      <c r="G154" s="27" t="s">
        <v>61</v>
      </c>
      <c r="H154" s="77">
        <f>SUM(H68:H69)</f>
        <v>3594037968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4935085176</v>
      </c>
      <c r="D156" s="49">
        <f>H156/C156*100%</f>
        <v>0.77499754950531374</v>
      </c>
      <c r="E156" s="48">
        <f>SUM(E157:E160)</f>
        <v>3824678918</v>
      </c>
      <c r="F156" s="49">
        <f>E156/C156*100%</f>
        <v>0.77499754950531374</v>
      </c>
      <c r="G156" s="18" t="s">
        <v>0</v>
      </c>
      <c r="H156" s="48">
        <f>SUM(H157:H160)</f>
        <v>3824678918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235000000</v>
      </c>
      <c r="D158" s="76">
        <f>H158/C158*100%</f>
        <v>0.62694212765957447</v>
      </c>
      <c r="E158" s="37">
        <f>SUM(E74)</f>
        <v>147331400</v>
      </c>
      <c r="F158" s="58">
        <f>E158/C158*100%</f>
        <v>0.62694212765957447</v>
      </c>
      <c r="G158" s="27" t="s">
        <v>61</v>
      </c>
      <c r="H158" s="37">
        <f>SUM(H74)</f>
        <v>147331400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4700085176</v>
      </c>
      <c r="D160" s="76">
        <f>H160/C160*100%</f>
        <v>0.78240018644291909</v>
      </c>
      <c r="E160" s="77">
        <f>SUM(E77:E78)</f>
        <v>3677347518</v>
      </c>
      <c r="F160" s="58">
        <f>E160/C160*100%</f>
        <v>0.78240018644291909</v>
      </c>
      <c r="G160" s="27" t="s">
        <v>61</v>
      </c>
      <c r="H160" s="77">
        <f>SUM(H77:H78)</f>
        <v>3677347518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4224350760</v>
      </c>
      <c r="D162" s="49">
        <f>H162/C162*100%</f>
        <v>0.90428033490287152</v>
      </c>
      <c r="E162" s="48">
        <f>SUM(E163:E166)</f>
        <v>3819997320</v>
      </c>
      <c r="F162" s="49">
        <f>E162/C162*100%</f>
        <v>0.90428033490287152</v>
      </c>
      <c r="G162" s="18" t="s">
        <v>0</v>
      </c>
      <c r="H162" s="48">
        <f>SUM(H163:H166)</f>
        <v>3819997320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235000000</v>
      </c>
      <c r="D164" s="76">
        <f>H164/C164*100%</f>
        <v>0.63492068085106379</v>
      </c>
      <c r="E164" s="37">
        <f>SUM(E83)</f>
        <v>149206360</v>
      </c>
      <c r="F164" s="58">
        <f>E164/C164*100%</f>
        <v>0.63492068085106379</v>
      </c>
      <c r="G164" s="27" t="s">
        <v>61</v>
      </c>
      <c r="H164" s="37">
        <f>SUM(H83)</f>
        <v>149206360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0.92014745777831775</v>
      </c>
      <c r="E166" s="77">
        <f>SUM(E86:E87)</f>
        <v>3670790960</v>
      </c>
      <c r="F166" s="58">
        <f>E166/C166*100%</f>
        <v>0.92014745777831775</v>
      </c>
      <c r="G166" s="27" t="s">
        <v>61</v>
      </c>
      <c r="H166" s="77">
        <f>SUM(H86:H87)</f>
        <v>3670790960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5687895328</v>
      </c>
      <c r="D168" s="49">
        <f>H168/C168*100%</f>
        <v>0.83205568054363466</v>
      </c>
      <c r="E168" s="48">
        <f>SUM(E169:E172)</f>
        <v>4732645618</v>
      </c>
      <c r="F168" s="49">
        <f>E168/C168*100%</f>
        <v>0.83205568054363466</v>
      </c>
      <c r="G168" s="18" t="s">
        <v>0</v>
      </c>
      <c r="H168" s="48">
        <f>SUM(H169:H172)</f>
        <v>4732645618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235000000</v>
      </c>
      <c r="D170" s="76">
        <f>H170/C170*100%</f>
        <v>0.59021004255319154</v>
      </c>
      <c r="E170" s="37">
        <f>SUM(E92)</f>
        <v>138699360</v>
      </c>
      <c r="F170" s="58">
        <f>E170/C170*100%</f>
        <v>0.59021004255319154</v>
      </c>
      <c r="G170" s="27" t="s">
        <v>61</v>
      </c>
      <c r="H170" s="37">
        <f>SUM(H92)</f>
        <v>138699360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0.84247834987966963</v>
      </c>
      <c r="E172" s="77">
        <f>SUM(E95:E96)</f>
        <v>4593946258</v>
      </c>
      <c r="F172" s="58">
        <f>E172/C172*100%</f>
        <v>0.84247834987966963</v>
      </c>
      <c r="G172" s="27" t="s">
        <v>61</v>
      </c>
      <c r="H172" s="77">
        <f>SUM(H95:H96)</f>
        <v>4593946258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2595213720</v>
      </c>
      <c r="D174" s="49">
        <f>H174/C174*100%</f>
        <v>0.87713364893893975</v>
      </c>
      <c r="E174" s="48">
        <f>SUM(E175:E178)</f>
        <v>2276349280</v>
      </c>
      <c r="F174" s="49">
        <f>E174/C174*100%</f>
        <v>0.87713364893893975</v>
      </c>
      <c r="G174" s="18" t="s">
        <v>0</v>
      </c>
      <c r="H174" s="48">
        <f>SUM(H175:H178)</f>
        <v>2276349280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293839000</v>
      </c>
      <c r="D176" s="76">
        <f>H176/C176*100%</f>
        <v>0.53404197536746312</v>
      </c>
      <c r="E176" s="37">
        <f>SUM(E101)</f>
        <v>156922360</v>
      </c>
      <c r="F176" s="58">
        <f>E176/C176*100%</f>
        <v>0.53404197536746312</v>
      </c>
      <c r="G176" s="27" t="s">
        <v>61</v>
      </c>
      <c r="H176" s="37">
        <f>SUM(H101)</f>
        <v>156922360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0.9209395156647936</v>
      </c>
      <c r="E178" s="77">
        <f>SUM(E104:E105)</f>
        <v>2119426920</v>
      </c>
      <c r="F178" s="58">
        <f>E178/C178*100%</f>
        <v>0.9209395156647936</v>
      </c>
      <c r="G178" s="27" t="s">
        <v>61</v>
      </c>
      <c r="H178" s="77">
        <f>SUM(H104:H105)</f>
        <v>2119426920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9679077888</v>
      </c>
      <c r="D180" s="49">
        <f>H180/C180*100%</f>
        <v>0.86211685602255583</v>
      </c>
      <c r="E180" s="48">
        <f>SUM(E181:E184)</f>
        <v>8344496198</v>
      </c>
      <c r="F180" s="49">
        <f>E180/C180*100%</f>
        <v>0.86211685602255583</v>
      </c>
      <c r="G180" s="18" t="s">
        <v>0</v>
      </c>
      <c r="H180" s="48">
        <f>SUM(H181:H184)</f>
        <v>8344496198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235000000</v>
      </c>
      <c r="D182" s="76">
        <f>H182/C182*100%</f>
        <v>0.67770685106382977</v>
      </c>
      <c r="E182" s="37">
        <f>SUM(E110)</f>
        <v>159261110</v>
      </c>
      <c r="F182" s="58">
        <f>E182/C182*100%</f>
        <v>0.67770685106382977</v>
      </c>
      <c r="G182" s="27" t="s">
        <v>61</v>
      </c>
      <c r="H182" s="37">
        <f>SUM(H110)</f>
        <v>159261110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9444077888</v>
      </c>
      <c r="D184" s="76">
        <f>H184/C184*100%</f>
        <v>0.86670558894907745</v>
      </c>
      <c r="E184" s="77">
        <f>SUM(E112:E114)</f>
        <v>8185235088</v>
      </c>
      <c r="F184" s="58">
        <f>E184/C184*100%</f>
        <v>0.86670558894907745</v>
      </c>
      <c r="G184" s="27" t="s">
        <v>61</v>
      </c>
      <c r="H184" s="77">
        <f>SUM(H112:H114)</f>
        <v>8185235088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Oktober 2023 PERUBAHAN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31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31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53938952658</v>
      </c>
      <c r="D196" s="42">
        <f>H196/C196*100%</f>
        <v>0.81812200633181975</v>
      </c>
      <c r="E196" s="74">
        <f>E198+E202+E206+E210+E214+E218+E222+E226</f>
        <v>44128644168</v>
      </c>
      <c r="F196" s="42">
        <f>E196/C196*100%</f>
        <v>0.81812200633181975</v>
      </c>
      <c r="G196" s="15" t="s">
        <v>1</v>
      </c>
      <c r="H196" s="43">
        <f>H198+H202+H206+H210+H214+H218+H222+H226</f>
        <v>44128644168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0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17086990906</v>
      </c>
      <c r="D198" s="49">
        <f>H198/C198*100%</f>
        <v>0.73315238785555192</v>
      </c>
      <c r="E198" s="48">
        <f>SUM(E199:E200)</f>
        <v>12527368184</v>
      </c>
      <c r="F198" s="49">
        <f>E198/C198*100%</f>
        <v>0.73315238785555192</v>
      </c>
      <c r="G198" s="18" t="s">
        <v>0</v>
      </c>
      <c r="H198" s="48">
        <f>SUM(H199:H200)</f>
        <v>12527368184</v>
      </c>
    </row>
    <row r="199" spans="1:14" ht="30" x14ac:dyDescent="0.25">
      <c r="A199" s="39" t="s">
        <v>37</v>
      </c>
      <c r="B199" s="36" t="s">
        <v>24</v>
      </c>
      <c r="C199" s="37">
        <f>SUM(C134:C140)</f>
        <v>15605675906</v>
      </c>
      <c r="D199" s="76">
        <f>H199/C199*100%</f>
        <v>0.75013372022542113</v>
      </c>
      <c r="E199" s="37">
        <f>SUM(E134:E140)</f>
        <v>11706343724</v>
      </c>
      <c r="F199" s="58">
        <f>E199/C199*100%</f>
        <v>0.75013372022542113</v>
      </c>
      <c r="G199" s="27" t="s">
        <v>32</v>
      </c>
      <c r="H199" s="37">
        <f>SUM(H134:H140)</f>
        <v>11706343724</v>
      </c>
    </row>
    <row r="200" spans="1:14" ht="30" x14ac:dyDescent="0.25">
      <c r="A200" s="39" t="s">
        <v>38</v>
      </c>
      <c r="B200" s="36" t="s">
        <v>35</v>
      </c>
      <c r="C200" s="77">
        <f>SUM(C142)</f>
        <v>1481315000</v>
      </c>
      <c r="D200" s="76">
        <f>H200/C200*100%</f>
        <v>0.55425379477018732</v>
      </c>
      <c r="E200" s="77">
        <f>SUM(E142)</f>
        <v>821024460</v>
      </c>
      <c r="F200" s="58">
        <f>E200/C200*100%</f>
        <v>0.55425379477018732</v>
      </c>
      <c r="G200" s="27" t="s">
        <v>32</v>
      </c>
      <c r="H200" s="77">
        <f>SUM(H142)</f>
        <v>821024460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5014600912</v>
      </c>
      <c r="D202" s="49">
        <f>H202/C202*100%</f>
        <v>0.94751360185609923</v>
      </c>
      <c r="E202" s="88">
        <f>SUM(E203:E204)</f>
        <v>4751402572</v>
      </c>
      <c r="F202" s="49">
        <f>E202/C202*100%</f>
        <v>0.94751360185609923</v>
      </c>
      <c r="G202" s="18" t="s">
        <v>0</v>
      </c>
      <c r="H202" s="43">
        <f>SUM(H203:H204)</f>
        <v>4751402572</v>
      </c>
    </row>
    <row r="203" spans="1:14" ht="30" x14ac:dyDescent="0.25">
      <c r="A203" s="39" t="s">
        <v>38</v>
      </c>
      <c r="B203" s="36" t="s">
        <v>35</v>
      </c>
      <c r="C203" s="37">
        <f>SUM(C146)</f>
        <v>235000000</v>
      </c>
      <c r="D203" s="76">
        <f>H203/C203*100%</f>
        <v>0.66047812765957448</v>
      </c>
      <c r="E203" s="37">
        <f>SUM(E146)</f>
        <v>155212360</v>
      </c>
      <c r="F203" s="58">
        <f>E203/C203*100%</f>
        <v>0.66047812765957448</v>
      </c>
      <c r="G203" s="27" t="s">
        <v>32</v>
      </c>
      <c r="H203" s="37">
        <f>SUM(H146)</f>
        <v>155212360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0.96162635680742381</v>
      </c>
      <c r="E204" s="77">
        <f>SUM(E148:E148)</f>
        <v>4596190212</v>
      </c>
      <c r="F204" s="58">
        <f>E204/C204*100%</f>
        <v>0.96162635680742381</v>
      </c>
      <c r="G204" s="27" t="s">
        <v>32</v>
      </c>
      <c r="H204" s="77">
        <f>SUM(H148:H148)</f>
        <v>4596190212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4715737968</v>
      </c>
      <c r="D206" s="49">
        <f>H206/C206*100%</f>
        <v>0.81677695074172108</v>
      </c>
      <c r="E206" s="88">
        <f>SUM(E207:E209)</f>
        <v>3851706078</v>
      </c>
      <c r="F206" s="49">
        <f>E206/C206*100%</f>
        <v>0.81677695074172108</v>
      </c>
      <c r="G206" s="18" t="s">
        <v>0</v>
      </c>
      <c r="H206" s="43">
        <f>SUM(H207:H209)</f>
        <v>3851706078</v>
      </c>
    </row>
    <row r="207" spans="1:14" ht="30" x14ac:dyDescent="0.25">
      <c r="A207" s="39" t="s">
        <v>38</v>
      </c>
      <c r="B207" s="36" t="s">
        <v>35</v>
      </c>
      <c r="C207" s="37">
        <f>SUM(C152)</f>
        <v>385000000</v>
      </c>
      <c r="D207" s="76">
        <f>H207/C207*100%</f>
        <v>0.66926781818181813</v>
      </c>
      <c r="E207" s="37">
        <f>SUM(E152)</f>
        <v>257668110</v>
      </c>
      <c r="F207" s="58">
        <f>E207/C207*100%</f>
        <v>0.66926781818181813</v>
      </c>
      <c r="G207" s="27" t="s">
        <v>32</v>
      </c>
      <c r="H207" s="37">
        <f>SUM(H152)</f>
        <v>257668110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0.82989042388537326</v>
      </c>
      <c r="E208" s="77">
        <f>SUM(E154:E154)</f>
        <v>3594037968</v>
      </c>
      <c r="F208" s="58">
        <f>E208/C208*100%</f>
        <v>0.82989042388537326</v>
      </c>
      <c r="G208" s="27" t="s">
        <v>32</v>
      </c>
      <c r="H208" s="77">
        <f>SUM(H154:H154)</f>
        <v>3594037968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4935085176</v>
      </c>
      <c r="D210" s="49">
        <f>H210/C210*100%</f>
        <v>0.77499754950531374</v>
      </c>
      <c r="E210" s="88">
        <f>SUM(E211:E212)</f>
        <v>3824678918</v>
      </c>
      <c r="F210" s="49">
        <f>E210/C210*100%</f>
        <v>0.77499754950531374</v>
      </c>
      <c r="G210" s="18" t="s">
        <v>0</v>
      </c>
      <c r="H210" s="43">
        <f>SUM(H211:H212)</f>
        <v>3824678918</v>
      </c>
    </row>
    <row r="211" spans="1:8" ht="30" x14ac:dyDescent="0.25">
      <c r="A211" s="39" t="s">
        <v>38</v>
      </c>
      <c r="B211" s="36" t="s">
        <v>35</v>
      </c>
      <c r="C211" s="37">
        <f>SUM(C158)</f>
        <v>235000000</v>
      </c>
      <c r="D211" s="76">
        <f>H211/C211*100%</f>
        <v>0.62694212765957447</v>
      </c>
      <c r="E211" s="37">
        <f>SUM(E158)</f>
        <v>147331400</v>
      </c>
      <c r="F211" s="58">
        <f>E211/C211*100%</f>
        <v>0.62694212765957447</v>
      </c>
      <c r="G211" s="27" t="s">
        <v>32</v>
      </c>
      <c r="H211" s="37">
        <f>SUM(H158)</f>
        <v>147331400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4700085176</v>
      </c>
      <c r="D212" s="76">
        <f>H212/C212*100%</f>
        <v>0.78240018644291909</v>
      </c>
      <c r="E212" s="77">
        <f>SUM(E160:E160)</f>
        <v>3677347518</v>
      </c>
      <c r="F212" s="58">
        <f>E212/C212*100%</f>
        <v>0.78240018644291909</v>
      </c>
      <c r="G212" s="27" t="s">
        <v>32</v>
      </c>
      <c r="H212" s="77">
        <f>SUM(H160:H160)</f>
        <v>3677347518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4224350760</v>
      </c>
      <c r="D214" s="49">
        <f>H214/C214*100%</f>
        <v>0.90428033490287152</v>
      </c>
      <c r="E214" s="88">
        <f>SUM(E215:E216)</f>
        <v>3819997320</v>
      </c>
      <c r="F214" s="49">
        <f>E214/C214*100%</f>
        <v>0.90428033490287152</v>
      </c>
      <c r="G214" s="18" t="s">
        <v>0</v>
      </c>
      <c r="H214" s="43">
        <f>SUM(H215:H216)</f>
        <v>3819997320</v>
      </c>
    </row>
    <row r="215" spans="1:8" ht="30" x14ac:dyDescent="0.25">
      <c r="A215" s="39" t="s">
        <v>38</v>
      </c>
      <c r="B215" s="36" t="s">
        <v>35</v>
      </c>
      <c r="C215" s="37">
        <f>SUM(C164)</f>
        <v>235000000</v>
      </c>
      <c r="D215" s="76">
        <f>H215/C215*100%</f>
        <v>0.63492068085106379</v>
      </c>
      <c r="E215" s="37">
        <f>SUM(E164)</f>
        <v>149206360</v>
      </c>
      <c r="F215" s="58">
        <f>E215/C215*100%</f>
        <v>0.63492068085106379</v>
      </c>
      <c r="G215" s="27" t="s">
        <v>32</v>
      </c>
      <c r="H215" s="37">
        <f>SUM(H164)</f>
        <v>149206360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0.92014745777831775</v>
      </c>
      <c r="E216" s="77">
        <f>SUM(E166:E166)</f>
        <v>3670790960</v>
      </c>
      <c r="F216" s="58">
        <f>E216/C216*100%</f>
        <v>0.92014745777831775</v>
      </c>
      <c r="G216" s="27" t="s">
        <v>32</v>
      </c>
      <c r="H216" s="77">
        <f>SUM(H166:H166)</f>
        <v>3670790960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5687895328</v>
      </c>
      <c r="D218" s="49">
        <f>H218/C218*100%</f>
        <v>0.83205568054363466</v>
      </c>
      <c r="E218" s="88">
        <f>SUM(E219:E220)</f>
        <v>4732645618</v>
      </c>
      <c r="F218" s="49">
        <f>E218/C218*100%</f>
        <v>0.83205568054363466</v>
      </c>
      <c r="G218" s="18" t="s">
        <v>0</v>
      </c>
      <c r="H218" s="43">
        <f>SUM(H219:H220)</f>
        <v>4732645618</v>
      </c>
    </row>
    <row r="219" spans="1:8" ht="30" x14ac:dyDescent="0.25">
      <c r="A219" s="39" t="s">
        <v>38</v>
      </c>
      <c r="B219" s="36" t="s">
        <v>35</v>
      </c>
      <c r="C219" s="37">
        <f>SUM(C170)</f>
        <v>235000000</v>
      </c>
      <c r="D219" s="76">
        <f>H219/C219*100%</f>
        <v>0.59021004255319154</v>
      </c>
      <c r="E219" s="37">
        <f>SUM(E170)</f>
        <v>138699360</v>
      </c>
      <c r="F219" s="58">
        <f>E219/C219*100%</f>
        <v>0.59021004255319154</v>
      </c>
      <c r="G219" s="27" t="s">
        <v>32</v>
      </c>
      <c r="H219" s="37">
        <f>SUM(H170)</f>
        <v>138699360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0.84247834987966963</v>
      </c>
      <c r="E220" s="77">
        <f>SUM(E172:E172)</f>
        <v>4593946258</v>
      </c>
      <c r="F220" s="58">
        <f>E220/C220*100%</f>
        <v>0.84247834987966963</v>
      </c>
      <c r="G220" s="27" t="s">
        <v>32</v>
      </c>
      <c r="H220" s="77">
        <f>SUM(H172:H172)</f>
        <v>4593946258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2595213720</v>
      </c>
      <c r="D222" s="49">
        <f>H222/C222*100%</f>
        <v>0.87713364893893975</v>
      </c>
      <c r="E222" s="88">
        <f>SUM(E223:E224)</f>
        <v>2276349280</v>
      </c>
      <c r="F222" s="49">
        <f>E222/C222*100%</f>
        <v>0.87713364893893975</v>
      </c>
      <c r="G222" s="18" t="s">
        <v>0</v>
      </c>
      <c r="H222" s="43">
        <f>SUM(H223:H224)</f>
        <v>2276349280</v>
      </c>
    </row>
    <row r="223" spans="1:8" ht="30" x14ac:dyDescent="0.25">
      <c r="A223" s="39" t="s">
        <v>38</v>
      </c>
      <c r="B223" s="36" t="s">
        <v>35</v>
      </c>
      <c r="C223" s="37">
        <f>SUM(C176)</f>
        <v>293839000</v>
      </c>
      <c r="D223" s="76">
        <f>H223/C223*100%</f>
        <v>0.53404197536746312</v>
      </c>
      <c r="E223" s="37">
        <f>SUM(E176)</f>
        <v>156922360</v>
      </c>
      <c r="F223" s="58">
        <f>E223/C223*100%</f>
        <v>0.53404197536746312</v>
      </c>
      <c r="G223" s="27" t="s">
        <v>32</v>
      </c>
      <c r="H223" s="37">
        <f>SUM(H176)</f>
        <v>156922360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0.9209395156647936</v>
      </c>
      <c r="E224" s="77">
        <f>SUM(E178:E178)</f>
        <v>2119426920</v>
      </c>
      <c r="F224" s="58">
        <f>E224/C224*100%</f>
        <v>0.9209395156647936</v>
      </c>
      <c r="G224" s="27" t="s">
        <v>32</v>
      </c>
      <c r="H224" s="77">
        <f>SUM(H178:H178)</f>
        <v>2119426920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9679077888</v>
      </c>
      <c r="D226" s="49">
        <f>H226/C226*100%</f>
        <v>0.86211685602255583</v>
      </c>
      <c r="E226" s="88">
        <f>SUM(E227:E228)</f>
        <v>8344496198</v>
      </c>
      <c r="F226" s="49">
        <f>E226/C226*100%</f>
        <v>0.86211685602255583</v>
      </c>
      <c r="G226" s="18" t="s">
        <v>0</v>
      </c>
      <c r="H226" s="43">
        <f>SUM(H227:H228)</f>
        <v>8344496198</v>
      </c>
    </row>
    <row r="227" spans="1:14" ht="30" x14ac:dyDescent="0.25">
      <c r="A227" s="39" t="s">
        <v>38</v>
      </c>
      <c r="B227" s="36" t="s">
        <v>35</v>
      </c>
      <c r="C227" s="37">
        <f>SUM(C182)</f>
        <v>235000000</v>
      </c>
      <c r="D227" s="76">
        <f>H227/C227*100%</f>
        <v>0.67770685106382977</v>
      </c>
      <c r="E227" s="37">
        <f>SUM(E182)</f>
        <v>159261110</v>
      </c>
      <c r="F227" s="58">
        <f>E227/C227*100%</f>
        <v>0.67770685106382977</v>
      </c>
      <c r="G227" s="27" t="s">
        <v>32</v>
      </c>
      <c r="H227" s="37">
        <f>SUM(H182)</f>
        <v>159261110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9444077888</v>
      </c>
      <c r="D228" s="76">
        <f>H228/C228*100%</f>
        <v>0.86670558894907745</v>
      </c>
      <c r="E228" s="77">
        <f>SUM(E184:E184)</f>
        <v>8185235088</v>
      </c>
      <c r="F228" s="58">
        <f>E228/C228*100%</f>
        <v>0.86670558894907745</v>
      </c>
      <c r="G228" s="27" t="s">
        <v>32</v>
      </c>
      <c r="H228" s="77">
        <f>SUM(H184:H184)</f>
        <v>8185235088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Oktober 2023 PERUBAHAN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31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31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53938952658</v>
      </c>
      <c r="D240" s="42">
        <f>H240/C240*100%</f>
        <v>0.81812200633181975</v>
      </c>
      <c r="E240" s="14">
        <f>SUM(E242:E244)</f>
        <v>44128644168</v>
      </c>
      <c r="F240" s="42">
        <f>E240/C240*100%</f>
        <v>0.81812200633181975</v>
      </c>
      <c r="G240" s="15" t="s">
        <v>1</v>
      </c>
      <c r="H240" s="14">
        <f>SUM(H242:H244)</f>
        <v>44128644168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15605675906</v>
      </c>
      <c r="D242" s="76">
        <f>H242/C242*100%</f>
        <v>0.75013372022542113</v>
      </c>
      <c r="E242" s="37">
        <f>E199</f>
        <v>11706343724</v>
      </c>
      <c r="F242" s="58">
        <f>E242/C242*100%</f>
        <v>0.75013372022542113</v>
      </c>
      <c r="G242" s="27" t="s">
        <v>32</v>
      </c>
      <c r="H242" s="37">
        <f>H199</f>
        <v>11706343724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3335154000</v>
      </c>
      <c r="D243" s="76">
        <f t="shared" ref="D243:D244" si="17">H243/C243*100%</f>
        <v>0.59527251815058613</v>
      </c>
      <c r="E243" s="77">
        <f>E200+E203+E207+E211+E215+E219+E223+E227</f>
        <v>1985325520</v>
      </c>
      <c r="F243" s="58">
        <f t="shared" ref="F243:F244" si="18">E243/C243*100%</f>
        <v>0.59527251815058613</v>
      </c>
      <c r="G243" s="27" t="s">
        <v>32</v>
      </c>
      <c r="H243" s="77">
        <f>H200+H203+H207+H211+H215+H219+H223+H227</f>
        <v>1985325520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34998122752</v>
      </c>
      <c r="D244" s="76">
        <f t="shared" si="17"/>
        <v>0.86967450053476514</v>
      </c>
      <c r="E244" s="77">
        <f>E204+E208+E212+E216+E220+E224+E228</f>
        <v>30436974924</v>
      </c>
      <c r="F244" s="58">
        <f t="shared" si="18"/>
        <v>0.86967450053476514</v>
      </c>
      <c r="G244" s="27" t="s">
        <v>32</v>
      </c>
      <c r="H244" s="77">
        <f>H204+H208+H212+H216+H220+H224+H228</f>
        <v>30436974924</v>
      </c>
    </row>
  </sheetData>
  <mergeCells count="32">
    <mergeCell ref="A233:G233"/>
    <mergeCell ref="B236:G236"/>
    <mergeCell ref="A237:A239"/>
    <mergeCell ref="B237:B239"/>
    <mergeCell ref="C237:C238"/>
    <mergeCell ref="D237:F237"/>
    <mergeCell ref="G237:G239"/>
    <mergeCell ref="E238:F23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2:G2"/>
    <mergeCell ref="B5:G5"/>
    <mergeCell ref="A6:A8"/>
    <mergeCell ref="B6:B8"/>
    <mergeCell ref="C6:C8"/>
    <mergeCell ref="D6:F6"/>
    <mergeCell ref="G6:G8"/>
    <mergeCell ref="E7:F7"/>
  </mergeCells>
  <printOptions horizontalCentered="1"/>
  <pageMargins left="0.7" right="0.7" top="0.75" bottom="0.75" header="0.3" footer="0.3"/>
  <pageSetup paperSize="1000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topLeftCell="A45" workbookViewId="0">
      <selection activeCell="H143" sqref="H143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 t="s">
        <v>144</v>
      </c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145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32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53938952658</v>
      </c>
      <c r="D9" s="42">
        <f>E9/C9*100%</f>
        <v>0.88503720918874207</v>
      </c>
      <c r="E9" s="40">
        <f>E11+E53+E62+E71+E80+E89+E98+E107</f>
        <v>47737980127</v>
      </c>
      <c r="F9" s="42">
        <f>E9/C9*100%</f>
        <v>0.88503720918874207</v>
      </c>
      <c r="G9" s="15" t="s">
        <v>1</v>
      </c>
      <c r="H9" s="43">
        <f>H11+H53+H62+H71+H80+H89+H98+H107</f>
        <v>47737980127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17086990906</v>
      </c>
      <c r="D11" s="49">
        <f>E11/C11*100%</f>
        <v>0.82203825824404053</v>
      </c>
      <c r="E11" s="48">
        <f>SUM(E14:E51)</f>
        <v>14046160243</v>
      </c>
      <c r="F11" s="49">
        <f>E11/C11*100%</f>
        <v>0.82203825824404053</v>
      </c>
      <c r="G11" s="18" t="s">
        <v>0</v>
      </c>
      <c r="H11" s="48">
        <f>SUM(H14:H51)</f>
        <v>14046160243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0.97543301999999998</v>
      </c>
      <c r="E14" s="92">
        <f>48771651</f>
        <v>48771651</v>
      </c>
      <c r="F14" s="58">
        <f>E14/C14*100%</f>
        <v>0.97543301999999998</v>
      </c>
      <c r="G14" s="27" t="s">
        <v>33</v>
      </c>
      <c r="H14" s="46">
        <f>48771651</f>
        <v>48771651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ref="H15:H18" si="0">D15*C15</f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0.87966666666666671</v>
      </c>
      <c r="E19" s="92">
        <f>24420000+1970000</f>
        <v>26390000</v>
      </c>
      <c r="F19" s="58">
        <f>E19/C19*100%</f>
        <v>0.87966666666666671</v>
      </c>
      <c r="G19" s="27" t="s">
        <v>33</v>
      </c>
      <c r="H19" s="46">
        <f>26390000</f>
        <v>26390000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0.62324999999999997</v>
      </c>
      <c r="E20" s="92">
        <f>10880000+1585000</f>
        <v>12465000</v>
      </c>
      <c r="F20" s="58">
        <f>E20/C20*100%</f>
        <v>0.62324999999999997</v>
      </c>
      <c r="G20" s="27" t="s">
        <v>33</v>
      </c>
      <c r="H20" s="46">
        <f>12465000</f>
        <v>12465000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12286248670</v>
      </c>
      <c r="D22" s="97">
        <f>E22/C22*100%</f>
        <v>0.83410440316279222</v>
      </c>
      <c r="E22" s="100">
        <f>10248014114</f>
        <v>10248014114</v>
      </c>
      <c r="F22" s="58">
        <f>E22/C22*100%</f>
        <v>0.83410440316279222</v>
      </c>
      <c r="G22" s="27" t="s">
        <v>33</v>
      </c>
      <c r="H22" s="46">
        <f>10248014114</f>
        <v>10248014114</v>
      </c>
    </row>
    <row r="23" spans="1:8" ht="30" x14ac:dyDescent="0.25">
      <c r="A23" s="28" t="s">
        <v>78</v>
      </c>
      <c r="B23" s="28" t="s">
        <v>11</v>
      </c>
      <c r="C23" s="108">
        <v>1901284136</v>
      </c>
      <c r="D23" s="97">
        <f>E23/C23*100%</f>
        <v>0.89052750766758615</v>
      </c>
      <c r="E23" s="100">
        <f>1693145823</f>
        <v>1693145823</v>
      </c>
      <c r="F23" s="58">
        <f>E23/C23*100%</f>
        <v>0.89052750766758615</v>
      </c>
      <c r="G23" s="27" t="s">
        <v>33</v>
      </c>
      <c r="H23" s="46">
        <f>1693145823</f>
        <v>1693145823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0.997</v>
      </c>
      <c r="E24" s="100">
        <f>46728400+3121600</f>
        <v>49850000</v>
      </c>
      <c r="F24" s="58">
        <f>E24/C24*100%</f>
        <v>0.997</v>
      </c>
      <c r="G24" s="27" t="s">
        <v>33</v>
      </c>
      <c r="H24" s="46">
        <f>49850000</f>
        <v>49850000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1</v>
      </c>
      <c r="E30" s="92">
        <f>9448000+4028500</f>
        <v>13476500</v>
      </c>
      <c r="F30" s="58">
        <f>E30/C30*100%</f>
        <v>1</v>
      </c>
      <c r="G30" s="27" t="s">
        <v>33</v>
      </c>
      <c r="H30" s="46">
        <f>13476500</f>
        <v>13476500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ref="H31" si="2">D31*C31</f>
        <v>0</v>
      </c>
    </row>
    <row r="32" spans="1:8" x14ac:dyDescent="0.25">
      <c r="A32" s="28" t="s">
        <v>86</v>
      </c>
      <c r="B32" s="28" t="s">
        <v>16</v>
      </c>
      <c r="C32" s="108">
        <v>16708000</v>
      </c>
      <c r="D32" s="97">
        <f t="shared" ref="D32:D36" si="3">E32/C32*100%</f>
        <v>0.30829542734019633</v>
      </c>
      <c r="E32" s="92">
        <f>170000+4981000</f>
        <v>5151000</v>
      </c>
      <c r="F32" s="58">
        <f>E32/C32*100%</f>
        <v>0.30829542734019633</v>
      </c>
      <c r="G32" s="27" t="s">
        <v>33</v>
      </c>
      <c r="H32" s="46">
        <f>5151000</f>
        <v>5151000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0.96589754567121833</v>
      </c>
      <c r="E33" s="92">
        <f>43511500+16953300</f>
        <v>60464800</v>
      </c>
      <c r="F33" s="58">
        <f>E33/C33*100%</f>
        <v>0.96589754567121833</v>
      </c>
      <c r="G33" s="27" t="s">
        <v>33</v>
      </c>
      <c r="H33" s="46">
        <f>60464800</f>
        <v>60464800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1</v>
      </c>
      <c r="E34" s="92">
        <v>3000000</v>
      </c>
      <c r="F34" s="58">
        <f>E34/C34*100%</f>
        <v>1</v>
      </c>
      <c r="G34" s="27" t="s">
        <v>33</v>
      </c>
      <c r="H34" s="46">
        <v>3000000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0.29073333333333334</v>
      </c>
      <c r="E35" s="92">
        <f>3142200+346600</f>
        <v>3488800</v>
      </c>
      <c r="F35" s="58">
        <f>E35/C35*100%</f>
        <v>0.29073333333333334</v>
      </c>
      <c r="G35" s="27" t="s">
        <v>33</v>
      </c>
      <c r="H35" s="46">
        <f>3488800</f>
        <v>3488800</v>
      </c>
    </row>
    <row r="36" spans="1:10" ht="30" x14ac:dyDescent="0.25">
      <c r="A36" s="28" t="s">
        <v>88</v>
      </c>
      <c r="B36" s="28" t="s">
        <v>18</v>
      </c>
      <c r="C36" s="108">
        <v>408714000</v>
      </c>
      <c r="D36" s="97">
        <f t="shared" si="3"/>
        <v>0.67473778485689262</v>
      </c>
      <c r="E36" s="92">
        <f>219023868+56750911</f>
        <v>275774779</v>
      </c>
      <c r="F36" s="58">
        <f>E36/C36*100%</f>
        <v>0.67473778485689262</v>
      </c>
      <c r="G36" s="27" t="s">
        <v>33</v>
      </c>
      <c r="H36" s="46">
        <f>275774779</f>
        <v>275774779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0.88189757232982613</v>
      </c>
      <c r="E42" s="100">
        <f>204691032+4642790</f>
        <v>209333822</v>
      </c>
      <c r="F42" s="58">
        <f>E42/C42*100%</f>
        <v>0.88189757232982613</v>
      </c>
      <c r="G42" s="27" t="s">
        <v>33</v>
      </c>
      <c r="H42" s="46">
        <f>209333822</f>
        <v>209333822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51000000</v>
      </c>
      <c r="D43" s="97">
        <f>E43/C43*100%</f>
        <v>0.75</v>
      </c>
      <c r="E43" s="91">
        <f>38250000</f>
        <v>38250000</v>
      </c>
      <c r="F43" s="58">
        <f>E43/C43*100%</f>
        <v>0.75</v>
      </c>
      <c r="G43" s="27" t="s">
        <v>33</v>
      </c>
      <c r="H43" s="46">
        <f>38250000</f>
        <v>38250000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244497500</v>
      </c>
      <c r="D45" s="97">
        <f>E45/C45*100%</f>
        <v>0.57222238673197068</v>
      </c>
      <c r="E45" s="92">
        <f>28280000+111626943</f>
        <v>139906943</v>
      </c>
      <c r="F45" s="58">
        <f>E45/C45*100%</f>
        <v>0.57222238673197068</v>
      </c>
      <c r="G45" s="27" t="s">
        <v>33</v>
      </c>
      <c r="H45" s="46">
        <f>139906943</f>
        <v>139906943</v>
      </c>
    </row>
    <row r="46" spans="1:10" x14ac:dyDescent="0.25">
      <c r="A46" s="25" t="s">
        <v>95</v>
      </c>
      <c r="B46" s="106" t="s">
        <v>66</v>
      </c>
      <c r="C46" s="109">
        <v>64490000</v>
      </c>
      <c r="D46" s="97">
        <f t="shared" ref="D46:D48" si="4">E46/C46*100%</f>
        <v>0.50170569080477589</v>
      </c>
      <c r="E46" s="92">
        <f>32355000</f>
        <v>32355000</v>
      </c>
      <c r="F46" s="58">
        <f>E46/C46*100%</f>
        <v>0.50170569080477589</v>
      </c>
      <c r="G46" s="27" t="s">
        <v>33</v>
      </c>
      <c r="H46" s="46">
        <f>32355000</f>
        <v>32355000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0.99802596942580168</v>
      </c>
      <c r="E47" s="92">
        <f>105975226+1093000</f>
        <v>107068226</v>
      </c>
      <c r="F47" s="58">
        <f>E47/C47*100%</f>
        <v>0.99802596942580168</v>
      </c>
      <c r="G47" s="27" t="s">
        <v>33</v>
      </c>
      <c r="H47" s="46">
        <f>107068226</f>
        <v>107068226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0.68920070197830252</v>
      </c>
      <c r="E48" s="92">
        <f>19218825+13180500</f>
        <v>32399325</v>
      </c>
      <c r="F48" s="58">
        <f>E48/C48*100%</f>
        <v>0.68920070197830252</v>
      </c>
      <c r="G48" s="27" t="s">
        <v>33</v>
      </c>
      <c r="H48" s="46">
        <f>32399325</f>
        <v>32399325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1481315000</v>
      </c>
      <c r="D51" s="97">
        <f>E51/C51*100%</f>
        <v>0.70670617660659618</v>
      </c>
      <c r="E51" s="90">
        <f>1046854460</f>
        <v>1046854460</v>
      </c>
      <c r="F51" s="58">
        <f>E51/C51*100%</f>
        <v>0.70670617660659618</v>
      </c>
      <c r="G51" s="27" t="s">
        <v>33</v>
      </c>
      <c r="H51" s="46">
        <f>1046854460</f>
        <v>1046854460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5014600912</v>
      </c>
      <c r="D53" s="49">
        <f>E53/C53*100%</f>
        <v>0.95608058470356694</v>
      </c>
      <c r="E53" s="63">
        <f>SUM(E54:E60)</f>
        <v>4794362572</v>
      </c>
      <c r="F53" s="49">
        <f>E53/C53*100%</f>
        <v>0.95608058470356694</v>
      </c>
      <c r="G53" s="18" t="s">
        <v>0</v>
      </c>
      <c r="H53" s="63">
        <f>SUM(H56:H60)</f>
        <v>4794362572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235000000</v>
      </c>
      <c r="D56" s="97">
        <f>E56/C56*100%</f>
        <v>0.84328663829787232</v>
      </c>
      <c r="E56" s="92">
        <f>198172360</f>
        <v>198172360</v>
      </c>
      <c r="F56" s="58">
        <f>E56/C56*100%</f>
        <v>0.84328663829787232</v>
      </c>
      <c r="G56" s="27" t="s">
        <v>33</v>
      </c>
      <c r="H56" s="46">
        <f>198172360</f>
        <v>198172360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0.99600758156228575</v>
      </c>
      <c r="E59" s="92">
        <f>962815000+2000945000</f>
        <v>2963760000</v>
      </c>
      <c r="F59" s="58">
        <f>E59/C59*100%</f>
        <v>0.99600758156228575</v>
      </c>
      <c r="G59" s="27" t="s">
        <v>33</v>
      </c>
      <c r="H59" s="46">
        <f>2963760000</f>
        <v>2963760000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0.90491440315642491</v>
      </c>
      <c r="E60" s="92">
        <f>1632430212</f>
        <v>1632430212</v>
      </c>
      <c r="F60" s="58">
        <f>E60/C60*100%</f>
        <v>0.90491440315642491</v>
      </c>
      <c r="G60" s="27" t="s">
        <v>33</v>
      </c>
      <c r="H60" s="46">
        <f>E60</f>
        <v>1632430212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4715737968</v>
      </c>
      <c r="D62" s="49">
        <f>H62/C62</f>
        <v>0.89722628922795145</v>
      </c>
      <c r="E62" s="63">
        <f>SUM(E63:E69)</f>
        <v>4231084078</v>
      </c>
      <c r="F62" s="49">
        <f>E62/C62*100%</f>
        <v>0.89722628922795145</v>
      </c>
      <c r="G62" s="18" t="s">
        <v>0</v>
      </c>
      <c r="H62" s="63">
        <f>SUM(H65:H69)</f>
        <v>4231084078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385000000</v>
      </c>
      <c r="D65" s="97">
        <f>E65/C65*100%</f>
        <v>0.72765223376623378</v>
      </c>
      <c r="E65" s="92">
        <f>280146110</f>
        <v>280146110</v>
      </c>
      <c r="F65" s="58">
        <f>E65/C65*100%</f>
        <v>0.72765223376623378</v>
      </c>
      <c r="G65" s="27" t="s">
        <v>33</v>
      </c>
      <c r="H65" s="46">
        <f>280146110</f>
        <v>280146110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1</v>
      </c>
      <c r="E68" s="92">
        <f>2695640000</f>
        <v>2695640000</v>
      </c>
      <c r="F68" s="58">
        <f>E68/C68*100%</f>
        <v>1</v>
      </c>
      <c r="G68" s="27" t="s">
        <v>33</v>
      </c>
      <c r="H68" s="46">
        <f>2695640000</f>
        <v>2695640000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0.7677203400450926</v>
      </c>
      <c r="E69" s="92">
        <f>1255297968</f>
        <v>1255297968</v>
      </c>
      <c r="F69" s="58">
        <f>E69/C69*100%</f>
        <v>0.7677203400450926</v>
      </c>
      <c r="G69" s="27" t="s">
        <v>33</v>
      </c>
      <c r="H69" s="46">
        <f>1255297968</f>
        <v>1255297968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4935085176</v>
      </c>
      <c r="D71" s="49">
        <f>H71/C71</f>
        <v>0.78727772255981832</v>
      </c>
      <c r="E71" s="63">
        <f>SUM(E72:E78)</f>
        <v>3885282618</v>
      </c>
      <c r="F71" s="49">
        <f>E71/C71*100%</f>
        <v>0.78727772255981832</v>
      </c>
      <c r="G71" s="18" t="s">
        <v>0</v>
      </c>
      <c r="H71" s="63">
        <f>SUM(H72:H78)</f>
        <v>3885282618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235000000</v>
      </c>
      <c r="D74" s="97">
        <f>E74/C74*100%</f>
        <v>0.62694212765957447</v>
      </c>
      <c r="E74" s="92">
        <f>147331400</f>
        <v>147331400</v>
      </c>
      <c r="F74" s="58">
        <f>E74/C74*100%</f>
        <v>0.62694212765957447</v>
      </c>
      <c r="G74" s="27" t="s">
        <v>33</v>
      </c>
      <c r="H74" s="46">
        <f>147331400</f>
        <v>147331400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2930640000</v>
      </c>
      <c r="D77" s="97">
        <f t="shared" ref="D77:D78" si="7">E77/C77*100%</f>
        <v>0.87995715952829412</v>
      </c>
      <c r="E77" s="92">
        <f>2578837650</f>
        <v>2578837650</v>
      </c>
      <c r="F77" s="58">
        <f>E77/C77*100%</f>
        <v>0.87995715952829412</v>
      </c>
      <c r="G77" s="27" t="s">
        <v>33</v>
      </c>
      <c r="H77" s="46">
        <f>2578837650</f>
        <v>2578837650</v>
      </c>
    </row>
    <row r="78" spans="1:8" x14ac:dyDescent="0.25">
      <c r="A78" s="28" t="s">
        <v>105</v>
      </c>
      <c r="B78" s="28" t="s">
        <v>41</v>
      </c>
      <c r="C78" s="108">
        <v>1769445176</v>
      </c>
      <c r="D78" s="97">
        <f t="shared" si="7"/>
        <v>0.65507176131915379</v>
      </c>
      <c r="E78" s="92">
        <f>1159113568</f>
        <v>1159113568</v>
      </c>
      <c r="F78" s="58">
        <f>E78/C78*100%</f>
        <v>0.65507176131915379</v>
      </c>
      <c r="G78" s="27" t="s">
        <v>33</v>
      </c>
      <c r="H78" s="46">
        <f>1159113568</f>
        <v>1159113568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4224350760</v>
      </c>
      <c r="D80" s="49">
        <f>H80/C80</f>
        <v>0.96669892061709384</v>
      </c>
      <c r="E80" s="63">
        <f>SUM(E81:E87)</f>
        <v>4083675320</v>
      </c>
      <c r="F80" s="49">
        <f>E80/C80*100%</f>
        <v>0.96669892061709384</v>
      </c>
      <c r="G80" s="18" t="s">
        <v>0</v>
      </c>
      <c r="H80" s="63">
        <f>SUM(H83:H87)</f>
        <v>4083675320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235000000</v>
      </c>
      <c r="D83" s="97">
        <f>E83/C83*100%</f>
        <v>0.88567812765957443</v>
      </c>
      <c r="E83" s="92">
        <f>208134360</f>
        <v>208134360</v>
      </c>
      <c r="F83" s="58">
        <f>E83/C83*100%</f>
        <v>0.88567812765957443</v>
      </c>
      <c r="G83" s="27" t="s">
        <v>33</v>
      </c>
      <c r="H83" s="46">
        <f>208134360</f>
        <v>208134360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0.99187794751904546</v>
      </c>
      <c r="E86" s="92">
        <f>2460750000</f>
        <v>2460750000</v>
      </c>
      <c r="F86" s="58">
        <f>E86/C86*100%</f>
        <v>0.99187794751904546</v>
      </c>
      <c r="G86" s="27" t="s">
        <v>33</v>
      </c>
      <c r="H86" s="46">
        <f>2460750000</f>
        <v>2460750000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0.93790993880370344</v>
      </c>
      <c r="E87" s="92">
        <f>1414790960</f>
        <v>1414790960</v>
      </c>
      <c r="F87" s="58">
        <f>E87/C87*100%</f>
        <v>0.93790993880370344</v>
      </c>
      <c r="G87" s="27" t="s">
        <v>33</v>
      </c>
      <c r="H87" s="46">
        <f>1414790960</f>
        <v>1414790960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5687895328</v>
      </c>
      <c r="D89" s="49">
        <f>H89/C89</f>
        <v>0.90587912063630716</v>
      </c>
      <c r="E89" s="63">
        <f>SUM(E90:E96)</f>
        <v>5152545618</v>
      </c>
      <c r="F89" s="49">
        <f>E89/C89*100%</f>
        <v>0.90587912063630716</v>
      </c>
      <c r="G89" s="18" t="s">
        <v>0</v>
      </c>
      <c r="H89" s="63">
        <f>SUM(H92:H96)</f>
        <v>5152545618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235000000</v>
      </c>
      <c r="D92" s="97">
        <f>E92/C92*100%</f>
        <v>0.80818876595744682</v>
      </c>
      <c r="E92" s="92">
        <f>189924360</f>
        <v>189924360</v>
      </c>
      <c r="F92" s="58">
        <f>E92/C92*100%</f>
        <v>0.80818876595744682</v>
      </c>
      <c r="G92" s="27" t="s">
        <v>33</v>
      </c>
      <c r="H92" s="46">
        <f>189924360</f>
        <v>189924360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0.99825069795384669</v>
      </c>
      <c r="E95" s="92">
        <f>3389700000</f>
        <v>3389700000</v>
      </c>
      <c r="F95" s="58">
        <f>E95/C95*100%</f>
        <v>0.99825069795384669</v>
      </c>
      <c r="G95" s="27" t="s">
        <v>33</v>
      </c>
      <c r="H95" s="46">
        <f>3389700000</f>
        <v>3389700000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0.76457269867865429</v>
      </c>
      <c r="E96" s="92">
        <f>1572921258</f>
        <v>1572921258</v>
      </c>
      <c r="F96" s="58">
        <f>E96/C96*100%</f>
        <v>0.76457269867865429</v>
      </c>
      <c r="G96" s="27" t="s">
        <v>33</v>
      </c>
      <c r="H96" s="46">
        <f>1572921258</f>
        <v>1572921258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2595213720</v>
      </c>
      <c r="D98" s="49">
        <f>H98/C98</f>
        <v>0.91000076864575141</v>
      </c>
      <c r="E98" s="63">
        <f>SUM(E99:E105)</f>
        <v>2361646480</v>
      </c>
      <c r="F98" s="49">
        <f>E98/C98*100%</f>
        <v>0.91000076864575141</v>
      </c>
      <c r="G98" s="18" t="s">
        <v>0</v>
      </c>
      <c r="H98" s="63">
        <f>SUM(H99:H105)</f>
        <v>2361646480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293839000</v>
      </c>
      <c r="D101" s="97">
        <f>E101/C101*100%</f>
        <v>0.61619580790841244</v>
      </c>
      <c r="E101" s="92">
        <f>181062360</f>
        <v>181062360</v>
      </c>
      <c r="F101" s="58">
        <f>E101/C101*100%</f>
        <v>0.61619580790841244</v>
      </c>
      <c r="G101" s="27" t="s">
        <v>33</v>
      </c>
      <c r="H101" s="46">
        <f>181062360</f>
        <v>181062360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0.98818226291145428</v>
      </c>
      <c r="E104" s="92">
        <f>1413990000</f>
        <v>1413990000</v>
      </c>
      <c r="F104" s="58">
        <f>E104/C104*100%</f>
        <v>0.98818226291145428</v>
      </c>
      <c r="G104" s="27" t="s">
        <v>33</v>
      </c>
      <c r="H104" s="46">
        <f>1413990000</f>
        <v>1413990000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0.88066212882092654</v>
      </c>
      <c r="E105" s="92">
        <f>766594120</f>
        <v>766594120</v>
      </c>
      <c r="F105" s="58">
        <f>E105/C105*100%</f>
        <v>0.88066212882092654</v>
      </c>
      <c r="G105" s="27" t="s">
        <v>33</v>
      </c>
      <c r="H105" s="46">
        <f>766594120</f>
        <v>766594120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9679077888</v>
      </c>
      <c r="D107" s="49">
        <f>H107/C107</f>
        <v>0.94877046184174685</v>
      </c>
      <c r="E107" s="63">
        <f>SUM(E108:E114)</f>
        <v>9183223198</v>
      </c>
      <c r="F107" s="49">
        <f>E107/C107*100%</f>
        <v>0.94877046184174685</v>
      </c>
      <c r="G107" s="18" t="s">
        <v>0</v>
      </c>
      <c r="H107" s="63">
        <f>SUM(H110:H114)</f>
        <v>9183223198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235000000</v>
      </c>
      <c r="D110" s="97">
        <f>E110/C110*100%</f>
        <v>0.67770685106382977</v>
      </c>
      <c r="E110" s="89">
        <f>159261110</f>
        <v>159261110</v>
      </c>
      <c r="F110" s="58">
        <f>E110/C110*100%</f>
        <v>0.67770685106382977</v>
      </c>
      <c r="G110" s="27" t="s">
        <v>33</v>
      </c>
      <c r="H110" s="46">
        <f>159261110</f>
        <v>159261110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0.99182283725668496</v>
      </c>
      <c r="E113" s="92">
        <f>5802600000</f>
        <v>5802600000</v>
      </c>
      <c r="F113" s="58">
        <f>E113/C113*100%</f>
        <v>0.99182283725668496</v>
      </c>
      <c r="G113" s="27" t="s">
        <v>33</v>
      </c>
      <c r="H113" s="123">
        <f>5802600000</f>
        <v>5802600000</v>
      </c>
    </row>
    <row r="114" spans="1:8" x14ac:dyDescent="0.25">
      <c r="A114" s="28" t="s">
        <v>105</v>
      </c>
      <c r="B114" s="28" t="s">
        <v>41</v>
      </c>
      <c r="C114" s="108">
        <v>3593637888</v>
      </c>
      <c r="D114" s="97">
        <f t="shared" si="11"/>
        <v>0.89640698044643941</v>
      </c>
      <c r="E114" s="89">
        <f>3221362088</f>
        <v>3221362088</v>
      </c>
      <c r="F114" s="58">
        <f>E114/C114*100%</f>
        <v>0.89640698044643941</v>
      </c>
      <c r="G114" s="27" t="s">
        <v>33</v>
      </c>
      <c r="H114" s="46">
        <f>3221362088</f>
        <v>3221362088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November 2023 PERUBAHAN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32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32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53938952658</v>
      </c>
      <c r="D130" s="42">
        <f>E130/C130*100%</f>
        <v>0.88503720918874207</v>
      </c>
      <c r="E130" s="74">
        <f>E132+E144+E150+E156+E162+E168+E174+E180</f>
        <v>47737980127</v>
      </c>
      <c r="F130" s="42">
        <f>E130/C130*100%</f>
        <v>0.88503720918874207</v>
      </c>
      <c r="G130" s="15" t="s">
        <v>1</v>
      </c>
      <c r="H130" s="43">
        <f>H132+H144+H150+H156+H162+H168+H174+H180</f>
        <v>47737980127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17086990906</v>
      </c>
      <c r="D132" s="49">
        <f>H132/C132*100%</f>
        <v>0.82203825824404053</v>
      </c>
      <c r="E132" s="48">
        <f>SUM(E133:E142)</f>
        <v>14046160243</v>
      </c>
      <c r="F132" s="49">
        <f>E132/C132*100%</f>
        <v>0.82203825824404053</v>
      </c>
      <c r="G132" s="18" t="s">
        <v>0</v>
      </c>
      <c r="H132" s="48">
        <f>SUM(H134:H142)</f>
        <v>14046160243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0.87626651</v>
      </c>
      <c r="E134" s="37">
        <f>SUM(E14:E20)</f>
        <v>87626651</v>
      </c>
      <c r="F134" s="58">
        <f>E134/C134*100%</f>
        <v>0.87626651</v>
      </c>
      <c r="G134" s="27" t="s">
        <v>61</v>
      </c>
      <c r="H134" s="37">
        <f>SUM(H14:H20)</f>
        <v>87626651</v>
      </c>
    </row>
    <row r="135" spans="1:14" x14ac:dyDescent="0.25">
      <c r="A135" s="36" t="s">
        <v>76</v>
      </c>
      <c r="B135" s="36" t="s">
        <v>26</v>
      </c>
      <c r="C135" s="77">
        <f>SUM(C22:C24)</f>
        <v>14237532806</v>
      </c>
      <c r="D135" s="76">
        <f t="shared" ref="D135:D142" si="13">H135/C135*100%</f>
        <v>0.84221122440165563</v>
      </c>
      <c r="E135" s="77">
        <f>SUM(E22:E24)</f>
        <v>11991009937</v>
      </c>
      <c r="F135" s="58">
        <f t="shared" ref="F135:F142" si="14">E135/C135*100%</f>
        <v>0.84221122440165563</v>
      </c>
      <c r="G135" s="27" t="s">
        <v>61</v>
      </c>
      <c r="H135" s="77">
        <f>SUM(H22:H24)</f>
        <v>11991009937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516498100</v>
      </c>
      <c r="D137" s="76">
        <f t="shared" si="13"/>
        <v>0.69962673434810307</v>
      </c>
      <c r="E137" s="77">
        <f>SUM(E30:E36)</f>
        <v>361355879</v>
      </c>
      <c r="F137" s="58">
        <f t="shared" si="14"/>
        <v>0.69962673434810307</v>
      </c>
      <c r="G137" s="27" t="s">
        <v>61</v>
      </c>
      <c r="H137" s="77">
        <f>361355879</f>
        <v>361355879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288367500</v>
      </c>
      <c r="D139" s="76">
        <f t="shared" si="13"/>
        <v>0.85857047690880561</v>
      </c>
      <c r="E139" s="77">
        <f>SUM(E42:E43)</f>
        <v>247583822</v>
      </c>
      <c r="F139" s="58">
        <f t="shared" si="14"/>
        <v>0.85857047690880561</v>
      </c>
      <c r="G139" s="27" t="s">
        <v>61</v>
      </c>
      <c r="H139" s="77">
        <f>SUM(H42:H43)</f>
        <v>247583822</v>
      </c>
    </row>
    <row r="140" spans="1:14" ht="30" x14ac:dyDescent="0.25">
      <c r="A140" s="36" t="s">
        <v>94</v>
      </c>
      <c r="B140" s="36" t="s">
        <v>30</v>
      </c>
      <c r="C140" s="77">
        <f>SUM(C45:C48)</f>
        <v>463277500</v>
      </c>
      <c r="D140" s="76">
        <f t="shared" si="13"/>
        <v>0.67287855335085345</v>
      </c>
      <c r="E140" s="77">
        <f>SUM(E45:E48)</f>
        <v>311729494</v>
      </c>
      <c r="F140" s="58">
        <f t="shared" si="14"/>
        <v>0.67287855335085345</v>
      </c>
      <c r="G140" s="27" t="s">
        <v>61</v>
      </c>
      <c r="H140" s="77">
        <f>311729494</f>
        <v>311729494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1481315000</v>
      </c>
      <c r="D142" s="76">
        <f t="shared" si="13"/>
        <v>0.70670617660659618</v>
      </c>
      <c r="E142" s="77">
        <f>SUM(E51)</f>
        <v>1046854460</v>
      </c>
      <c r="F142" s="58">
        <f t="shared" si="14"/>
        <v>0.70670617660659618</v>
      </c>
      <c r="G142" s="27" t="s">
        <v>61</v>
      </c>
      <c r="H142" s="77">
        <v>1046854460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5014600912</v>
      </c>
      <c r="D144" s="49">
        <f>H144/C144*100%</f>
        <v>0.95608058470356694</v>
      </c>
      <c r="E144" s="48">
        <f>SUM(E145:E148)</f>
        <v>4794362572</v>
      </c>
      <c r="F144" s="49">
        <f>E144/C144*100%</f>
        <v>0.95608058470356694</v>
      </c>
      <c r="G144" s="18" t="s">
        <v>0</v>
      </c>
      <c r="H144" s="48">
        <f>H146+H148</f>
        <v>4794362572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235000000</v>
      </c>
      <c r="D146" s="76">
        <f>H146/C146*100%</f>
        <v>0.84328663829787232</v>
      </c>
      <c r="E146" s="37">
        <f>SUM(E56)</f>
        <v>198172360</v>
      </c>
      <c r="F146" s="58">
        <f>E146/C146*100%</f>
        <v>0.84328663829787232</v>
      </c>
      <c r="G146" s="27" t="s">
        <v>61</v>
      </c>
      <c r="H146" s="37">
        <f>198172360</f>
        <v>198172360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0.96162635680742381</v>
      </c>
      <c r="E148" s="77">
        <f>SUM(E59:E60)</f>
        <v>4596190212</v>
      </c>
      <c r="F148" s="58">
        <f>E148/C148*100%</f>
        <v>0.96162635680742381</v>
      </c>
      <c r="G148" s="27" t="s">
        <v>61</v>
      </c>
      <c r="H148" s="77">
        <f>SUM(H59:H60)</f>
        <v>4596190212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4715737968</v>
      </c>
      <c r="D150" s="49">
        <f>H150/C150*100%</f>
        <v>0.89722628922795145</v>
      </c>
      <c r="E150" s="48">
        <f>SUM(E151:E154)</f>
        <v>4231084078</v>
      </c>
      <c r="F150" s="49">
        <f>E150/C150*100%</f>
        <v>0.89722628922795145</v>
      </c>
      <c r="G150" s="18" t="s">
        <v>0</v>
      </c>
      <c r="H150" s="48">
        <f>SUM(H151:H154)</f>
        <v>4231084078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385000000</v>
      </c>
      <c r="D152" s="76">
        <f>H152/C152*100%</f>
        <v>0.72765223376623378</v>
      </c>
      <c r="E152" s="37">
        <f>SUM(E65)</f>
        <v>280146110</v>
      </c>
      <c r="F152" s="58">
        <f>E152/C152*100%</f>
        <v>0.72765223376623378</v>
      </c>
      <c r="G152" s="27" t="s">
        <v>61</v>
      </c>
      <c r="H152" s="37">
        <f>SUM(H65)</f>
        <v>280146110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0.91230132074340264</v>
      </c>
      <c r="E154" s="77">
        <f>SUM(E68:E69)</f>
        <v>3950937968</v>
      </c>
      <c r="F154" s="58">
        <f>E154/C154*100%</f>
        <v>0.91230132074340264</v>
      </c>
      <c r="G154" s="27" t="s">
        <v>61</v>
      </c>
      <c r="H154" s="77">
        <f>SUM(H68:H69)</f>
        <v>3950937968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4935085176</v>
      </c>
      <c r="D156" s="49">
        <f>H156/C156*100%</f>
        <v>0.78727772255981832</v>
      </c>
      <c r="E156" s="48">
        <f>SUM(E157:E160)</f>
        <v>3885282618</v>
      </c>
      <c r="F156" s="49">
        <f>E156/C156*100%</f>
        <v>0.78727772255981832</v>
      </c>
      <c r="G156" s="18" t="s">
        <v>0</v>
      </c>
      <c r="H156" s="48">
        <f>SUM(H157:H160)</f>
        <v>3885282618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235000000</v>
      </c>
      <c r="D158" s="76">
        <f>H158/C158*100%</f>
        <v>0.62694212765957447</v>
      </c>
      <c r="E158" s="37">
        <f>SUM(E74)</f>
        <v>147331400</v>
      </c>
      <c r="F158" s="58">
        <f>E158/C158*100%</f>
        <v>0.62694212765957447</v>
      </c>
      <c r="G158" s="27" t="s">
        <v>61</v>
      </c>
      <c r="H158" s="37">
        <f>SUM(H74)</f>
        <v>147331400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4700085176</v>
      </c>
      <c r="D160" s="76">
        <f>H160/C160*100%</f>
        <v>0.79529435702294604</v>
      </c>
      <c r="E160" s="77">
        <f>SUM(E77:E78)</f>
        <v>3737951218</v>
      </c>
      <c r="F160" s="58">
        <f>E160/C160*100%</f>
        <v>0.79529435702294604</v>
      </c>
      <c r="G160" s="27" t="s">
        <v>61</v>
      </c>
      <c r="H160" s="77">
        <f>SUM(H77:H78)</f>
        <v>3737951218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4224350760</v>
      </c>
      <c r="D162" s="49">
        <f>H162/C162*100%</f>
        <v>0.96669892061709384</v>
      </c>
      <c r="E162" s="48">
        <f>SUM(E163:E166)</f>
        <v>4083675320</v>
      </c>
      <c r="F162" s="49">
        <f>E162/C162*100%</f>
        <v>0.96669892061709384</v>
      </c>
      <c r="G162" s="18" t="s">
        <v>0</v>
      </c>
      <c r="H162" s="48">
        <f>SUM(H163:H166)</f>
        <v>4083675320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235000000</v>
      </c>
      <c r="D164" s="76">
        <f>H164/C164*100%</f>
        <v>0.88567812765957443</v>
      </c>
      <c r="E164" s="37">
        <f>SUM(E83)</f>
        <v>208134360</v>
      </c>
      <c r="F164" s="58">
        <f>E164/C164*100%</f>
        <v>0.88567812765957443</v>
      </c>
      <c r="G164" s="27" t="s">
        <v>61</v>
      </c>
      <c r="H164" s="37">
        <f>SUM(H83)</f>
        <v>208134360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0.97147159855153975</v>
      </c>
      <c r="E166" s="77">
        <f>SUM(E86:E87)</f>
        <v>3875540960</v>
      </c>
      <c r="F166" s="58">
        <f>E166/C166*100%</f>
        <v>0.97147159855153975</v>
      </c>
      <c r="G166" s="27" t="s">
        <v>61</v>
      </c>
      <c r="H166" s="77">
        <f>SUM(H86:H87)</f>
        <v>3875540960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5687895328</v>
      </c>
      <c r="D168" s="49">
        <f>H168/C168*100%</f>
        <v>0.90587912063630716</v>
      </c>
      <c r="E168" s="48">
        <f>SUM(E169:E172)</f>
        <v>5152545618</v>
      </c>
      <c r="F168" s="49">
        <f>E168/C168*100%</f>
        <v>0.90587912063630716</v>
      </c>
      <c r="G168" s="18" t="s">
        <v>0</v>
      </c>
      <c r="H168" s="48">
        <f>SUM(H169:H172)</f>
        <v>5152545618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235000000</v>
      </c>
      <c r="D170" s="76">
        <f>H170/C170*100%</f>
        <v>0.80818876595744682</v>
      </c>
      <c r="E170" s="37">
        <f>SUM(E92)</f>
        <v>189924360</v>
      </c>
      <c r="F170" s="58">
        <f>E170/C170*100%</f>
        <v>0.80818876595744682</v>
      </c>
      <c r="G170" s="27" t="s">
        <v>61</v>
      </c>
      <c r="H170" s="37">
        <f>SUM(H92)</f>
        <v>189924360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0.91008922040324192</v>
      </c>
      <c r="E172" s="77">
        <f>SUM(E95:E96)</f>
        <v>4962621258</v>
      </c>
      <c r="F172" s="58">
        <f>E172/C172*100%</f>
        <v>0.91008922040324192</v>
      </c>
      <c r="G172" s="27" t="s">
        <v>61</v>
      </c>
      <c r="H172" s="77">
        <f>SUM(H95:H96)</f>
        <v>4962621258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2595213720</v>
      </c>
      <c r="D174" s="49">
        <f>H174/C174*100%</f>
        <v>0.91000076864575141</v>
      </c>
      <c r="E174" s="48">
        <f>SUM(E175:E178)</f>
        <v>2361646480</v>
      </c>
      <c r="F174" s="49">
        <f>E174/C174*100%</f>
        <v>0.91000076864575141</v>
      </c>
      <c r="G174" s="18" t="s">
        <v>0</v>
      </c>
      <c r="H174" s="48">
        <f>SUM(H175:H178)</f>
        <v>2361646480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293839000</v>
      </c>
      <c r="D176" s="76">
        <f>H176/C176*100%</f>
        <v>0.61619580790841244</v>
      </c>
      <c r="E176" s="37">
        <f>SUM(E101)</f>
        <v>181062360</v>
      </c>
      <c r="F176" s="58">
        <f>E176/C176*100%</f>
        <v>0.61619580790841244</v>
      </c>
      <c r="G176" s="27" t="s">
        <v>61</v>
      </c>
      <c r="H176" s="37">
        <f>SUM(H101)</f>
        <v>181062360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0.94751371910437954</v>
      </c>
      <c r="E178" s="77">
        <f>SUM(E104:E105)</f>
        <v>2180584120</v>
      </c>
      <c r="F178" s="58">
        <f>E178/C178*100%</f>
        <v>0.94751371910437954</v>
      </c>
      <c r="G178" s="27" t="s">
        <v>61</v>
      </c>
      <c r="H178" s="77">
        <f>SUM(H104:H105)</f>
        <v>2180584120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9679077888</v>
      </c>
      <c r="D180" s="49">
        <f>H180/C180*100%</f>
        <v>0.94877046184174685</v>
      </c>
      <c r="E180" s="48">
        <f>SUM(E181:E184)</f>
        <v>9183223198</v>
      </c>
      <c r="F180" s="49">
        <f>E180/C180*100%</f>
        <v>0.94877046184174685</v>
      </c>
      <c r="G180" s="18" t="s">
        <v>0</v>
      </c>
      <c r="H180" s="48">
        <f>SUM(H181:H184)</f>
        <v>9183223198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235000000</v>
      </c>
      <c r="D182" s="76">
        <f>H182/C182*100%</f>
        <v>0.67770685106382977</v>
      </c>
      <c r="E182" s="37">
        <f>SUM(E110)</f>
        <v>159261110</v>
      </c>
      <c r="F182" s="58">
        <f>E182/C182*100%</f>
        <v>0.67770685106382977</v>
      </c>
      <c r="G182" s="27" t="s">
        <v>61</v>
      </c>
      <c r="H182" s="37">
        <f>SUM(H110)</f>
        <v>159261110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9444077888</v>
      </c>
      <c r="D184" s="76">
        <f>H184/C184*100%</f>
        <v>0.95551542405915402</v>
      </c>
      <c r="E184" s="77">
        <f>SUM(E112:E114)</f>
        <v>9023962088</v>
      </c>
      <c r="F184" s="58">
        <f>E184/C184*100%</f>
        <v>0.95551542405915402</v>
      </c>
      <c r="G184" s="27" t="s">
        <v>61</v>
      </c>
      <c r="H184" s="77">
        <f>SUM(H112:H114)</f>
        <v>9023962088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November 2023 PERUBAHAN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32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32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53938952658</v>
      </c>
      <c r="D196" s="42">
        <f>H196/C196*100%</f>
        <v>0.88503720918874207</v>
      </c>
      <c r="E196" s="74">
        <f>E198+E202+E206+E210+E214+E218+E222+E226</f>
        <v>47737980127</v>
      </c>
      <c r="F196" s="42">
        <f>E196/C196*100%</f>
        <v>0.88503720918874207</v>
      </c>
      <c r="G196" s="15" t="s">
        <v>1</v>
      </c>
      <c r="H196" s="43">
        <f>H198+H202+H206+H210+H214+H218+H222+H226</f>
        <v>47737980127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0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17086990906</v>
      </c>
      <c r="D198" s="49">
        <f>H198/C198*100%</f>
        <v>0.82203825824404053</v>
      </c>
      <c r="E198" s="48">
        <f>SUM(E199:E200)</f>
        <v>14046160243</v>
      </c>
      <c r="F198" s="49">
        <f>E198/C198*100%</f>
        <v>0.82203825824404053</v>
      </c>
      <c r="G198" s="18" t="s">
        <v>0</v>
      </c>
      <c r="H198" s="48">
        <f>SUM(H199:H200)</f>
        <v>14046160243</v>
      </c>
    </row>
    <row r="199" spans="1:14" ht="30" x14ac:dyDescent="0.25">
      <c r="A199" s="39" t="s">
        <v>37</v>
      </c>
      <c r="B199" s="36" t="s">
        <v>24</v>
      </c>
      <c r="C199" s="37">
        <f>SUM(C134:C140)</f>
        <v>15605675906</v>
      </c>
      <c r="D199" s="76">
        <f>H199/C199*100%</f>
        <v>0.8329857585983883</v>
      </c>
      <c r="E199" s="37">
        <f>SUM(E134:E140)</f>
        <v>12999305783</v>
      </c>
      <c r="F199" s="58">
        <f>E199/C199*100%</f>
        <v>0.8329857585983883</v>
      </c>
      <c r="G199" s="27" t="s">
        <v>32</v>
      </c>
      <c r="H199" s="37">
        <f>SUM(H134:H140)</f>
        <v>12999305783</v>
      </c>
    </row>
    <row r="200" spans="1:14" ht="30" x14ac:dyDescent="0.25">
      <c r="A200" s="39" t="s">
        <v>38</v>
      </c>
      <c r="B200" s="36" t="s">
        <v>35</v>
      </c>
      <c r="C200" s="77">
        <f>SUM(C142)</f>
        <v>1481315000</v>
      </c>
      <c r="D200" s="76">
        <f>H200/C200*100%</f>
        <v>0.70670617660659618</v>
      </c>
      <c r="E200" s="77">
        <f>SUM(E142)</f>
        <v>1046854460</v>
      </c>
      <c r="F200" s="58">
        <f>E200/C200*100%</f>
        <v>0.70670617660659618</v>
      </c>
      <c r="G200" s="27" t="s">
        <v>32</v>
      </c>
      <c r="H200" s="77">
        <f>SUM(H142)</f>
        <v>1046854460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5014600912</v>
      </c>
      <c r="D202" s="49">
        <f>H202/C202*100%</f>
        <v>0.95608058470356694</v>
      </c>
      <c r="E202" s="88">
        <f>SUM(E203:E204)</f>
        <v>4794362572</v>
      </c>
      <c r="F202" s="49">
        <f>E202/C202*100%</f>
        <v>0.95608058470356694</v>
      </c>
      <c r="G202" s="18" t="s">
        <v>0</v>
      </c>
      <c r="H202" s="43">
        <f>SUM(H203:H204)</f>
        <v>4794362572</v>
      </c>
    </row>
    <row r="203" spans="1:14" ht="30" x14ac:dyDescent="0.25">
      <c r="A203" s="39" t="s">
        <v>38</v>
      </c>
      <c r="B203" s="36" t="s">
        <v>35</v>
      </c>
      <c r="C203" s="37">
        <f>SUM(C146)</f>
        <v>235000000</v>
      </c>
      <c r="D203" s="76">
        <f>H203/C203*100%</f>
        <v>0.84328663829787232</v>
      </c>
      <c r="E203" s="37">
        <f>SUM(E146)</f>
        <v>198172360</v>
      </c>
      <c r="F203" s="58">
        <f>E203/C203*100%</f>
        <v>0.84328663829787232</v>
      </c>
      <c r="G203" s="27" t="s">
        <v>32</v>
      </c>
      <c r="H203" s="37">
        <f>SUM(H146)</f>
        <v>198172360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0.96162635680742381</v>
      </c>
      <c r="E204" s="77">
        <f>SUM(E148:E148)</f>
        <v>4596190212</v>
      </c>
      <c r="F204" s="58">
        <f>E204/C204*100%</f>
        <v>0.96162635680742381</v>
      </c>
      <c r="G204" s="27" t="s">
        <v>32</v>
      </c>
      <c r="H204" s="77">
        <f>SUM(H148:H148)</f>
        <v>4596190212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4715737968</v>
      </c>
      <c r="D206" s="49">
        <f>H206/C206*100%</f>
        <v>0.89722628922795145</v>
      </c>
      <c r="E206" s="88">
        <f>SUM(E207:E209)</f>
        <v>4231084078</v>
      </c>
      <c r="F206" s="49">
        <f>E206/C206*100%</f>
        <v>0.89722628922795145</v>
      </c>
      <c r="G206" s="18" t="s">
        <v>0</v>
      </c>
      <c r="H206" s="43">
        <f>SUM(H207:H209)</f>
        <v>4231084078</v>
      </c>
    </row>
    <row r="207" spans="1:14" ht="30" x14ac:dyDescent="0.25">
      <c r="A207" s="39" t="s">
        <v>38</v>
      </c>
      <c r="B207" s="36" t="s">
        <v>35</v>
      </c>
      <c r="C207" s="37">
        <f>SUM(C152)</f>
        <v>385000000</v>
      </c>
      <c r="D207" s="76">
        <f>H207/C207*100%</f>
        <v>0.72765223376623378</v>
      </c>
      <c r="E207" s="37">
        <f>SUM(E152)</f>
        <v>280146110</v>
      </c>
      <c r="F207" s="58">
        <f>E207/C207*100%</f>
        <v>0.72765223376623378</v>
      </c>
      <c r="G207" s="27" t="s">
        <v>32</v>
      </c>
      <c r="H207" s="37">
        <f>SUM(H152)</f>
        <v>280146110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0.91230132074340264</v>
      </c>
      <c r="E208" s="77">
        <f>SUM(E154:E154)</f>
        <v>3950937968</v>
      </c>
      <c r="F208" s="58">
        <f>E208/C208*100%</f>
        <v>0.91230132074340264</v>
      </c>
      <c r="G208" s="27" t="s">
        <v>32</v>
      </c>
      <c r="H208" s="77">
        <f>SUM(H154:H154)</f>
        <v>3950937968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4935085176</v>
      </c>
      <c r="D210" s="49">
        <f>H210/C210*100%</f>
        <v>0.78727772255981832</v>
      </c>
      <c r="E210" s="88">
        <f>SUM(E211:E212)</f>
        <v>3885282618</v>
      </c>
      <c r="F210" s="49">
        <f>E210/C210*100%</f>
        <v>0.78727772255981832</v>
      </c>
      <c r="G210" s="18" t="s">
        <v>0</v>
      </c>
      <c r="H210" s="43">
        <f>SUM(H211:H212)</f>
        <v>3885282618</v>
      </c>
    </row>
    <row r="211" spans="1:8" ht="30" x14ac:dyDescent="0.25">
      <c r="A211" s="39" t="s">
        <v>38</v>
      </c>
      <c r="B211" s="36" t="s">
        <v>35</v>
      </c>
      <c r="C211" s="37">
        <f>SUM(C158)</f>
        <v>235000000</v>
      </c>
      <c r="D211" s="76">
        <f>H211/C211*100%</f>
        <v>0.62694212765957447</v>
      </c>
      <c r="E211" s="37">
        <f>SUM(E158)</f>
        <v>147331400</v>
      </c>
      <c r="F211" s="58">
        <f>E211/C211*100%</f>
        <v>0.62694212765957447</v>
      </c>
      <c r="G211" s="27" t="s">
        <v>32</v>
      </c>
      <c r="H211" s="37">
        <f>SUM(H158)</f>
        <v>147331400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4700085176</v>
      </c>
      <c r="D212" s="76">
        <f>H212/C212*100%</f>
        <v>0.79529435702294604</v>
      </c>
      <c r="E212" s="77">
        <f>SUM(E160:E160)</f>
        <v>3737951218</v>
      </c>
      <c r="F212" s="58">
        <f>E212/C212*100%</f>
        <v>0.79529435702294604</v>
      </c>
      <c r="G212" s="27" t="s">
        <v>32</v>
      </c>
      <c r="H212" s="77">
        <f>SUM(H160:H160)</f>
        <v>3737951218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4224350760</v>
      </c>
      <c r="D214" s="49">
        <f>H214/C214*100%</f>
        <v>0.96669892061709384</v>
      </c>
      <c r="E214" s="88">
        <f>SUM(E215:E216)</f>
        <v>4083675320</v>
      </c>
      <c r="F214" s="49">
        <f>E214/C214*100%</f>
        <v>0.96669892061709384</v>
      </c>
      <c r="G214" s="18" t="s">
        <v>0</v>
      </c>
      <c r="H214" s="43">
        <f>SUM(H215:H216)</f>
        <v>4083675320</v>
      </c>
    </row>
    <row r="215" spans="1:8" ht="30" x14ac:dyDescent="0.25">
      <c r="A215" s="39" t="s">
        <v>38</v>
      </c>
      <c r="B215" s="36" t="s">
        <v>35</v>
      </c>
      <c r="C215" s="37">
        <f>SUM(C164)</f>
        <v>235000000</v>
      </c>
      <c r="D215" s="76">
        <f>H215/C215*100%</f>
        <v>0.88567812765957443</v>
      </c>
      <c r="E215" s="37">
        <f>SUM(E164)</f>
        <v>208134360</v>
      </c>
      <c r="F215" s="58">
        <f>E215/C215*100%</f>
        <v>0.88567812765957443</v>
      </c>
      <c r="G215" s="27" t="s">
        <v>32</v>
      </c>
      <c r="H215" s="37">
        <f>SUM(H164)</f>
        <v>208134360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0.97147159855153975</v>
      </c>
      <c r="E216" s="77">
        <f>SUM(E166:E166)</f>
        <v>3875540960</v>
      </c>
      <c r="F216" s="58">
        <f>E216/C216*100%</f>
        <v>0.97147159855153975</v>
      </c>
      <c r="G216" s="27" t="s">
        <v>32</v>
      </c>
      <c r="H216" s="77">
        <f>SUM(H166:H166)</f>
        <v>3875540960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5687895328</v>
      </c>
      <c r="D218" s="49">
        <f>H218/C218*100%</f>
        <v>0.90587912063630716</v>
      </c>
      <c r="E218" s="88">
        <f>SUM(E219:E220)</f>
        <v>5152545618</v>
      </c>
      <c r="F218" s="49">
        <f>E218/C218*100%</f>
        <v>0.90587912063630716</v>
      </c>
      <c r="G218" s="18" t="s">
        <v>0</v>
      </c>
      <c r="H218" s="43">
        <f>SUM(H219:H220)</f>
        <v>5152545618</v>
      </c>
    </row>
    <row r="219" spans="1:8" ht="30" x14ac:dyDescent="0.25">
      <c r="A219" s="39" t="s">
        <v>38</v>
      </c>
      <c r="B219" s="36" t="s">
        <v>35</v>
      </c>
      <c r="C219" s="37">
        <f>SUM(C170)</f>
        <v>235000000</v>
      </c>
      <c r="D219" s="76">
        <f>H219/C219*100%</f>
        <v>0.80818876595744682</v>
      </c>
      <c r="E219" s="37">
        <f>SUM(E170)</f>
        <v>189924360</v>
      </c>
      <c r="F219" s="58">
        <f>E219/C219*100%</f>
        <v>0.80818876595744682</v>
      </c>
      <c r="G219" s="27" t="s">
        <v>32</v>
      </c>
      <c r="H219" s="37">
        <f>SUM(H170)</f>
        <v>189924360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0.91008922040324192</v>
      </c>
      <c r="E220" s="77">
        <f>SUM(E172:E172)</f>
        <v>4962621258</v>
      </c>
      <c r="F220" s="58">
        <f>E220/C220*100%</f>
        <v>0.91008922040324192</v>
      </c>
      <c r="G220" s="27" t="s">
        <v>32</v>
      </c>
      <c r="H220" s="77">
        <f>SUM(H172:H172)</f>
        <v>4962621258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2595213720</v>
      </c>
      <c r="D222" s="49">
        <f>H222/C222*100%</f>
        <v>0.91000076864575141</v>
      </c>
      <c r="E222" s="88">
        <f>SUM(E223:E224)</f>
        <v>2361646480</v>
      </c>
      <c r="F222" s="49">
        <f>E222/C222*100%</f>
        <v>0.91000076864575141</v>
      </c>
      <c r="G222" s="18" t="s">
        <v>0</v>
      </c>
      <c r="H222" s="43">
        <f>SUM(H223:H224)</f>
        <v>2361646480</v>
      </c>
    </row>
    <row r="223" spans="1:8" ht="30" x14ac:dyDescent="0.25">
      <c r="A223" s="39" t="s">
        <v>38</v>
      </c>
      <c r="B223" s="36" t="s">
        <v>35</v>
      </c>
      <c r="C223" s="37">
        <f>SUM(C176)</f>
        <v>293839000</v>
      </c>
      <c r="D223" s="76">
        <f>H223/C223*100%</f>
        <v>0.61619580790841244</v>
      </c>
      <c r="E223" s="37">
        <f>SUM(E176)</f>
        <v>181062360</v>
      </c>
      <c r="F223" s="58">
        <f>E223/C223*100%</f>
        <v>0.61619580790841244</v>
      </c>
      <c r="G223" s="27" t="s">
        <v>32</v>
      </c>
      <c r="H223" s="37">
        <f>SUM(H176)</f>
        <v>181062360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0.94751371910437954</v>
      </c>
      <c r="E224" s="77">
        <f>SUM(E178:E178)</f>
        <v>2180584120</v>
      </c>
      <c r="F224" s="58">
        <f>E224/C224*100%</f>
        <v>0.94751371910437954</v>
      </c>
      <c r="G224" s="27" t="s">
        <v>32</v>
      </c>
      <c r="H224" s="77">
        <f>SUM(H178:H178)</f>
        <v>2180584120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9679077888</v>
      </c>
      <c r="D226" s="49">
        <f>H226/C226*100%</f>
        <v>0.94877046184174685</v>
      </c>
      <c r="E226" s="88">
        <f>SUM(E227:E228)</f>
        <v>9183223198</v>
      </c>
      <c r="F226" s="49">
        <f>E226/C226*100%</f>
        <v>0.94877046184174685</v>
      </c>
      <c r="G226" s="18" t="s">
        <v>0</v>
      </c>
      <c r="H226" s="43">
        <f>SUM(H227:H228)</f>
        <v>9183223198</v>
      </c>
    </row>
    <row r="227" spans="1:14" ht="30" x14ac:dyDescent="0.25">
      <c r="A227" s="39" t="s">
        <v>38</v>
      </c>
      <c r="B227" s="36" t="s">
        <v>35</v>
      </c>
      <c r="C227" s="37">
        <f>SUM(C182)</f>
        <v>235000000</v>
      </c>
      <c r="D227" s="76">
        <f>H227/C227*100%</f>
        <v>0.67770685106382977</v>
      </c>
      <c r="E227" s="37">
        <f>SUM(E182)</f>
        <v>159261110</v>
      </c>
      <c r="F227" s="58">
        <f>E227/C227*100%</f>
        <v>0.67770685106382977</v>
      </c>
      <c r="G227" s="27" t="s">
        <v>32</v>
      </c>
      <c r="H227" s="37">
        <f>SUM(H182)</f>
        <v>159261110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9444077888</v>
      </c>
      <c r="D228" s="76">
        <f>H228/C228*100%</f>
        <v>0.95551542405915402</v>
      </c>
      <c r="E228" s="77">
        <f>SUM(E184:E184)</f>
        <v>9023962088</v>
      </c>
      <c r="F228" s="58">
        <f>E228/C228*100%</f>
        <v>0.95551542405915402</v>
      </c>
      <c r="G228" s="27" t="s">
        <v>32</v>
      </c>
      <c r="H228" s="77">
        <f>SUM(H184:H184)</f>
        <v>9023962088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November 2023 PERUBAHAN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32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32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53938952658</v>
      </c>
      <c r="D240" s="42">
        <f>H240/C240*100%</f>
        <v>0.88503720918874207</v>
      </c>
      <c r="E240" s="14">
        <f>SUM(E242:E244)</f>
        <v>47737980127</v>
      </c>
      <c r="F240" s="42">
        <f>E240/C240*100%</f>
        <v>0.88503720918874207</v>
      </c>
      <c r="G240" s="15" t="s">
        <v>1</v>
      </c>
      <c r="H240" s="14">
        <f>SUM(H242:H244)</f>
        <v>47737980127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15605675906</v>
      </c>
      <c r="D242" s="76">
        <f>H242/C242*100%</f>
        <v>0.8329857585983883</v>
      </c>
      <c r="E242" s="37">
        <f>E199</f>
        <v>12999305783</v>
      </c>
      <c r="F242" s="58">
        <f>E242/C242*100%</f>
        <v>0.8329857585983883</v>
      </c>
      <c r="G242" s="27" t="s">
        <v>32</v>
      </c>
      <c r="H242" s="37">
        <f>H199</f>
        <v>12999305783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3335154000</v>
      </c>
      <c r="D243" s="76">
        <f t="shared" ref="D243:D244" si="17">H243/C243*100%</f>
        <v>0.72287112379218466</v>
      </c>
      <c r="E243" s="77">
        <f>E200+E203+E207+E211+E215+E219+E223+E227</f>
        <v>2410886520</v>
      </c>
      <c r="F243" s="58">
        <f t="shared" ref="F243:F244" si="18">E243/C243*100%</f>
        <v>0.72287112379218466</v>
      </c>
      <c r="G243" s="27" t="s">
        <v>32</v>
      </c>
      <c r="H243" s="77">
        <f>H200+H203+H207+H211+H215+H219+H223+H227</f>
        <v>2410886520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34998122752</v>
      </c>
      <c r="D244" s="76">
        <f t="shared" si="17"/>
        <v>0.92370062397568453</v>
      </c>
      <c r="E244" s="77">
        <f>E204+E208+E212+E216+E220+E224+E228</f>
        <v>32327787824</v>
      </c>
      <c r="F244" s="58">
        <f t="shared" si="18"/>
        <v>0.92370062397568453</v>
      </c>
      <c r="G244" s="27" t="s">
        <v>32</v>
      </c>
      <c r="H244" s="77">
        <f>H204+H208+H212+H216+H220+H224+H228</f>
        <v>32327787824</v>
      </c>
    </row>
  </sheetData>
  <mergeCells count="32">
    <mergeCell ref="A2:G2"/>
    <mergeCell ref="B5:G5"/>
    <mergeCell ref="A6:A8"/>
    <mergeCell ref="B6:B8"/>
    <mergeCell ref="C6:C8"/>
    <mergeCell ref="D6:F6"/>
    <mergeCell ref="G6:G8"/>
    <mergeCell ref="E7:F7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233:G233"/>
    <mergeCell ref="B236:G236"/>
    <mergeCell ref="A237:A239"/>
    <mergeCell ref="B237:B239"/>
    <mergeCell ref="C237:C238"/>
    <mergeCell ref="D237:F237"/>
    <mergeCell ref="G237:G239"/>
    <mergeCell ref="E238:F2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44"/>
  <sheetViews>
    <sheetView tabSelected="1" topLeftCell="A133" workbookViewId="0">
      <selection activeCell="H143" sqref="H143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 t="s">
        <v>144</v>
      </c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146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33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53938952658</v>
      </c>
      <c r="D9" s="42">
        <f>E9/C9*100%</f>
        <v>0.98193336338621939</v>
      </c>
      <c r="E9" s="40">
        <f>E11+E53+E62+E71+E80+E89+E98+E107</f>
        <v>52964457201</v>
      </c>
      <c r="F9" s="42">
        <f>E9/C9*100%</f>
        <v>0.98193336338621939</v>
      </c>
      <c r="G9" s="15" t="s">
        <v>1</v>
      </c>
      <c r="H9" s="43">
        <f>H11+H53+H62+H71+H80+H89+H98+H107</f>
        <v>52964457201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17086990906</v>
      </c>
      <c r="D11" s="49">
        <f>E11/C11*100%</f>
        <v>0.94554441919476495</v>
      </c>
      <c r="E11" s="48">
        <f>SUM(E14:E51)</f>
        <v>16156508892</v>
      </c>
      <c r="F11" s="49">
        <f>E11/C11*100%</f>
        <v>0.94554441919476495</v>
      </c>
      <c r="G11" s="18" t="s">
        <v>0</v>
      </c>
      <c r="H11" s="48">
        <f>SUM(H14:H51)</f>
        <v>16156508892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0.99683301999999996</v>
      </c>
      <c r="E14" s="92">
        <f>48771651+1070000</f>
        <v>49841651</v>
      </c>
      <c r="F14" s="58">
        <f>E14/C14*100%</f>
        <v>0.99683301999999996</v>
      </c>
      <c r="G14" s="27" t="s">
        <v>33</v>
      </c>
      <c r="H14" s="46">
        <f>49841651</f>
        <v>49841651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ref="H15:H18" si="0">D15*C15</f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1</v>
      </c>
      <c r="E19" s="92">
        <f>28030000+1970000</f>
        <v>30000000</v>
      </c>
      <c r="F19" s="58">
        <f>E19/C19*100%</f>
        <v>1</v>
      </c>
      <c r="G19" s="27" t="s">
        <v>33</v>
      </c>
      <c r="H19" s="46">
        <f>30000000</f>
        <v>30000000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0.99824999999999997</v>
      </c>
      <c r="E20" s="92">
        <f>10880000+9085000</f>
        <v>19965000</v>
      </c>
      <c r="F20" s="58">
        <f>E20/C20*100%</f>
        <v>0.99824999999999997</v>
      </c>
      <c r="G20" s="27" t="s">
        <v>33</v>
      </c>
      <c r="H20" s="46">
        <f>19965000</f>
        <v>19965000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12286248670</v>
      </c>
      <c r="D22" s="97">
        <f>E22/C22*100%</f>
        <v>0.93820775393763867</v>
      </c>
      <c r="E22" s="100">
        <f>11527053769</f>
        <v>11527053769</v>
      </c>
      <c r="F22" s="58">
        <f>E22/C22*100%</f>
        <v>0.93820775393763867</v>
      </c>
      <c r="G22" s="27" t="s">
        <v>33</v>
      </c>
      <c r="H22" s="46">
        <f>11527053769</f>
        <v>11527053769</v>
      </c>
    </row>
    <row r="23" spans="1:8" ht="30" x14ac:dyDescent="0.25">
      <c r="A23" s="28" t="s">
        <v>78</v>
      </c>
      <c r="B23" s="28" t="s">
        <v>11</v>
      </c>
      <c r="C23" s="108">
        <v>1901284136</v>
      </c>
      <c r="D23" s="97">
        <f>E23/C23*100%</f>
        <v>0.97602951124607706</v>
      </c>
      <c r="E23" s="100">
        <f>1855709426</f>
        <v>1855709426</v>
      </c>
      <c r="F23" s="58">
        <f>E23/C23*100%</f>
        <v>0.97602951124607706</v>
      </c>
      <c r="G23" s="27" t="s">
        <v>33</v>
      </c>
      <c r="H23" s="46">
        <f>1855709426</f>
        <v>1855709426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0.997</v>
      </c>
      <c r="E24" s="100">
        <f>46728400+3121600</f>
        <v>49850000</v>
      </c>
      <c r="F24" s="58">
        <f>E24/C24*100%</f>
        <v>0.997</v>
      </c>
      <c r="G24" s="27" t="s">
        <v>33</v>
      </c>
      <c r="H24" s="46">
        <f>49850000</f>
        <v>49850000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1</v>
      </c>
      <c r="E30" s="92">
        <f>9448000+4028500</f>
        <v>13476500</v>
      </c>
      <c r="F30" s="58">
        <f>E30/C30*100%</f>
        <v>1</v>
      </c>
      <c r="G30" s="27" t="s">
        <v>33</v>
      </c>
      <c r="H30" s="46">
        <f>13476500</f>
        <v>13476500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ref="H31" si="2">D31*C31</f>
        <v>0</v>
      </c>
    </row>
    <row r="32" spans="1:8" x14ac:dyDescent="0.25">
      <c r="A32" s="28" t="s">
        <v>86</v>
      </c>
      <c r="B32" s="28" t="s">
        <v>16</v>
      </c>
      <c r="C32" s="108">
        <v>16708000</v>
      </c>
      <c r="D32" s="97">
        <f t="shared" ref="D32:D36" si="3">E32/C32*100%</f>
        <v>0.97997965046684221</v>
      </c>
      <c r="E32" s="92">
        <f>9905000+6468500</f>
        <v>16373500</v>
      </c>
      <c r="F32" s="58">
        <f>E32/C32*100%</f>
        <v>0.97997965046684221</v>
      </c>
      <c r="G32" s="27" t="s">
        <v>33</v>
      </c>
      <c r="H32" s="46">
        <f>16373500</f>
        <v>16373500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0.99033859641275668</v>
      </c>
      <c r="E33" s="92">
        <f>45041500+16953300</f>
        <v>61994800</v>
      </c>
      <c r="F33" s="58">
        <f>E33/C33*100%</f>
        <v>0.99033859641275668</v>
      </c>
      <c r="G33" s="27" t="s">
        <v>33</v>
      </c>
      <c r="H33" s="46">
        <f>61994800</f>
        <v>61994800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1</v>
      </c>
      <c r="E34" s="92">
        <v>3000000</v>
      </c>
      <c r="F34" s="58">
        <f>E34/C34*100%</f>
        <v>1</v>
      </c>
      <c r="G34" s="27" t="s">
        <v>33</v>
      </c>
      <c r="H34" s="46">
        <v>3000000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0.99813333333333332</v>
      </c>
      <c r="E35" s="92">
        <f>7281000+4696600</f>
        <v>11977600</v>
      </c>
      <c r="F35" s="58">
        <f>E35/C35*100%</f>
        <v>0.99813333333333332</v>
      </c>
      <c r="G35" s="27" t="s">
        <v>33</v>
      </c>
      <c r="H35" s="46">
        <f>11977600</f>
        <v>11977600</v>
      </c>
    </row>
    <row r="36" spans="1:10" ht="30" x14ac:dyDescent="0.25">
      <c r="A36" s="28" t="s">
        <v>88</v>
      </c>
      <c r="B36" s="28" t="s">
        <v>18</v>
      </c>
      <c r="C36" s="108">
        <v>408714000</v>
      </c>
      <c r="D36" s="97">
        <f t="shared" si="3"/>
        <v>0.99817735384645501</v>
      </c>
      <c r="E36" s="92">
        <f>351218148+56750911</f>
        <v>407969059</v>
      </c>
      <c r="F36" s="58">
        <f>E36/C36*100%</f>
        <v>0.99817735384645501</v>
      </c>
      <c r="G36" s="27" t="s">
        <v>33</v>
      </c>
      <c r="H36" s="46">
        <f>407969059</f>
        <v>407969059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0.98592827156202933</v>
      </c>
      <c r="E42" s="100">
        <f>229384539+4642790</f>
        <v>234027329</v>
      </c>
      <c r="F42" s="58">
        <f>E42/C42*100%</f>
        <v>0.98592827156202933</v>
      </c>
      <c r="G42" s="27" t="s">
        <v>33</v>
      </c>
      <c r="H42" s="46">
        <f>234027329</f>
        <v>234027329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51000000</v>
      </c>
      <c r="D43" s="97">
        <f>E43/C43*100%</f>
        <v>1</v>
      </c>
      <c r="E43" s="91">
        <f>51000000</f>
        <v>51000000</v>
      </c>
      <c r="F43" s="58">
        <f>E43/C43*100%</f>
        <v>1</v>
      </c>
      <c r="G43" s="27" t="s">
        <v>33</v>
      </c>
      <c r="H43" s="46">
        <f>51000000</f>
        <v>51000000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244497500</v>
      </c>
      <c r="D45" s="97">
        <f>E45/C45*100%</f>
        <v>0.80147603963230707</v>
      </c>
      <c r="E45" s="92">
        <f>29210000+166748888</f>
        <v>195958888</v>
      </c>
      <c r="F45" s="58">
        <f>E45/C45*100%</f>
        <v>0.80147603963230707</v>
      </c>
      <c r="G45" s="27" t="s">
        <v>33</v>
      </c>
      <c r="H45" s="46">
        <f>195958888</f>
        <v>195958888</v>
      </c>
    </row>
    <row r="46" spans="1:10" x14ac:dyDescent="0.25">
      <c r="A46" s="25" t="s">
        <v>95</v>
      </c>
      <c r="B46" s="106" t="s">
        <v>66</v>
      </c>
      <c r="C46" s="109">
        <v>64490000</v>
      </c>
      <c r="D46" s="97">
        <f t="shared" ref="D46:D48" si="4">E46/C46*100%</f>
        <v>0.76515738874244066</v>
      </c>
      <c r="E46" s="92">
        <f>3060000+46285000</f>
        <v>49345000</v>
      </c>
      <c r="F46" s="58">
        <f>E46/C46*100%</f>
        <v>0.76515738874244066</v>
      </c>
      <c r="G46" s="27" t="s">
        <v>33</v>
      </c>
      <c r="H46" s="46">
        <f>49345000</f>
        <v>49345000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0.99802596942580168</v>
      </c>
      <c r="E47" s="92">
        <f>105975226+1093000</f>
        <v>107068226</v>
      </c>
      <c r="F47" s="58">
        <f>E47/C47*100%</f>
        <v>0.99802596942580168</v>
      </c>
      <c r="G47" s="27" t="s">
        <v>33</v>
      </c>
      <c r="H47" s="46">
        <f>107068226</f>
        <v>107068226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0.78399968091895345</v>
      </c>
      <c r="E48" s="92">
        <f>21180825+15675000</f>
        <v>36855825</v>
      </c>
      <c r="F48" s="58">
        <f>E48/C48*100%</f>
        <v>0.78399968091895345</v>
      </c>
      <c r="G48" s="27" t="s">
        <v>33</v>
      </c>
      <c r="H48" s="46">
        <f>36855825</f>
        <v>36855825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1481315000</v>
      </c>
      <c r="D51" s="97">
        <f>E51/C51*100%</f>
        <v>0.96876243000307161</v>
      </c>
      <c r="E51" s="90">
        <f>1435042319</f>
        <v>1435042319</v>
      </c>
      <c r="F51" s="58">
        <f>E51/C51*100%</f>
        <v>0.96876243000307161</v>
      </c>
      <c r="G51" s="27" t="s">
        <v>33</v>
      </c>
      <c r="H51" s="46">
        <f>1435042319</f>
        <v>1435042319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5014600912</v>
      </c>
      <c r="D53" s="49">
        <f>E53/C53*100%</f>
        <v>0.99953967622937323</v>
      </c>
      <c r="E53" s="63">
        <f>SUM(E54:E60)</f>
        <v>5012292572</v>
      </c>
      <c r="F53" s="49">
        <f>E53/C53*100%</f>
        <v>0.99953967622937323</v>
      </c>
      <c r="G53" s="18" t="s">
        <v>0</v>
      </c>
      <c r="H53" s="63">
        <f>SUM(H56:H60)</f>
        <v>5012292572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235000000</v>
      </c>
      <c r="D56" s="97">
        <f>E56/C56*100%</f>
        <v>0.99971217021276593</v>
      </c>
      <c r="E56" s="92">
        <f>234932360</f>
        <v>234932360</v>
      </c>
      <c r="F56" s="58">
        <f>E56/C56*100%</f>
        <v>0.99971217021276593</v>
      </c>
      <c r="G56" s="27" t="s">
        <v>33</v>
      </c>
      <c r="H56" s="46">
        <f>234932360</f>
        <v>234932360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1</v>
      </c>
      <c r="E59" s="92">
        <f>2975640000</f>
        <v>2975640000</v>
      </c>
      <c r="F59" s="58">
        <f>E59/C59*100%</f>
        <v>1</v>
      </c>
      <c r="G59" s="27" t="s">
        <v>33</v>
      </c>
      <c r="H59" s="46">
        <f>2975640000</f>
        <v>2975640000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0.9987578999161818</v>
      </c>
      <c r="E60" s="92">
        <f>1801720212</f>
        <v>1801720212</v>
      </c>
      <c r="F60" s="58">
        <f>E60/C60*100%</f>
        <v>0.9987578999161818</v>
      </c>
      <c r="G60" s="27" t="s">
        <v>33</v>
      </c>
      <c r="H60" s="46">
        <f>E60</f>
        <v>1801720212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4715737968</v>
      </c>
      <c r="D62" s="49">
        <f>H62/C62</f>
        <v>0.99679170257069716</v>
      </c>
      <c r="E62" s="63">
        <f>SUM(E63:E69)</f>
        <v>4700608478</v>
      </c>
      <c r="F62" s="49">
        <f>E62/C62*100%</f>
        <v>0.99679170257069716</v>
      </c>
      <c r="G62" s="18" t="s">
        <v>0</v>
      </c>
      <c r="H62" s="63">
        <f>SUM(H65:H69)</f>
        <v>4700608478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385000000</v>
      </c>
      <c r="D65" s="97">
        <f>E65/C65*100%</f>
        <v>0.96070262337662338</v>
      </c>
      <c r="E65" s="92">
        <f>369870510</f>
        <v>369870510</v>
      </c>
      <c r="F65" s="58">
        <f>E65/C65*100%</f>
        <v>0.96070262337662338</v>
      </c>
      <c r="G65" s="27" t="s">
        <v>33</v>
      </c>
      <c r="H65" s="46">
        <f>369870510</f>
        <v>369870510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1</v>
      </c>
      <c r="E68" s="92">
        <f>2695640000</f>
        <v>2695640000</v>
      </c>
      <c r="F68" s="58">
        <f>E68/C68*100%</f>
        <v>1</v>
      </c>
      <c r="G68" s="27" t="s">
        <v>33</v>
      </c>
      <c r="H68" s="46">
        <f>2695640000</f>
        <v>2695640000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1</v>
      </c>
      <c r="E69" s="92">
        <f>1635097968</f>
        <v>1635097968</v>
      </c>
      <c r="F69" s="58">
        <f>E69/C69*100%</f>
        <v>1</v>
      </c>
      <c r="G69" s="27" t="s">
        <v>33</v>
      </c>
      <c r="H69" s="46">
        <f>1635097968</f>
        <v>1635097968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4935085176</v>
      </c>
      <c r="D71" s="49">
        <f>H71/C71</f>
        <v>0.99979781341873242</v>
      </c>
      <c r="E71" s="63">
        <f>SUM(E72:E78)</f>
        <v>4934087368</v>
      </c>
      <c r="F71" s="49">
        <f>E71/C71*100%</f>
        <v>0.99979781341873242</v>
      </c>
      <c r="G71" s="18" t="s">
        <v>0</v>
      </c>
      <c r="H71" s="63">
        <f>SUM(H72:H78)</f>
        <v>4934087368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235000000</v>
      </c>
      <c r="D74" s="97">
        <f>E74/C74*100%</f>
        <v>0.99999574468085106</v>
      </c>
      <c r="E74" s="92">
        <f>234999000</f>
        <v>234999000</v>
      </c>
      <c r="F74" s="58">
        <f>E74/C74*100%</f>
        <v>0.99999574468085106</v>
      </c>
      <c r="G74" s="27" t="s">
        <v>33</v>
      </c>
      <c r="H74" s="46">
        <f>234999000</f>
        <v>234999000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2930640000</v>
      </c>
      <c r="D77" s="97">
        <f t="shared" ref="D77:D78" si="7">E77/C77*100%</f>
        <v>1</v>
      </c>
      <c r="E77" s="92">
        <f>2930640000</f>
        <v>2930640000</v>
      </c>
      <c r="F77" s="58">
        <f>E77/C77*100%</f>
        <v>1</v>
      </c>
      <c r="G77" s="27" t="s">
        <v>33</v>
      </c>
      <c r="H77" s="46">
        <f>2930640000</f>
        <v>2930640000</v>
      </c>
    </row>
    <row r="78" spans="1:8" x14ac:dyDescent="0.25">
      <c r="A78" s="28" t="s">
        <v>105</v>
      </c>
      <c r="B78" s="28" t="s">
        <v>41</v>
      </c>
      <c r="C78" s="108">
        <v>1769445176</v>
      </c>
      <c r="D78" s="97">
        <f t="shared" si="7"/>
        <v>0.99943665505237445</v>
      </c>
      <c r="E78" s="92">
        <f>1768448368</f>
        <v>1768448368</v>
      </c>
      <c r="F78" s="58">
        <f>E78/C78*100%</f>
        <v>0.99943665505237445</v>
      </c>
      <c r="G78" s="27" t="s">
        <v>33</v>
      </c>
      <c r="H78" s="46">
        <f>1768448368</f>
        <v>1768448368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4224350760</v>
      </c>
      <c r="D80" s="49">
        <f>H80/C80</f>
        <v>0.99618311998315212</v>
      </c>
      <c r="E80" s="63">
        <f>SUM(E81:E87)</f>
        <v>4208226920</v>
      </c>
      <c r="F80" s="49">
        <f>E80/C80*100%</f>
        <v>0.99618311998315212</v>
      </c>
      <c r="G80" s="18" t="s">
        <v>0</v>
      </c>
      <c r="H80" s="63">
        <f>SUM(H83:H87)</f>
        <v>4208226920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235000000</v>
      </c>
      <c r="D83" s="97">
        <f>E83/C83*100%</f>
        <v>0.99971217021276593</v>
      </c>
      <c r="E83" s="92">
        <f>234932360</f>
        <v>234932360</v>
      </c>
      <c r="F83" s="58">
        <f>E83/C83*100%</f>
        <v>0.99971217021276593</v>
      </c>
      <c r="G83" s="27" t="s">
        <v>33</v>
      </c>
      <c r="H83" s="46">
        <f>234932360</f>
        <v>234932360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0.99395380708613812</v>
      </c>
      <c r="E86" s="92">
        <f>2465900000</f>
        <v>2465900000</v>
      </c>
      <c r="F86" s="58">
        <f>E86/C86*100%</f>
        <v>0.99395380708613812</v>
      </c>
      <c r="G86" s="27" t="s">
        <v>33</v>
      </c>
      <c r="H86" s="46">
        <f>2465900000</f>
        <v>2465900000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0.99929981141711244</v>
      </c>
      <c r="E87" s="92">
        <f>1507394560</f>
        <v>1507394560</v>
      </c>
      <c r="F87" s="58">
        <f>E87/C87*100%</f>
        <v>0.99929981141711244</v>
      </c>
      <c r="G87" s="27" t="s">
        <v>33</v>
      </c>
      <c r="H87" s="46">
        <f>1507394560</f>
        <v>1507394560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5687895328</v>
      </c>
      <c r="D89" s="49">
        <f>H89/C89</f>
        <v>0.99980532166361269</v>
      </c>
      <c r="E89" s="63">
        <f>SUM(E90:E96)</f>
        <v>5686788018</v>
      </c>
      <c r="F89" s="49">
        <f>E89/C89*100%</f>
        <v>0.99980532166361269</v>
      </c>
      <c r="G89" s="18" t="s">
        <v>0</v>
      </c>
      <c r="H89" s="63">
        <f>SUM(H92:H96)</f>
        <v>5686788018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235000000</v>
      </c>
      <c r="D92" s="97">
        <f>E92/C92*100%</f>
        <v>0.99971217021276593</v>
      </c>
      <c r="E92" s="92">
        <f>234932360</f>
        <v>234932360</v>
      </c>
      <c r="F92" s="58">
        <f>E92/C92*100%</f>
        <v>0.99971217021276593</v>
      </c>
      <c r="G92" s="27" t="s">
        <v>33</v>
      </c>
      <c r="H92" s="46">
        <f>234932360</f>
        <v>234932360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1</v>
      </c>
      <c r="E95" s="92">
        <f>3395640000</f>
        <v>3395640000</v>
      </c>
      <c r="F95" s="58">
        <f>E95/C95*100%</f>
        <v>1</v>
      </c>
      <c r="G95" s="27" t="s">
        <v>33</v>
      </c>
      <c r="H95" s="46">
        <f>3395640000</f>
        <v>3395640000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0.99949463249123738</v>
      </c>
      <c r="E96" s="92">
        <f>2056215658</f>
        <v>2056215658</v>
      </c>
      <c r="F96" s="58">
        <f>E96/C96*100%</f>
        <v>0.99949463249123738</v>
      </c>
      <c r="G96" s="27" t="s">
        <v>33</v>
      </c>
      <c r="H96" s="46">
        <f>2056215658</f>
        <v>2056215658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2595213720</v>
      </c>
      <c r="D98" s="49">
        <f>H98/C98</f>
        <v>0.99951517865742479</v>
      </c>
      <c r="E98" s="63">
        <f>SUM(E99:E105)</f>
        <v>2593955505</v>
      </c>
      <c r="F98" s="49">
        <f>E98/C98*100%</f>
        <v>0.99951517865742479</v>
      </c>
      <c r="G98" s="18" t="s">
        <v>0</v>
      </c>
      <c r="H98" s="63">
        <f>SUM(H99:H105)</f>
        <v>2593955505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293839000</v>
      </c>
      <c r="D101" s="97">
        <f>E101/C101*100%</f>
        <v>0.99571801224480072</v>
      </c>
      <c r="E101" s="92">
        <f>292580785</f>
        <v>292580785</v>
      </c>
      <c r="F101" s="58">
        <f>E101/C101*100%</f>
        <v>0.99571801224480072</v>
      </c>
      <c r="G101" s="27" t="s">
        <v>33</v>
      </c>
      <c r="H101" s="46">
        <v>292580785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1</v>
      </c>
      <c r="E104" s="92">
        <f>1430900000</f>
        <v>1430900000</v>
      </c>
      <c r="F104" s="58">
        <f>E104/C104*100%</f>
        <v>1</v>
      </c>
      <c r="G104" s="27" t="s">
        <v>33</v>
      </c>
      <c r="H104" s="46">
        <f>1430900000</f>
        <v>1430900000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1</v>
      </c>
      <c r="E105" s="92">
        <f>870474720</f>
        <v>870474720</v>
      </c>
      <c r="F105" s="58">
        <f>E105/C105*100%</f>
        <v>1</v>
      </c>
      <c r="G105" s="27" t="s">
        <v>33</v>
      </c>
      <c r="H105" s="46">
        <f>870474720</f>
        <v>870474720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9679077888</v>
      </c>
      <c r="D107" s="49">
        <f>H107/C107</f>
        <v>0.99926765337751977</v>
      </c>
      <c r="E107" s="63">
        <f>SUM(E108:E114)</f>
        <v>9671989448</v>
      </c>
      <c r="F107" s="49">
        <f>E107/C107*100%</f>
        <v>0.99926765337751977</v>
      </c>
      <c r="G107" s="18" t="s">
        <v>0</v>
      </c>
      <c r="H107" s="63">
        <f>SUM(H110:H114)</f>
        <v>9671989448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235000000</v>
      </c>
      <c r="D110" s="97">
        <f>E110/C110*100%</f>
        <v>0.99971217021276593</v>
      </c>
      <c r="E110" s="89">
        <f>234932360</f>
        <v>234932360</v>
      </c>
      <c r="F110" s="58">
        <f>E110/C110*100%</f>
        <v>0.99971217021276593</v>
      </c>
      <c r="G110" s="27" t="s">
        <v>33</v>
      </c>
      <c r="H110" s="46">
        <f>234932360</f>
        <v>234932360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1</v>
      </c>
      <c r="E113" s="92">
        <f>5850440000</f>
        <v>5850440000</v>
      </c>
      <c r="F113" s="58">
        <f>E113/C113*100%</f>
        <v>1</v>
      </c>
      <c r="G113" s="27" t="s">
        <v>33</v>
      </c>
      <c r="H113" s="123">
        <f>5850440000</f>
        <v>5850440000</v>
      </c>
    </row>
    <row r="114" spans="1:8" x14ac:dyDescent="0.25">
      <c r="A114" s="28" t="s">
        <v>105</v>
      </c>
      <c r="B114" s="28" t="s">
        <v>41</v>
      </c>
      <c r="C114" s="108">
        <v>3593637888</v>
      </c>
      <c r="D114" s="97">
        <f t="shared" si="11"/>
        <v>0.99804632513936808</v>
      </c>
      <c r="E114" s="89">
        <f>3586617088</f>
        <v>3586617088</v>
      </c>
      <c r="F114" s="58">
        <f>E114/C114*100%</f>
        <v>0.99804632513936808</v>
      </c>
      <c r="G114" s="27" t="s">
        <v>33</v>
      </c>
      <c r="H114" s="46">
        <f>3586617088</f>
        <v>3586617088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Desember 2023 PERUBAHAN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33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33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53938952658</v>
      </c>
      <c r="D130" s="42">
        <f>E130/C130*100%</f>
        <v>0.98193336338621939</v>
      </c>
      <c r="E130" s="74">
        <f>E132+E144+E150+E156+E162+E168+E174+E180</f>
        <v>52964457201</v>
      </c>
      <c r="F130" s="42">
        <f>E130/C130*100%</f>
        <v>0.98193336338621939</v>
      </c>
      <c r="G130" s="15" t="s">
        <v>1</v>
      </c>
      <c r="H130" s="43">
        <f>H132+H144+H150+H156+H162+H168+H174+H180</f>
        <v>52964457201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17086990906</v>
      </c>
      <c r="D132" s="49">
        <f>H132/C132*100%</f>
        <v>0.94554441919476495</v>
      </c>
      <c r="E132" s="48">
        <f>SUM(E133:E142)</f>
        <v>16156508892</v>
      </c>
      <c r="F132" s="49">
        <f>E132/C132*100%</f>
        <v>0.94554441919476495</v>
      </c>
      <c r="G132" s="18" t="s">
        <v>0</v>
      </c>
      <c r="H132" s="48">
        <f>SUM(H134:H142)</f>
        <v>16156508892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0.99806651000000002</v>
      </c>
      <c r="E134" s="37">
        <f>SUM(E14:E20)</f>
        <v>99806651</v>
      </c>
      <c r="F134" s="58">
        <f>E134/C134*100%</f>
        <v>0.99806651000000002</v>
      </c>
      <c r="G134" s="27" t="s">
        <v>61</v>
      </c>
      <c r="H134" s="37">
        <f>SUM(H14:H20)</f>
        <v>99806651</v>
      </c>
    </row>
    <row r="135" spans="1:14" x14ac:dyDescent="0.25">
      <c r="A135" s="36" t="s">
        <v>76</v>
      </c>
      <c r="B135" s="36" t="s">
        <v>26</v>
      </c>
      <c r="C135" s="77">
        <f>SUM(C22:C24)</f>
        <v>14237532806</v>
      </c>
      <c r="D135" s="76">
        <f t="shared" ref="D135:D142" si="13">H135/C135*100%</f>
        <v>0.94346495126874863</v>
      </c>
      <c r="E135" s="77">
        <f>SUM(E22:E24)</f>
        <v>13432613195</v>
      </c>
      <c r="F135" s="58">
        <f t="shared" ref="F135:F142" si="14">E135/C135*100%</f>
        <v>0.94346495126874863</v>
      </c>
      <c r="G135" s="27" t="s">
        <v>61</v>
      </c>
      <c r="H135" s="77">
        <f>SUM(H22:H24)</f>
        <v>13432613195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516498100</v>
      </c>
      <c r="D137" s="76">
        <f t="shared" si="13"/>
        <v>0.99669574583139797</v>
      </c>
      <c r="E137" s="77">
        <f>SUM(E30:E36)</f>
        <v>514791459</v>
      </c>
      <c r="F137" s="58">
        <f t="shared" si="14"/>
        <v>0.99669574583139797</v>
      </c>
      <c r="G137" s="27" t="s">
        <v>61</v>
      </c>
      <c r="H137" s="77">
        <f>514791459</f>
        <v>514791459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288367500</v>
      </c>
      <c r="D139" s="76">
        <f t="shared" si="13"/>
        <v>0.98841696446374849</v>
      </c>
      <c r="E139" s="77">
        <f>SUM(E42:E43)</f>
        <v>285027329</v>
      </c>
      <c r="F139" s="58">
        <f t="shared" si="14"/>
        <v>0.98841696446374849</v>
      </c>
      <c r="G139" s="27" t="s">
        <v>61</v>
      </c>
      <c r="H139" s="77">
        <f>SUM(H42:H43)</f>
        <v>285027329</v>
      </c>
    </row>
    <row r="140" spans="1:14" ht="30" x14ac:dyDescent="0.25">
      <c r="A140" s="36" t="s">
        <v>94</v>
      </c>
      <c r="B140" s="36" t="s">
        <v>30</v>
      </c>
      <c r="C140" s="77">
        <f>SUM(C45:C48)</f>
        <v>463277500</v>
      </c>
      <c r="D140" s="76">
        <f t="shared" si="13"/>
        <v>0.84016154248803365</v>
      </c>
      <c r="E140" s="77">
        <f>SUM(E45:E48)</f>
        <v>389227939</v>
      </c>
      <c r="F140" s="58">
        <f t="shared" si="14"/>
        <v>0.84016154248803365</v>
      </c>
      <c r="G140" s="27" t="s">
        <v>61</v>
      </c>
      <c r="H140" s="77">
        <f>389227939</f>
        <v>389227939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1481315000</v>
      </c>
      <c r="D142" s="76">
        <f t="shared" si="13"/>
        <v>0.96876243000307161</v>
      </c>
      <c r="E142" s="77">
        <f>SUM(E51)</f>
        <v>1435042319</v>
      </c>
      <c r="F142" s="58">
        <f t="shared" si="14"/>
        <v>0.96876243000307161</v>
      </c>
      <c r="G142" s="27" t="s">
        <v>61</v>
      </c>
      <c r="H142" s="77">
        <f>1435042319</f>
        <v>1435042319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5014600912</v>
      </c>
      <c r="D144" s="49">
        <f>H144/C144*100%</f>
        <v>0.99953967622937323</v>
      </c>
      <c r="E144" s="48">
        <f>SUM(E145:E148)</f>
        <v>5012292572</v>
      </c>
      <c r="F144" s="49">
        <f>E144/C144*100%</f>
        <v>0.99953967622937323</v>
      </c>
      <c r="G144" s="18" t="s">
        <v>0</v>
      </c>
      <c r="H144" s="48">
        <f>H146+H148</f>
        <v>5012292572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235000000</v>
      </c>
      <c r="D146" s="76">
        <f>H146/C146*100%</f>
        <v>0.99971217021276593</v>
      </c>
      <c r="E146" s="37">
        <f>SUM(E56)</f>
        <v>234932360</v>
      </c>
      <c r="F146" s="58">
        <f>E146/C146*100%</f>
        <v>0.99971217021276593</v>
      </c>
      <c r="G146" s="27" t="s">
        <v>61</v>
      </c>
      <c r="H146" s="37">
        <f>234932360</f>
        <v>234932360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0.99953119516853917</v>
      </c>
      <c r="E148" s="77">
        <f>SUM(E59:E60)</f>
        <v>4777360212</v>
      </c>
      <c r="F148" s="58">
        <f>E148/C148*100%</f>
        <v>0.99953119516853917</v>
      </c>
      <c r="G148" s="27" t="s">
        <v>61</v>
      </c>
      <c r="H148" s="77">
        <f>SUM(H59:H60)</f>
        <v>4777360212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4715737968</v>
      </c>
      <c r="D150" s="49">
        <f>H150/C150*100%</f>
        <v>0.99679170257069716</v>
      </c>
      <c r="E150" s="48">
        <f>SUM(E151:E154)</f>
        <v>4700608478</v>
      </c>
      <c r="F150" s="49">
        <f>E150/C150*100%</f>
        <v>0.99679170257069716</v>
      </c>
      <c r="G150" s="18" t="s">
        <v>0</v>
      </c>
      <c r="H150" s="48">
        <f>SUM(H151:H154)</f>
        <v>4700608478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385000000</v>
      </c>
      <c r="D152" s="76">
        <f>H152/C152*100%</f>
        <v>0.96070262337662338</v>
      </c>
      <c r="E152" s="37">
        <f>SUM(E65)</f>
        <v>369870510</v>
      </c>
      <c r="F152" s="58">
        <f>E152/C152*100%</f>
        <v>0.96070262337662338</v>
      </c>
      <c r="G152" s="27" t="s">
        <v>61</v>
      </c>
      <c r="H152" s="37">
        <f>SUM(H65)</f>
        <v>369870510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1</v>
      </c>
      <c r="E154" s="77">
        <f>SUM(E68:E69)</f>
        <v>4330737968</v>
      </c>
      <c r="F154" s="58">
        <f>E154/C154*100%</f>
        <v>1</v>
      </c>
      <c r="G154" s="27" t="s">
        <v>61</v>
      </c>
      <c r="H154" s="77">
        <f>SUM(H68:H69)</f>
        <v>4330737968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4935085176</v>
      </c>
      <c r="D156" s="49">
        <f>H156/C156*100%</f>
        <v>0.99979781341873242</v>
      </c>
      <c r="E156" s="48">
        <f>SUM(E157:E160)</f>
        <v>4934087368</v>
      </c>
      <c r="F156" s="49">
        <f>E156/C156*100%</f>
        <v>0.99979781341873242</v>
      </c>
      <c r="G156" s="18" t="s">
        <v>0</v>
      </c>
      <c r="H156" s="48">
        <f>SUM(H157:H160)</f>
        <v>4934087368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235000000</v>
      </c>
      <c r="D158" s="76">
        <f>H158/C158*100%</f>
        <v>0.99999574468085106</v>
      </c>
      <c r="E158" s="37">
        <f>SUM(E74)</f>
        <v>234999000</v>
      </c>
      <c r="F158" s="58">
        <f>E158/C158*100%</f>
        <v>0.99999574468085106</v>
      </c>
      <c r="G158" s="27" t="s">
        <v>61</v>
      </c>
      <c r="H158" s="37">
        <f>SUM(H74)</f>
        <v>234999000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4700085176</v>
      </c>
      <c r="D160" s="76">
        <f>H160/C160*100%</f>
        <v>0.99978791703497416</v>
      </c>
      <c r="E160" s="77">
        <f>SUM(E77:E78)</f>
        <v>4699088368</v>
      </c>
      <c r="F160" s="58">
        <f>E160/C160*100%</f>
        <v>0.99978791703497416</v>
      </c>
      <c r="G160" s="27" t="s">
        <v>61</v>
      </c>
      <c r="H160" s="77">
        <f>SUM(H77:H78)</f>
        <v>4699088368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4224350760</v>
      </c>
      <c r="D162" s="49">
        <f>H162/C162*100%</f>
        <v>0.99618311998315212</v>
      </c>
      <c r="E162" s="48">
        <f>SUM(E163:E166)</f>
        <v>4208226920</v>
      </c>
      <c r="F162" s="49">
        <f>E162/C162*100%</f>
        <v>0.99618311998315212</v>
      </c>
      <c r="G162" s="18" t="s">
        <v>0</v>
      </c>
      <c r="H162" s="48">
        <f>SUM(H163:H166)</f>
        <v>4208226920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235000000</v>
      </c>
      <c r="D164" s="76">
        <f>H164/C164*100%</f>
        <v>0.99971217021276593</v>
      </c>
      <c r="E164" s="37">
        <f>SUM(E83)</f>
        <v>234932360</v>
      </c>
      <c r="F164" s="58">
        <f>E164/C164*100%</f>
        <v>0.99971217021276593</v>
      </c>
      <c r="G164" s="27" t="s">
        <v>61</v>
      </c>
      <c r="H164" s="37">
        <f>SUM(H83)</f>
        <v>234932360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0.99597523482743344</v>
      </c>
      <c r="E166" s="77">
        <f>SUM(E86:E87)</f>
        <v>3973294560</v>
      </c>
      <c r="F166" s="58">
        <f>E166/C166*100%</f>
        <v>0.99597523482743344</v>
      </c>
      <c r="G166" s="27" t="s">
        <v>61</v>
      </c>
      <c r="H166" s="77">
        <f>SUM(H86:H87)</f>
        <v>3973294560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5687895328</v>
      </c>
      <c r="D168" s="49">
        <f>H168/C168*100%</f>
        <v>0.99980532166361269</v>
      </c>
      <c r="E168" s="48">
        <f>SUM(E169:E172)</f>
        <v>5686788018</v>
      </c>
      <c r="F168" s="49">
        <f>E168/C168*100%</f>
        <v>0.99980532166361269</v>
      </c>
      <c r="G168" s="18" t="s">
        <v>0</v>
      </c>
      <c r="H168" s="48">
        <f>SUM(H169:H172)</f>
        <v>5686788018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235000000</v>
      </c>
      <c r="D170" s="76">
        <f>H170/C170*100%</f>
        <v>0.99971217021276593</v>
      </c>
      <c r="E170" s="37">
        <f>SUM(E92)</f>
        <v>234932360</v>
      </c>
      <c r="F170" s="58">
        <f>E170/C170*100%</f>
        <v>0.99971217021276593</v>
      </c>
      <c r="G170" s="27" t="s">
        <v>61</v>
      </c>
      <c r="H170" s="37">
        <f>SUM(H92)</f>
        <v>234932360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0.9998093361530962</v>
      </c>
      <c r="E172" s="77">
        <f>SUM(E95:E96)</f>
        <v>5451855658</v>
      </c>
      <c r="F172" s="58">
        <f>E172/C172*100%</f>
        <v>0.9998093361530962</v>
      </c>
      <c r="G172" s="27" t="s">
        <v>61</v>
      </c>
      <c r="H172" s="77">
        <f>SUM(H95:H96)</f>
        <v>5451855658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2595213720</v>
      </c>
      <c r="D174" s="49">
        <f>H174/C174*100%</f>
        <v>0.99951517865742479</v>
      </c>
      <c r="E174" s="48">
        <f>SUM(E175:E178)</f>
        <v>2593955505</v>
      </c>
      <c r="F174" s="49">
        <f>E174/C174*100%</f>
        <v>0.99951517865742479</v>
      </c>
      <c r="G174" s="18" t="s">
        <v>0</v>
      </c>
      <c r="H174" s="48">
        <f>SUM(H175:H178)</f>
        <v>2593955505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293839000</v>
      </c>
      <c r="D176" s="76">
        <f>H176/C176*100%</f>
        <v>0.99571801224480072</v>
      </c>
      <c r="E176" s="37">
        <f>SUM(E101)</f>
        <v>292580785</v>
      </c>
      <c r="F176" s="58">
        <f>E176/C176*100%</f>
        <v>0.99571801224480072</v>
      </c>
      <c r="G176" s="27" t="s">
        <v>61</v>
      </c>
      <c r="H176" s="37">
        <f>SUM(H101)</f>
        <v>292580785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1</v>
      </c>
      <c r="E178" s="77">
        <f>SUM(E104:E105)</f>
        <v>2301374720</v>
      </c>
      <c r="F178" s="58">
        <f>E178/C178*100%</f>
        <v>1</v>
      </c>
      <c r="G178" s="27" t="s">
        <v>61</v>
      </c>
      <c r="H178" s="77">
        <f>SUM(H104:H105)</f>
        <v>2301374720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9679077888</v>
      </c>
      <c r="D180" s="49">
        <f>H180/C180*100%</f>
        <v>0.99926765337751977</v>
      </c>
      <c r="E180" s="48">
        <f>SUM(E181:E184)</f>
        <v>9671989448</v>
      </c>
      <c r="F180" s="49">
        <f>E180/C180*100%</f>
        <v>0.99926765337751977</v>
      </c>
      <c r="G180" s="18" t="s">
        <v>0</v>
      </c>
      <c r="H180" s="48">
        <f>SUM(H181:H184)</f>
        <v>9671989448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235000000</v>
      </c>
      <c r="D182" s="76">
        <f>H182/C182*100%</f>
        <v>0.99971217021276593</v>
      </c>
      <c r="E182" s="37">
        <f>SUM(E110)</f>
        <v>234932360</v>
      </c>
      <c r="F182" s="58">
        <f>E182/C182*100%</f>
        <v>0.99971217021276593</v>
      </c>
      <c r="G182" s="27" t="s">
        <v>61</v>
      </c>
      <c r="H182" s="37">
        <f>SUM(H110)</f>
        <v>234932360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9444077888</v>
      </c>
      <c r="D184" s="76">
        <f>H184/C184*100%</f>
        <v>0.99925659232343678</v>
      </c>
      <c r="E184" s="77">
        <f>SUM(E112:E114)</f>
        <v>9437057088</v>
      </c>
      <c r="F184" s="58">
        <f>E184/C184*100%</f>
        <v>0.99925659232343678</v>
      </c>
      <c r="G184" s="27" t="s">
        <v>61</v>
      </c>
      <c r="H184" s="77">
        <f>SUM(H112:H114)</f>
        <v>9437057088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Desember 2023 PERUBAHAN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33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33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53938952658</v>
      </c>
      <c r="D196" s="42">
        <f>H196/C196*100%</f>
        <v>0.98193336338621939</v>
      </c>
      <c r="E196" s="74">
        <f>E198+E202+E206+E210+E214+E218+E222+E226</f>
        <v>52964457201</v>
      </c>
      <c r="F196" s="42">
        <f>E196/C196*100%</f>
        <v>0.98193336338621939</v>
      </c>
      <c r="G196" s="15" t="s">
        <v>1</v>
      </c>
      <c r="H196" s="43">
        <f>H198+H202+H206+H210+H214+H218+H222+H226</f>
        <v>52964457201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0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17086990906</v>
      </c>
      <c r="D198" s="49">
        <f>H198/C198*100%</f>
        <v>0.94554441919476495</v>
      </c>
      <c r="E198" s="48">
        <f>SUM(E199:E200)</f>
        <v>16156508892</v>
      </c>
      <c r="F198" s="49">
        <f>E198/C198*100%</f>
        <v>0.94554441919476495</v>
      </c>
      <c r="G198" s="18" t="s">
        <v>0</v>
      </c>
      <c r="H198" s="48">
        <f>SUM(H199:H200)</f>
        <v>16156508892</v>
      </c>
    </row>
    <row r="199" spans="1:14" ht="30" x14ac:dyDescent="0.25">
      <c r="A199" s="39" t="s">
        <v>37</v>
      </c>
      <c r="B199" s="36" t="s">
        <v>24</v>
      </c>
      <c r="C199" s="37">
        <f>SUM(C134:C140)</f>
        <v>15605675906</v>
      </c>
      <c r="D199" s="76">
        <f>H199/C199*100%</f>
        <v>0.94334052954027814</v>
      </c>
      <c r="E199" s="37">
        <f>SUM(E134:E140)</f>
        <v>14721466573</v>
      </c>
      <c r="F199" s="58">
        <f>E199/C199*100%</f>
        <v>0.94334052954027814</v>
      </c>
      <c r="G199" s="27" t="s">
        <v>32</v>
      </c>
      <c r="H199" s="37">
        <f>SUM(H134:H140)</f>
        <v>14721466573</v>
      </c>
    </row>
    <row r="200" spans="1:14" ht="30" x14ac:dyDescent="0.25">
      <c r="A200" s="39" t="s">
        <v>38</v>
      </c>
      <c r="B200" s="36" t="s">
        <v>35</v>
      </c>
      <c r="C200" s="77">
        <f>SUM(C142)</f>
        <v>1481315000</v>
      </c>
      <c r="D200" s="76">
        <f>H200/C200*100%</f>
        <v>0.96876243000307161</v>
      </c>
      <c r="E200" s="77">
        <f>SUM(E142)</f>
        <v>1435042319</v>
      </c>
      <c r="F200" s="58">
        <f>E200/C200*100%</f>
        <v>0.96876243000307161</v>
      </c>
      <c r="G200" s="27" t="s">
        <v>32</v>
      </c>
      <c r="H200" s="77">
        <f>SUM(H142)</f>
        <v>1435042319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5014600912</v>
      </c>
      <c r="D202" s="49">
        <f>H202/C202*100%</f>
        <v>0.99953967622937323</v>
      </c>
      <c r="E202" s="88">
        <f>SUM(E203:E204)</f>
        <v>5012292572</v>
      </c>
      <c r="F202" s="49">
        <f>E202/C202*100%</f>
        <v>0.99953967622937323</v>
      </c>
      <c r="G202" s="18" t="s">
        <v>0</v>
      </c>
      <c r="H202" s="43">
        <f>SUM(H203:H204)</f>
        <v>5012292572</v>
      </c>
    </row>
    <row r="203" spans="1:14" ht="30" x14ac:dyDescent="0.25">
      <c r="A203" s="39" t="s">
        <v>38</v>
      </c>
      <c r="B203" s="36" t="s">
        <v>35</v>
      </c>
      <c r="C203" s="37">
        <f>SUM(C146)</f>
        <v>235000000</v>
      </c>
      <c r="D203" s="76">
        <f>H203/C203*100%</f>
        <v>0.99971217021276593</v>
      </c>
      <c r="E203" s="37">
        <f>SUM(E146)</f>
        <v>234932360</v>
      </c>
      <c r="F203" s="58">
        <f>E203/C203*100%</f>
        <v>0.99971217021276593</v>
      </c>
      <c r="G203" s="27" t="s">
        <v>32</v>
      </c>
      <c r="H203" s="37">
        <f>SUM(H146)</f>
        <v>234932360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0.99953119516853917</v>
      </c>
      <c r="E204" s="77">
        <f>SUM(E148:E148)</f>
        <v>4777360212</v>
      </c>
      <c r="F204" s="58">
        <f>E204/C204*100%</f>
        <v>0.99953119516853917</v>
      </c>
      <c r="G204" s="27" t="s">
        <v>32</v>
      </c>
      <c r="H204" s="77">
        <f>SUM(H148:H148)</f>
        <v>4777360212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4715737968</v>
      </c>
      <c r="D206" s="49">
        <f>H206/C206*100%</f>
        <v>0.99679170257069716</v>
      </c>
      <c r="E206" s="88">
        <f>SUM(E207:E209)</f>
        <v>4700608478</v>
      </c>
      <c r="F206" s="49">
        <f>E206/C206*100%</f>
        <v>0.99679170257069716</v>
      </c>
      <c r="G206" s="18" t="s">
        <v>0</v>
      </c>
      <c r="H206" s="43">
        <f>SUM(H207:H209)</f>
        <v>4700608478</v>
      </c>
    </row>
    <row r="207" spans="1:14" ht="30" x14ac:dyDescent="0.25">
      <c r="A207" s="39" t="s">
        <v>38</v>
      </c>
      <c r="B207" s="36" t="s">
        <v>35</v>
      </c>
      <c r="C207" s="37">
        <f>SUM(C152)</f>
        <v>385000000</v>
      </c>
      <c r="D207" s="76">
        <f>H207/C207*100%</f>
        <v>0.96070262337662338</v>
      </c>
      <c r="E207" s="37">
        <f>SUM(E152)</f>
        <v>369870510</v>
      </c>
      <c r="F207" s="58">
        <f>E207/C207*100%</f>
        <v>0.96070262337662338</v>
      </c>
      <c r="G207" s="27" t="s">
        <v>32</v>
      </c>
      <c r="H207" s="37">
        <f>SUM(H152)</f>
        <v>369870510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1</v>
      </c>
      <c r="E208" s="77">
        <f>SUM(E154:E154)</f>
        <v>4330737968</v>
      </c>
      <c r="F208" s="58">
        <f>E208/C208*100%</f>
        <v>1</v>
      </c>
      <c r="G208" s="27" t="s">
        <v>32</v>
      </c>
      <c r="H208" s="77">
        <f>SUM(H154:H154)</f>
        <v>4330737968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4935085176</v>
      </c>
      <c r="D210" s="49">
        <f>H210/C210*100%</f>
        <v>0.99979781341873242</v>
      </c>
      <c r="E210" s="88">
        <f>SUM(E211:E212)</f>
        <v>4934087368</v>
      </c>
      <c r="F210" s="49">
        <f>E210/C210*100%</f>
        <v>0.99979781341873242</v>
      </c>
      <c r="G210" s="18" t="s">
        <v>0</v>
      </c>
      <c r="H210" s="43">
        <f>SUM(H211:H212)</f>
        <v>4934087368</v>
      </c>
    </row>
    <row r="211" spans="1:8" ht="30" x14ac:dyDescent="0.25">
      <c r="A211" s="39" t="s">
        <v>38</v>
      </c>
      <c r="B211" s="36" t="s">
        <v>35</v>
      </c>
      <c r="C211" s="37">
        <f>SUM(C158)</f>
        <v>235000000</v>
      </c>
      <c r="D211" s="76">
        <f>H211/C211*100%</f>
        <v>0.99999574468085106</v>
      </c>
      <c r="E211" s="37">
        <f>SUM(E158)</f>
        <v>234999000</v>
      </c>
      <c r="F211" s="58">
        <f>E211/C211*100%</f>
        <v>0.99999574468085106</v>
      </c>
      <c r="G211" s="27" t="s">
        <v>32</v>
      </c>
      <c r="H211" s="37">
        <f>SUM(H158)</f>
        <v>234999000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4700085176</v>
      </c>
      <c r="D212" s="76">
        <f>H212/C212*100%</f>
        <v>0.99978791703497416</v>
      </c>
      <c r="E212" s="77">
        <f>SUM(E160:E160)</f>
        <v>4699088368</v>
      </c>
      <c r="F212" s="58">
        <f>E212/C212*100%</f>
        <v>0.99978791703497416</v>
      </c>
      <c r="G212" s="27" t="s">
        <v>32</v>
      </c>
      <c r="H212" s="77">
        <f>SUM(H160:H160)</f>
        <v>4699088368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4224350760</v>
      </c>
      <c r="D214" s="49">
        <f>H214/C214*100%</f>
        <v>0.99618311998315212</v>
      </c>
      <c r="E214" s="88">
        <f>SUM(E215:E216)</f>
        <v>4208226920</v>
      </c>
      <c r="F214" s="49">
        <f>E214/C214*100%</f>
        <v>0.99618311998315212</v>
      </c>
      <c r="G214" s="18" t="s">
        <v>0</v>
      </c>
      <c r="H214" s="43">
        <f>SUM(H215:H216)</f>
        <v>4208226920</v>
      </c>
    </row>
    <row r="215" spans="1:8" ht="30" x14ac:dyDescent="0.25">
      <c r="A215" s="39" t="s">
        <v>38</v>
      </c>
      <c r="B215" s="36" t="s">
        <v>35</v>
      </c>
      <c r="C215" s="37">
        <f>SUM(C164)</f>
        <v>235000000</v>
      </c>
      <c r="D215" s="76">
        <f>H215/C215*100%</f>
        <v>0.99971217021276593</v>
      </c>
      <c r="E215" s="37">
        <f>SUM(E164)</f>
        <v>234932360</v>
      </c>
      <c r="F215" s="58">
        <f>E215/C215*100%</f>
        <v>0.99971217021276593</v>
      </c>
      <c r="G215" s="27" t="s">
        <v>32</v>
      </c>
      <c r="H215" s="37">
        <f>SUM(H164)</f>
        <v>234932360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0.99597523482743344</v>
      </c>
      <c r="E216" s="77">
        <f>SUM(E166:E166)</f>
        <v>3973294560</v>
      </c>
      <c r="F216" s="58">
        <f>E216/C216*100%</f>
        <v>0.99597523482743344</v>
      </c>
      <c r="G216" s="27" t="s">
        <v>32</v>
      </c>
      <c r="H216" s="77">
        <f>SUM(H166:H166)</f>
        <v>3973294560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5687895328</v>
      </c>
      <c r="D218" s="49">
        <f>H218/C218*100%</f>
        <v>0.99980532166361269</v>
      </c>
      <c r="E218" s="88">
        <f>SUM(E219:E220)</f>
        <v>5686788018</v>
      </c>
      <c r="F218" s="49">
        <f>E218/C218*100%</f>
        <v>0.99980532166361269</v>
      </c>
      <c r="G218" s="18" t="s">
        <v>0</v>
      </c>
      <c r="H218" s="43">
        <f>SUM(H219:H220)</f>
        <v>5686788018</v>
      </c>
    </row>
    <row r="219" spans="1:8" ht="30" x14ac:dyDescent="0.25">
      <c r="A219" s="39" t="s">
        <v>38</v>
      </c>
      <c r="B219" s="36" t="s">
        <v>35</v>
      </c>
      <c r="C219" s="37">
        <f>SUM(C170)</f>
        <v>235000000</v>
      </c>
      <c r="D219" s="76">
        <f>H219/C219*100%</f>
        <v>0.99971217021276593</v>
      </c>
      <c r="E219" s="37">
        <f>SUM(E170)</f>
        <v>234932360</v>
      </c>
      <c r="F219" s="58">
        <f>E219/C219*100%</f>
        <v>0.99971217021276593</v>
      </c>
      <c r="G219" s="27" t="s">
        <v>32</v>
      </c>
      <c r="H219" s="37">
        <f>SUM(H170)</f>
        <v>234932360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0.9998093361530962</v>
      </c>
      <c r="E220" s="77">
        <f>SUM(E172:E172)</f>
        <v>5451855658</v>
      </c>
      <c r="F220" s="58">
        <f>E220/C220*100%</f>
        <v>0.9998093361530962</v>
      </c>
      <c r="G220" s="27" t="s">
        <v>32</v>
      </c>
      <c r="H220" s="77">
        <f>SUM(H172:H172)</f>
        <v>5451855658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2595213720</v>
      </c>
      <c r="D222" s="49">
        <f>H222/C222*100%</f>
        <v>0.99951517865742479</v>
      </c>
      <c r="E222" s="88">
        <f>SUM(E223:E224)</f>
        <v>2593955505</v>
      </c>
      <c r="F222" s="49">
        <f>E222/C222*100%</f>
        <v>0.99951517865742479</v>
      </c>
      <c r="G222" s="18" t="s">
        <v>0</v>
      </c>
      <c r="H222" s="43">
        <f>SUM(H223:H224)</f>
        <v>2593955505</v>
      </c>
    </row>
    <row r="223" spans="1:8" ht="30" x14ac:dyDescent="0.25">
      <c r="A223" s="39" t="s">
        <v>38</v>
      </c>
      <c r="B223" s="36" t="s">
        <v>35</v>
      </c>
      <c r="C223" s="37">
        <f>SUM(C176)</f>
        <v>293839000</v>
      </c>
      <c r="D223" s="76">
        <f>H223/C223*100%</f>
        <v>0.99571801224480072</v>
      </c>
      <c r="E223" s="37">
        <f>SUM(E176)</f>
        <v>292580785</v>
      </c>
      <c r="F223" s="58">
        <f>E223/C223*100%</f>
        <v>0.99571801224480072</v>
      </c>
      <c r="G223" s="27" t="s">
        <v>32</v>
      </c>
      <c r="H223" s="37">
        <f>SUM(H176)</f>
        <v>292580785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1</v>
      </c>
      <c r="E224" s="77">
        <f>SUM(E178:E178)</f>
        <v>2301374720</v>
      </c>
      <c r="F224" s="58">
        <f>E224/C224*100%</f>
        <v>1</v>
      </c>
      <c r="G224" s="27" t="s">
        <v>32</v>
      </c>
      <c r="H224" s="77">
        <f>SUM(H178:H178)</f>
        <v>2301374720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9679077888</v>
      </c>
      <c r="D226" s="49">
        <f>H226/C226*100%</f>
        <v>0.99926765337751977</v>
      </c>
      <c r="E226" s="88">
        <f>SUM(E227:E228)</f>
        <v>9671989448</v>
      </c>
      <c r="F226" s="49">
        <f>E226/C226*100%</f>
        <v>0.99926765337751977</v>
      </c>
      <c r="G226" s="18" t="s">
        <v>0</v>
      </c>
      <c r="H226" s="43">
        <f>SUM(H227:H228)</f>
        <v>9671989448</v>
      </c>
    </row>
    <row r="227" spans="1:14" ht="30" x14ac:dyDescent="0.25">
      <c r="A227" s="39" t="s">
        <v>38</v>
      </c>
      <c r="B227" s="36" t="s">
        <v>35</v>
      </c>
      <c r="C227" s="37">
        <f>SUM(C182)</f>
        <v>235000000</v>
      </c>
      <c r="D227" s="76">
        <f>H227/C227*100%</f>
        <v>0.99971217021276593</v>
      </c>
      <c r="E227" s="37">
        <f>SUM(E182)</f>
        <v>234932360</v>
      </c>
      <c r="F227" s="58">
        <f>E227/C227*100%</f>
        <v>0.99971217021276593</v>
      </c>
      <c r="G227" s="27" t="s">
        <v>32</v>
      </c>
      <c r="H227" s="37">
        <f>SUM(H182)</f>
        <v>234932360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9444077888</v>
      </c>
      <c r="D228" s="76">
        <f>H228/C228*100%</f>
        <v>0.99925659232343678</v>
      </c>
      <c r="E228" s="77">
        <f>SUM(E184:E184)</f>
        <v>9437057088</v>
      </c>
      <c r="F228" s="58">
        <f>E228/C228*100%</f>
        <v>0.99925659232343678</v>
      </c>
      <c r="G228" s="27" t="s">
        <v>32</v>
      </c>
      <c r="H228" s="77">
        <f>SUM(H184:H184)</f>
        <v>9437057088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Desember 2023 PERUBAHAN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33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33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53938952658</v>
      </c>
      <c r="D240" s="42">
        <f>H240/C240*100%</f>
        <v>0.98193336338621939</v>
      </c>
      <c r="E240" s="14">
        <f>SUM(E242:E244)</f>
        <v>52964457201</v>
      </c>
      <c r="F240" s="42">
        <f>E240/C240*100%</f>
        <v>0.98193336338621939</v>
      </c>
      <c r="G240" s="15" t="s">
        <v>1</v>
      </c>
      <c r="H240" s="14">
        <f>SUM(H242:H244)</f>
        <v>52964457201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15605675906</v>
      </c>
      <c r="D242" s="76">
        <f>H242/C242*100%</f>
        <v>0.94334052954027814</v>
      </c>
      <c r="E242" s="37">
        <f>E199</f>
        <v>14721466573</v>
      </c>
      <c r="F242" s="58">
        <f>E242/C242*100%</f>
        <v>0.94334052954027814</v>
      </c>
      <c r="G242" s="27" t="s">
        <v>32</v>
      </c>
      <c r="H242" s="37">
        <f>H199</f>
        <v>14721466573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3335154000</v>
      </c>
      <c r="D243" s="76">
        <f t="shared" ref="D243:D244" si="17">H243/C243*100%</f>
        <v>0.98113072259931622</v>
      </c>
      <c r="E243" s="77">
        <f>E200+E203+E207+E211+E215+E219+E223+E227</f>
        <v>3272222054</v>
      </c>
      <c r="F243" s="58">
        <f t="shared" ref="F243:F244" si="18">E243/C243*100%</f>
        <v>0.98113072259931622</v>
      </c>
      <c r="G243" s="27" t="s">
        <v>32</v>
      </c>
      <c r="H243" s="77">
        <f>H200+H203+H207+H211+H215+H219+H223+H227</f>
        <v>3272222054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34998122752</v>
      </c>
      <c r="D244" s="76">
        <f t="shared" si="17"/>
        <v>0.99921841013605683</v>
      </c>
      <c r="E244" s="77">
        <f>E204+E208+E212+E216+E220+E224+E228</f>
        <v>34970768574</v>
      </c>
      <c r="F244" s="58">
        <f t="shared" si="18"/>
        <v>0.99921841013605683</v>
      </c>
      <c r="G244" s="27" t="s">
        <v>32</v>
      </c>
      <c r="H244" s="77">
        <f>H204+H208+H212+H216+H220+H224+H228</f>
        <v>34970768574</v>
      </c>
    </row>
  </sheetData>
  <mergeCells count="32">
    <mergeCell ref="A2:G2"/>
    <mergeCell ref="B5:G5"/>
    <mergeCell ref="A6:A8"/>
    <mergeCell ref="B6:B8"/>
    <mergeCell ref="C6:C8"/>
    <mergeCell ref="D6:F6"/>
    <mergeCell ref="G6:G8"/>
    <mergeCell ref="E7:F7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233:G233"/>
    <mergeCell ref="B236:G236"/>
    <mergeCell ref="A237:A239"/>
    <mergeCell ref="B237:B239"/>
    <mergeCell ref="C237:C238"/>
    <mergeCell ref="D237:F237"/>
    <mergeCell ref="G237:G239"/>
    <mergeCell ref="E238:F2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topLeftCell="A7" workbookViewId="0">
      <selection activeCell="H91" sqref="H91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133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21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E9/C9*100%</f>
        <v>2.512398918331922E-2</v>
      </c>
      <c r="E9" s="40">
        <f>E11+E53+E62+E71+E80+E89+E98+E107</f>
        <v>1306080690</v>
      </c>
      <c r="F9" s="42">
        <f>E9/C9*100%</f>
        <v>2.512398918331922E-2</v>
      </c>
      <c r="G9" s="15" t="s">
        <v>1</v>
      </c>
      <c r="H9" s="43">
        <f>H11+H53+H62+H71+H80+H89+H98+H107</f>
        <v>1306080690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15629071544</v>
      </c>
      <c r="D11" s="49">
        <f>H11/C11*100%</f>
        <v>7.5987715371098052E-2</v>
      </c>
      <c r="E11" s="48">
        <f>SUM(E14:E51)</f>
        <v>1187617440</v>
      </c>
      <c r="F11" s="49">
        <f>E11/C11*100%</f>
        <v>7.5987715371098052E-2</v>
      </c>
      <c r="G11" s="18" t="s">
        <v>0</v>
      </c>
      <c r="H11" s="48">
        <f>SUM(H12:H51)</f>
        <v>1187617440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46"/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</v>
      </c>
      <c r="E14" s="92"/>
      <c r="F14" s="58">
        <f>E14/C14*100%</f>
        <v>0</v>
      </c>
      <c r="G14" s="27" t="s">
        <v>33</v>
      </c>
      <c r="H14" s="46">
        <f t="shared" ref="H14:H20" si="0">D14*C14</f>
        <v>0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si="0"/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</v>
      </c>
      <c r="E19" s="92"/>
      <c r="F19" s="58">
        <f>E19/C19*100%</f>
        <v>0</v>
      </c>
      <c r="G19" s="27" t="s">
        <v>33</v>
      </c>
      <c r="H19" s="46">
        <f t="shared" si="0"/>
        <v>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</v>
      </c>
      <c r="E20" s="92"/>
      <c r="F20" s="58">
        <f>E20/C20*100%</f>
        <v>0</v>
      </c>
      <c r="G20" s="27" t="s">
        <v>33</v>
      </c>
      <c r="H20" s="46">
        <f t="shared" si="0"/>
        <v>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11713143962</v>
      </c>
      <c r="D22" s="97">
        <f>E22/C22*100%</f>
        <v>6.8810722177991446E-2</v>
      </c>
      <c r="E22" s="100">
        <f>805989895</f>
        <v>805989895</v>
      </c>
      <c r="F22" s="58">
        <f>E22/C22*100%</f>
        <v>6.8810722177991446E-2</v>
      </c>
      <c r="G22" s="27" t="s">
        <v>33</v>
      </c>
      <c r="H22" s="46">
        <f>D22*C22</f>
        <v>805989895</v>
      </c>
    </row>
    <row r="23" spans="1:8" ht="25.5" customHeight="1" x14ac:dyDescent="0.25">
      <c r="A23" s="28" t="s">
        <v>78</v>
      </c>
      <c r="B23" s="28" t="s">
        <v>11</v>
      </c>
      <c r="C23" s="108">
        <v>1853928000</v>
      </c>
      <c r="D23" s="97">
        <f>E23/C23*100%</f>
        <v>0.13778852253161936</v>
      </c>
      <c r="E23" s="100">
        <f>255450000</f>
        <v>255450000</v>
      </c>
      <c r="F23" s="58">
        <f>E23/C23*100%</f>
        <v>0.13778852253161936</v>
      </c>
      <c r="G23" s="27" t="s">
        <v>33</v>
      </c>
      <c r="H23" s="46">
        <f>D23*C23</f>
        <v>255450000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</v>
      </c>
      <c r="E24" s="100"/>
      <c r="F24" s="58">
        <f>E24/C24*100%</f>
        <v>0</v>
      </c>
      <c r="G24" s="27" t="s">
        <v>33</v>
      </c>
      <c r="H24" s="46">
        <f>D24*C24</f>
        <v>0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0</v>
      </c>
      <c r="E30" s="92"/>
      <c r="F30" s="58">
        <f>E30/C30*100%</f>
        <v>0</v>
      </c>
      <c r="G30" s="27" t="s">
        <v>33</v>
      </c>
      <c r="H30" s="46">
        <f t="shared" ref="H30:H36" si="2">D30*C30</f>
        <v>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2"/>
        <v>0</v>
      </c>
    </row>
    <row r="32" spans="1:8" x14ac:dyDescent="0.25">
      <c r="A32" s="28" t="s">
        <v>86</v>
      </c>
      <c r="B32" s="28" t="s">
        <v>16</v>
      </c>
      <c r="C32" s="108">
        <v>6708000</v>
      </c>
      <c r="D32" s="97"/>
      <c r="E32" s="92"/>
      <c r="F32" s="58">
        <f>E32/C32*100%</f>
        <v>0</v>
      </c>
      <c r="G32" s="27" t="s">
        <v>33</v>
      </c>
      <c r="H32" s="46">
        <f t="shared" si="2"/>
        <v>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4.7923628904977027E-2</v>
      </c>
      <c r="E33" s="92">
        <f>3000000</f>
        <v>3000000</v>
      </c>
      <c r="F33" s="58">
        <f>E33/C33*100%</f>
        <v>4.7923628904977027E-2</v>
      </c>
      <c r="G33" s="27" t="s">
        <v>33</v>
      </c>
      <c r="H33" s="46">
        <v>3000000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ref="D34:D36" si="3">E34/C34*100%</f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</v>
      </c>
      <c r="E35" s="92"/>
      <c r="F35" s="58">
        <f>E35/C35*100%</f>
        <v>0</v>
      </c>
      <c r="G35" s="27" t="s">
        <v>33</v>
      </c>
      <c r="H35" s="46">
        <f t="shared" si="2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>
        <f t="shared" si="3"/>
        <v>0</v>
      </c>
      <c r="E36" s="92"/>
      <c r="F36" s="58">
        <f>E36/C36*100%</f>
        <v>0</v>
      </c>
      <c r="G36" s="27" t="s">
        <v>33</v>
      </c>
      <c r="H36" s="46">
        <f t="shared" si="2"/>
        <v>0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0.14710920829515414</v>
      </c>
      <c r="E42" s="100">
        <f>34918945</f>
        <v>34918945</v>
      </c>
      <c r="F42" s="58">
        <f>E42/C42*100%</f>
        <v>0.14710920829515414</v>
      </c>
      <c r="G42" s="27" t="s">
        <v>33</v>
      </c>
      <c r="H42" s="46">
        <f>D42*C42</f>
        <v>34918945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20000000</v>
      </c>
      <c r="D43" s="97">
        <f>E43/C43*100%</f>
        <v>0</v>
      </c>
      <c r="E43" s="91"/>
      <c r="F43" s="58">
        <f>E43/C43*100%</f>
        <v>0</v>
      </c>
      <c r="G43" s="27" t="s">
        <v>33</v>
      </c>
      <c r="H43" s="46">
        <f>D43*C43</f>
        <v>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46.5" customHeight="1" x14ac:dyDescent="0.25">
      <c r="A45" s="25" t="s">
        <v>107</v>
      </c>
      <c r="B45" s="28" t="s">
        <v>132</v>
      </c>
      <c r="C45" s="108">
        <v>151843982</v>
      </c>
      <c r="D45" s="97">
        <f>E45/C45*100%</f>
        <v>1.4488555759819312E-3</v>
      </c>
      <c r="E45" s="92">
        <f>220000</f>
        <v>220000</v>
      </c>
      <c r="F45" s="58">
        <f>E45/C45*100%</f>
        <v>1.4488555759819312E-3</v>
      </c>
      <c r="G45" s="27" t="s">
        <v>33</v>
      </c>
      <c r="H45" s="46">
        <f>D45*C45</f>
        <v>220000</v>
      </c>
    </row>
    <row r="46" spans="1:10" x14ac:dyDescent="0.25">
      <c r="A46" s="25" t="s">
        <v>95</v>
      </c>
      <c r="B46" s="106" t="s">
        <v>66</v>
      </c>
      <c r="C46" s="109">
        <v>30280000</v>
      </c>
      <c r="D46" s="97">
        <f t="shared" ref="D46:D48" si="4">E46/C46*100%</f>
        <v>0</v>
      </c>
      <c r="E46" s="92"/>
      <c r="F46" s="58">
        <f>E46/C46*100%</f>
        <v>0</v>
      </c>
      <c r="G46" s="27" t="s">
        <v>33</v>
      </c>
      <c r="H46" s="46">
        <f>D46*C46</f>
        <v>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0</v>
      </c>
      <c r="E47" s="92"/>
      <c r="F47" s="58">
        <f>E47/C47*100%</f>
        <v>0</v>
      </c>
      <c r="G47" s="27" t="s">
        <v>33</v>
      </c>
      <c r="H47" s="46">
        <f>D47*C47</f>
        <v>0</v>
      </c>
    </row>
    <row r="48" spans="1:10" ht="36" customHeight="1" x14ac:dyDescent="0.25">
      <c r="A48" s="28" t="s">
        <v>97</v>
      </c>
      <c r="B48" s="28" t="s">
        <v>23</v>
      </c>
      <c r="C48" s="108">
        <v>47010000</v>
      </c>
      <c r="D48" s="97">
        <f t="shared" si="4"/>
        <v>0</v>
      </c>
      <c r="E48" s="92"/>
      <c r="F48" s="58">
        <f>E48/C48*100%</f>
        <v>0</v>
      </c>
      <c r="G48" s="27" t="s">
        <v>33</v>
      </c>
      <c r="H48" s="46">
        <f>D48*C48</f>
        <v>0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>
        <f>E51/C51*100%</f>
        <v>8.2147016011644827E-2</v>
      </c>
      <c r="E51" s="90">
        <f>88038600</f>
        <v>88038600</v>
      </c>
      <c r="F51" s="58">
        <f>E51/C51*100%</f>
        <v>8.2147016011644827E-2</v>
      </c>
      <c r="G51" s="27" t="s">
        <v>33</v>
      </c>
      <c r="H51" s="46">
        <v>88038600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H53/C53</f>
        <v>9.5566594054559521E-3</v>
      </c>
      <c r="E53" s="63">
        <f>SUM(E54:E60)</f>
        <v>47445000</v>
      </c>
      <c r="F53" s="49">
        <f>E53/C53*100%</f>
        <v>9.5566594054559521E-3</v>
      </c>
      <c r="G53" s="18" t="s">
        <v>0</v>
      </c>
      <c r="H53" s="63">
        <f>SUM(H54:H60)</f>
        <v>47445000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>
        <f>E56/C56*100%</f>
        <v>0.25645945945945947</v>
      </c>
      <c r="E56" s="92">
        <f>47445000</f>
        <v>47445000</v>
      </c>
      <c r="F56" s="58">
        <f>E56/C56*100%</f>
        <v>0.25645945945945947</v>
      </c>
      <c r="G56" s="27" t="s">
        <v>33</v>
      </c>
      <c r="H56" s="46">
        <v>47445000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</v>
      </c>
      <c r="E59" s="92"/>
      <c r="F59" s="58">
        <f>E59/C59*100%</f>
        <v>0</v>
      </c>
      <c r="G59" s="27" t="s">
        <v>33</v>
      </c>
      <c r="H59" s="46">
        <f>D59*C59</f>
        <v>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</v>
      </c>
      <c r="E60" s="92"/>
      <c r="F60" s="58">
        <f>E60/C60*100%</f>
        <v>0</v>
      </c>
      <c r="G60" s="27" t="s">
        <v>33</v>
      </c>
      <c r="H60" s="46">
        <f>D60*C60</f>
        <v>0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1.3270837416217283E-2</v>
      </c>
      <c r="E62" s="63">
        <f>SUM(E63:E69)</f>
        <v>61918250</v>
      </c>
      <c r="F62" s="49">
        <f>E62/C62*100%</f>
        <v>1.3270837416217283E-2</v>
      </c>
      <c r="G62" s="18" t="s">
        <v>0</v>
      </c>
      <c r="H62" s="63">
        <f>SUM(H63:H70)</f>
        <v>61918250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>
        <f>E65/C65*100%</f>
        <v>0.18483059701492538</v>
      </c>
      <c r="E65" s="92">
        <f>61918250</f>
        <v>61918250</v>
      </c>
      <c r="F65" s="58">
        <f>E65/C65*100%</f>
        <v>0.18483059701492538</v>
      </c>
      <c r="G65" s="27" t="s">
        <v>33</v>
      </c>
      <c r="H65" s="46">
        <v>61918250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</v>
      </c>
      <c r="E68" s="92"/>
      <c r="F68" s="58">
        <f>E68/C68*100%</f>
        <v>0</v>
      </c>
      <c r="G68" s="27" t="s">
        <v>33</v>
      </c>
      <c r="H68" s="46">
        <f>D68*C68</f>
        <v>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</v>
      </c>
      <c r="E69" s="92"/>
      <c r="F69" s="58">
        <f>E69/C69*100%</f>
        <v>0</v>
      </c>
      <c r="G69" s="27" t="s">
        <v>33</v>
      </c>
      <c r="H69" s="46">
        <f>D69*C69</f>
        <v>0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0</v>
      </c>
      <c r="E71" s="63">
        <f>SUM(E72:E78)</f>
        <v>0</v>
      </c>
      <c r="F71" s="49">
        <f>E71/C71*100%</f>
        <v>0</v>
      </c>
      <c r="G71" s="18" t="s">
        <v>0</v>
      </c>
      <c r="H71" s="63">
        <f>SUM(H72:H78)</f>
        <v>0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>
        <f>E74/C74*100%</f>
        <v>0</v>
      </c>
      <c r="E74" s="92"/>
      <c r="F74" s="58">
        <f>E74/C74*100%</f>
        <v>0</v>
      </c>
      <c r="G74" s="27" t="s">
        <v>33</v>
      </c>
      <c r="H74" s="46">
        <f>D74*C74</f>
        <v>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2905640000</v>
      </c>
      <c r="D77" s="97">
        <f t="shared" ref="D77:D78" si="7">E77/C77*100%</f>
        <v>0</v>
      </c>
      <c r="E77" s="92"/>
      <c r="F77" s="58">
        <f>E77/C77*100%</f>
        <v>0</v>
      </c>
      <c r="G77" s="27" t="s">
        <v>33</v>
      </c>
      <c r="H77" s="46">
        <f>D77*C77</f>
        <v>0</v>
      </c>
    </row>
    <row r="78" spans="1:8" x14ac:dyDescent="0.25">
      <c r="A78" s="28" t="s">
        <v>105</v>
      </c>
      <c r="B78" s="28" t="s">
        <v>41</v>
      </c>
      <c r="C78" s="108">
        <v>1761745176</v>
      </c>
      <c r="D78" s="97">
        <f t="shared" si="7"/>
        <v>0</v>
      </c>
      <c r="E78" s="92"/>
      <c r="F78" s="58">
        <f>E78/C78*100%</f>
        <v>0</v>
      </c>
      <c r="G78" s="27" t="s">
        <v>33</v>
      </c>
      <c r="H78" s="46">
        <f>D78*C78</f>
        <v>0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2.1799797197684461E-3</v>
      </c>
      <c r="E80" s="63">
        <f>SUM(E81:E87)</f>
        <v>9100000</v>
      </c>
      <c r="F80" s="49">
        <f>E80/C80*100%</f>
        <v>2.1799797197684461E-3</v>
      </c>
      <c r="G80" s="18" t="s">
        <v>0</v>
      </c>
      <c r="H80" s="63">
        <f>SUM(H81:H87)</f>
        <v>9100000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>
        <f>E83/C83*100%</f>
        <v>4.9189189189189186E-2</v>
      </c>
      <c r="E83" s="92">
        <f>9100000</f>
        <v>9100000</v>
      </c>
      <c r="F83" s="58">
        <f>E83/C83*100%</f>
        <v>4.9189189189189186E-2</v>
      </c>
      <c r="G83" s="27" t="s">
        <v>33</v>
      </c>
      <c r="H83" s="46">
        <f>D83*C83</f>
        <v>9100000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</v>
      </c>
      <c r="E86" s="92"/>
      <c r="F86" s="58">
        <f>E86/C86*100%</f>
        <v>0</v>
      </c>
      <c r="G86" s="27" t="s">
        <v>33</v>
      </c>
      <c r="H86" s="46">
        <f>D86*C86</f>
        <v>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</v>
      </c>
      <c r="E87" s="92"/>
      <c r="F87" s="58">
        <f>E87/C87*100%</f>
        <v>0</v>
      </c>
      <c r="G87" s="27" t="s">
        <v>33</v>
      </c>
      <c r="H87" s="46">
        <f>D87*C87</f>
        <v>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0</v>
      </c>
      <c r="E89" s="63">
        <f>SUM(E90:E96)</f>
        <v>0</v>
      </c>
      <c r="F89" s="49">
        <f>E89/C89*100%</f>
        <v>0</v>
      </c>
      <c r="G89" s="18" t="s">
        <v>0</v>
      </c>
      <c r="H89" s="63">
        <f>SUM(H90:H96)</f>
        <v>0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>
        <f>E92/C92*100%</f>
        <v>0</v>
      </c>
      <c r="E92" s="92"/>
      <c r="F92" s="58">
        <f>E92/C92*100%</f>
        <v>0</v>
      </c>
      <c r="G92" s="27" t="s">
        <v>33</v>
      </c>
      <c r="H92" s="46">
        <f>D92*C92</f>
        <v>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</v>
      </c>
      <c r="E95" s="92"/>
      <c r="F95" s="58">
        <f>E95/C95*100%</f>
        <v>0</v>
      </c>
      <c r="G95" s="27" t="s">
        <v>33</v>
      </c>
      <c r="H95" s="46">
        <f>D95*C95</f>
        <v>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</v>
      </c>
      <c r="E96" s="92"/>
      <c r="F96" s="58">
        <f>E96/C96*100%</f>
        <v>0</v>
      </c>
      <c r="G96" s="27" t="s">
        <v>33</v>
      </c>
      <c r="H96" s="46">
        <f>D96*C96</f>
        <v>0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0</v>
      </c>
      <c r="E98" s="63">
        <f>SUM(E99:E105)</f>
        <v>0</v>
      </c>
      <c r="F98" s="49">
        <f>E98/C98*100%</f>
        <v>0</v>
      </c>
      <c r="G98" s="18" t="s">
        <v>0</v>
      </c>
      <c r="H98" s="63">
        <f>SUM(H99:H105)</f>
        <v>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>
        <f>E101/C101*100%</f>
        <v>0</v>
      </c>
      <c r="E101" s="92"/>
      <c r="F101" s="58">
        <f>E101/C101*100%</f>
        <v>0</v>
      </c>
      <c r="G101" s="27" t="s">
        <v>33</v>
      </c>
      <c r="H101" s="46">
        <f>D101*C101</f>
        <v>0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0</v>
      </c>
      <c r="E104" s="92"/>
      <c r="F104" s="58">
        <f>E104/C104*100%</f>
        <v>0</v>
      </c>
      <c r="G104" s="27" t="s">
        <v>33</v>
      </c>
      <c r="H104" s="46">
        <f>D104*C104</f>
        <v>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0</v>
      </c>
      <c r="E105" s="92"/>
      <c r="F105" s="58">
        <f>E105/C105*100%</f>
        <v>0</v>
      </c>
      <c r="G105" s="27" t="s">
        <v>33</v>
      </c>
      <c r="H105" s="46">
        <f>D105*C105</f>
        <v>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0</v>
      </c>
      <c r="E107" s="63">
        <f>SUM(E108:E114)</f>
        <v>0</v>
      </c>
      <c r="F107" s="49">
        <f>E107/C107*100%</f>
        <v>0</v>
      </c>
      <c r="G107" s="18" t="s">
        <v>0</v>
      </c>
      <c r="H107" s="63">
        <f>SUM(H108:H114)</f>
        <v>0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97">
        <f>E110/C110*100%</f>
        <v>0</v>
      </c>
      <c r="E110" s="89"/>
      <c r="F110" s="58">
        <f>E110/C110*100%</f>
        <v>0</v>
      </c>
      <c r="G110" s="27" t="s">
        <v>33</v>
      </c>
      <c r="H110" s="46">
        <f>D110*C110</f>
        <v>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</v>
      </c>
      <c r="E113" s="92"/>
      <c r="F113" s="58">
        <f>E113/C113*100%</f>
        <v>0</v>
      </c>
      <c r="G113" s="27" t="s">
        <v>33</v>
      </c>
      <c r="H113" s="46">
        <f>D113*C113</f>
        <v>0</v>
      </c>
    </row>
    <row r="114" spans="1:8" x14ac:dyDescent="0.25">
      <c r="A114" s="28" t="s">
        <v>105</v>
      </c>
      <c r="B114" s="28" t="s">
        <v>41</v>
      </c>
      <c r="C114" s="108">
        <v>3539546088</v>
      </c>
      <c r="D114" s="97">
        <f t="shared" si="11"/>
        <v>0</v>
      </c>
      <c r="E114" s="89"/>
      <c r="F114" s="58">
        <f>E114/C114*100%</f>
        <v>0</v>
      </c>
      <c r="G114" s="27" t="s">
        <v>33</v>
      </c>
      <c r="H114" s="46">
        <f>D114*C114</f>
        <v>0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Februari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21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21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H130/C130*100%</f>
        <v>2.512398918331922E-2</v>
      </c>
      <c r="E130" s="74">
        <f>E132+E144+E150+E156+E162+E168+E174+E180</f>
        <v>1306080690</v>
      </c>
      <c r="F130" s="42">
        <f>E130/C130*100%</f>
        <v>2.512398918331922E-2</v>
      </c>
      <c r="G130" s="15" t="s">
        <v>1</v>
      </c>
      <c r="H130" s="43">
        <f>H132+H144+H150+H156+H162+H168+H174+H180</f>
        <v>1306080690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7.5987715371098052E-2</v>
      </c>
      <c r="E132" s="48">
        <f>SUM(E133:E142)</f>
        <v>1187617440</v>
      </c>
      <c r="F132" s="49">
        <f>E132/C132*100%</f>
        <v>7.5987715371098052E-2</v>
      </c>
      <c r="G132" s="18" t="s">
        <v>0</v>
      </c>
      <c r="H132" s="48">
        <f>SUM(H133:H142)</f>
        <v>1187617440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</v>
      </c>
      <c r="E134" s="37">
        <f>SUM(E14:E20)</f>
        <v>0</v>
      </c>
      <c r="F134" s="58">
        <f>E134/C134*100%</f>
        <v>0</v>
      </c>
      <c r="G134" s="27" t="s">
        <v>61</v>
      </c>
      <c r="H134" s="37">
        <f>SUM(H14:H20)</f>
        <v>0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13">H135/C135*100%</f>
        <v>7.7949202145811497E-2</v>
      </c>
      <c r="E135" s="77">
        <f>SUM(E22:E24)</f>
        <v>1061439895</v>
      </c>
      <c r="F135" s="58">
        <f t="shared" ref="F135:F142" si="14">E135/C135*100%</f>
        <v>7.7949202145811497E-2</v>
      </c>
      <c r="G135" s="27" t="s">
        <v>61</v>
      </c>
      <c r="H135" s="77">
        <f>SUM(H22:H24)</f>
        <v>1061439895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13"/>
        <v>1.2170479204505025E-2</v>
      </c>
      <c r="E137" s="77">
        <f>SUM(E30:E36)</f>
        <v>3000000</v>
      </c>
      <c r="F137" s="58">
        <f t="shared" si="14"/>
        <v>1.2170479204505025E-2</v>
      </c>
      <c r="G137" s="27" t="s">
        <v>61</v>
      </c>
      <c r="H137" s="77">
        <f>SUM(H30:H36)</f>
        <v>3000000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13"/>
        <v>0.13567736796604077</v>
      </c>
      <c r="E139" s="77">
        <f>SUM(E42:E43)</f>
        <v>34918945</v>
      </c>
      <c r="F139" s="58">
        <f t="shared" si="14"/>
        <v>0.13567736796604077</v>
      </c>
      <c r="G139" s="27" t="s">
        <v>61</v>
      </c>
      <c r="H139" s="77">
        <f>SUM(H42:H43)</f>
        <v>34918945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13"/>
        <v>6.5395617236860271E-4</v>
      </c>
      <c r="E140" s="77">
        <f>SUM(E45:E48)</f>
        <v>220000</v>
      </c>
      <c r="F140" s="58">
        <f t="shared" si="14"/>
        <v>6.5395617236860271E-4</v>
      </c>
      <c r="G140" s="27" t="s">
        <v>61</v>
      </c>
      <c r="H140" s="77">
        <f>SUM(H45:H48)</f>
        <v>220000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13"/>
        <v>8.2147016011644827E-2</v>
      </c>
      <c r="E142" s="77">
        <f>SUM(E51)</f>
        <v>88038600</v>
      </c>
      <c r="F142" s="58">
        <f t="shared" si="14"/>
        <v>8.2147016011644827E-2</v>
      </c>
      <c r="G142" s="27" t="s">
        <v>61</v>
      </c>
      <c r="H142" s="77">
        <f>SUM(H51)</f>
        <v>88038600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9.5566594054559521E-3</v>
      </c>
      <c r="E144" s="48">
        <f>SUM(E145:E148)</f>
        <v>47445000</v>
      </c>
      <c r="F144" s="49">
        <f>E144/C144*100%</f>
        <v>9.5566594054559521E-3</v>
      </c>
      <c r="G144" s="18" t="s">
        <v>0</v>
      </c>
      <c r="H144" s="48">
        <f>SUM(H145:H148)</f>
        <v>47445000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0.25645945945945947</v>
      </c>
      <c r="E146" s="37">
        <f>SUM(E56)</f>
        <v>47445000</v>
      </c>
      <c r="F146" s="58">
        <f>E146/C146*100%</f>
        <v>0.25645945945945947</v>
      </c>
      <c r="G146" s="27" t="s">
        <v>61</v>
      </c>
      <c r="H146" s="37">
        <f>SUM(H56)</f>
        <v>47445000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</v>
      </c>
      <c r="E148" s="77">
        <f>SUM(E59:E60)</f>
        <v>0</v>
      </c>
      <c r="F148" s="58">
        <f>E148/C148*100%</f>
        <v>0</v>
      </c>
      <c r="G148" s="27" t="s">
        <v>61</v>
      </c>
      <c r="H148" s="77">
        <f>SUM(H59:H60)</f>
        <v>0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1.3270837416217283E-2</v>
      </c>
      <c r="E150" s="48">
        <f>SUM(E151:E154)</f>
        <v>61918250</v>
      </c>
      <c r="F150" s="49">
        <f>E150/C150*100%</f>
        <v>1.3270837416217283E-2</v>
      </c>
      <c r="G150" s="18" t="s">
        <v>0</v>
      </c>
      <c r="H150" s="48">
        <f>SUM(H151:H154)</f>
        <v>61918250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0.18483059701492538</v>
      </c>
      <c r="E152" s="37">
        <f>SUM(E65)</f>
        <v>61918250</v>
      </c>
      <c r="F152" s="58">
        <f>E152/C152*100%</f>
        <v>0.18483059701492538</v>
      </c>
      <c r="G152" s="27" t="s">
        <v>61</v>
      </c>
      <c r="H152" s="37">
        <f>SUM(H65)</f>
        <v>61918250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</v>
      </c>
      <c r="E154" s="77">
        <f>SUM(E68:E69)</f>
        <v>0</v>
      </c>
      <c r="F154" s="58">
        <f>E154/C154*100%</f>
        <v>0</v>
      </c>
      <c r="G154" s="27" t="s">
        <v>61</v>
      </c>
      <c r="H154" s="77">
        <f>SUM(H68:H69)</f>
        <v>0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0</v>
      </c>
      <c r="E156" s="48">
        <f>SUM(E157:E160)</f>
        <v>0</v>
      </c>
      <c r="F156" s="49">
        <f>E156/C156*100%</f>
        <v>0</v>
      </c>
      <c r="G156" s="18" t="s">
        <v>0</v>
      </c>
      <c r="H156" s="48">
        <f>SUM(H157:H160)</f>
        <v>0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</v>
      </c>
      <c r="E158" s="37">
        <f>SUM(E74)</f>
        <v>0</v>
      </c>
      <c r="F158" s="58">
        <f>E158/C158*100%</f>
        <v>0</v>
      </c>
      <c r="G158" s="27" t="s">
        <v>61</v>
      </c>
      <c r="H158" s="37">
        <f>SUM(H74)</f>
        <v>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0</v>
      </c>
      <c r="E160" s="77">
        <f>SUM(E77:E78)</f>
        <v>0</v>
      </c>
      <c r="F160" s="58">
        <f>E160/C160*100%</f>
        <v>0</v>
      </c>
      <c r="G160" s="27" t="s">
        <v>61</v>
      </c>
      <c r="H160" s="77">
        <f>SUM(H77:H78)</f>
        <v>0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2.1799797197684461E-3</v>
      </c>
      <c r="E162" s="48">
        <f>SUM(E163:E166)</f>
        <v>9100000</v>
      </c>
      <c r="F162" s="49">
        <f>E162/C162*100%</f>
        <v>2.1799797197684461E-3</v>
      </c>
      <c r="G162" s="18" t="s">
        <v>0</v>
      </c>
      <c r="H162" s="48">
        <f>SUM(H163:H166)</f>
        <v>9100000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4.9189189189189186E-2</v>
      </c>
      <c r="E164" s="37">
        <f>SUM(E83)</f>
        <v>9100000</v>
      </c>
      <c r="F164" s="58">
        <f>E164/C164*100%</f>
        <v>4.9189189189189186E-2</v>
      </c>
      <c r="G164" s="27" t="s">
        <v>61</v>
      </c>
      <c r="H164" s="37">
        <f>SUM(H83)</f>
        <v>9100000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</v>
      </c>
      <c r="E166" s="77">
        <f>SUM(E86:E87)</f>
        <v>0</v>
      </c>
      <c r="F166" s="58">
        <f>E166/C166*100%</f>
        <v>0</v>
      </c>
      <c r="G166" s="27" t="s">
        <v>61</v>
      </c>
      <c r="H166" s="77">
        <f>SUM(H86:H87)</f>
        <v>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0</v>
      </c>
      <c r="E168" s="48">
        <f>SUM(E169:E172)</f>
        <v>0</v>
      </c>
      <c r="F168" s="49">
        <f>E168/C168*100%</f>
        <v>0</v>
      </c>
      <c r="G168" s="18" t="s">
        <v>0</v>
      </c>
      <c r="H168" s="48">
        <f>SUM(H169:H172)</f>
        <v>0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</v>
      </c>
      <c r="E170" s="37">
        <f>SUM(E92)</f>
        <v>0</v>
      </c>
      <c r="F170" s="58">
        <f>E170/C170*100%</f>
        <v>0</v>
      </c>
      <c r="G170" s="27" t="s">
        <v>61</v>
      </c>
      <c r="H170" s="37">
        <f>SUM(H92)</f>
        <v>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0</v>
      </c>
      <c r="E172" s="77">
        <f>SUM(E95:E96)</f>
        <v>0</v>
      </c>
      <c r="F172" s="58">
        <f>E172/C172*100%</f>
        <v>0</v>
      </c>
      <c r="G172" s="27" t="s">
        <v>61</v>
      </c>
      <c r="H172" s="77">
        <f>SUM(H95:H96)</f>
        <v>0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0</v>
      </c>
      <c r="E174" s="48">
        <f>SUM(E175:E178)</f>
        <v>0</v>
      </c>
      <c r="F174" s="49">
        <f>E174/C174*100%</f>
        <v>0</v>
      </c>
      <c r="G174" s="18" t="s">
        <v>0</v>
      </c>
      <c r="H174" s="48">
        <f>SUM(H175:H178)</f>
        <v>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</v>
      </c>
      <c r="E176" s="37">
        <f>SUM(E101)</f>
        <v>0</v>
      </c>
      <c r="F176" s="58">
        <f>E176/C176*100%</f>
        <v>0</v>
      </c>
      <c r="G176" s="27" t="s">
        <v>61</v>
      </c>
      <c r="H176" s="37">
        <f>SUM(H101)</f>
        <v>0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</v>
      </c>
      <c r="E178" s="77">
        <f>SUM(E104:E105)</f>
        <v>0</v>
      </c>
      <c r="F178" s="58">
        <f>E178/C178*100%</f>
        <v>0</v>
      </c>
      <c r="G178" s="27" t="s">
        <v>61</v>
      </c>
      <c r="H178" s="77">
        <f>SUM(H104:H105)</f>
        <v>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0</v>
      </c>
      <c r="E180" s="48">
        <f>SUM(E181:E184)</f>
        <v>0</v>
      </c>
      <c r="F180" s="49">
        <f>E180/C180*100%</f>
        <v>0</v>
      </c>
      <c r="G180" s="18" t="s">
        <v>0</v>
      </c>
      <c r="H180" s="48">
        <f>SUM(H181:H184)</f>
        <v>0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</v>
      </c>
      <c r="E182" s="37">
        <f>SUM(E110)</f>
        <v>0</v>
      </c>
      <c r="F182" s="58">
        <f>E182/C182*100%</f>
        <v>0</v>
      </c>
      <c r="G182" s="27" t="s">
        <v>61</v>
      </c>
      <c r="H182" s="37">
        <f>SUM(H110)</f>
        <v>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0</v>
      </c>
      <c r="E184" s="77">
        <f>SUM(E112:E114)</f>
        <v>0</v>
      </c>
      <c r="F184" s="58">
        <f>E184/C184*100%</f>
        <v>0</v>
      </c>
      <c r="G184" s="27" t="s">
        <v>61</v>
      </c>
      <c r="H184" s="77">
        <f>SUM(H112:H114)</f>
        <v>0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Februari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21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21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2.512398918331922E-2</v>
      </c>
      <c r="E196" s="74">
        <f>E198+E202+E206+E210+E214+E218+E222+E226</f>
        <v>1306080690</v>
      </c>
      <c r="F196" s="42">
        <f>E196/C196*100%</f>
        <v>2.512398918331922E-2</v>
      </c>
      <c r="G196" s="15" t="s">
        <v>1</v>
      </c>
      <c r="H196" s="43">
        <f>H198+H202+H206+H210+H214+H218+H222+H226</f>
        <v>1306080690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0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7.5987715371098052E-2</v>
      </c>
      <c r="E198" s="48">
        <f>SUM(E199:E200)</f>
        <v>1187617440</v>
      </c>
      <c r="F198" s="49">
        <f>E198/C198*100%</f>
        <v>7.5987715371098052E-2</v>
      </c>
      <c r="G198" s="18" t="s">
        <v>0</v>
      </c>
      <c r="H198" s="48">
        <f>SUM(H199:H200)</f>
        <v>1187617440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7.5534264366460643E-2</v>
      </c>
      <c r="E199" s="37">
        <f>SUM(E134:E140)</f>
        <v>1099578840</v>
      </c>
      <c r="F199" s="58">
        <f>E199/C199*100%</f>
        <v>7.5534264366460643E-2</v>
      </c>
      <c r="G199" s="27" t="s">
        <v>32</v>
      </c>
      <c r="H199" s="37">
        <f>SUM(H134:H140)</f>
        <v>1099578840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8.2147016011644827E-2</v>
      </c>
      <c r="E200" s="77">
        <f>SUM(E142)</f>
        <v>88038600</v>
      </c>
      <c r="F200" s="58">
        <f>E200/C200*100%</f>
        <v>8.2147016011644827E-2</v>
      </c>
      <c r="G200" s="27" t="s">
        <v>32</v>
      </c>
      <c r="H200" s="77">
        <f>SUM(H142)</f>
        <v>88038600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9.5566594054559521E-3</v>
      </c>
      <c r="E202" s="88">
        <f>SUM(E203:E204)</f>
        <v>47445000</v>
      </c>
      <c r="F202" s="49">
        <f>E202/C202*100%</f>
        <v>9.5566594054559521E-3</v>
      </c>
      <c r="G202" s="18" t="s">
        <v>0</v>
      </c>
      <c r="H202" s="43">
        <f>SUM(H203:H204)</f>
        <v>47445000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0.25645945945945947</v>
      </c>
      <c r="E203" s="37">
        <f>SUM(E146)</f>
        <v>47445000</v>
      </c>
      <c r="F203" s="58">
        <f>E203/C203*100%</f>
        <v>0.25645945945945947</v>
      </c>
      <c r="G203" s="27" t="s">
        <v>32</v>
      </c>
      <c r="H203" s="37">
        <f>SUM(H146)</f>
        <v>47445000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</v>
      </c>
      <c r="E204" s="77">
        <f>SUM(E148:E148)</f>
        <v>0</v>
      </c>
      <c r="F204" s="58">
        <f>E204/C204*100%</f>
        <v>0</v>
      </c>
      <c r="G204" s="27" t="s">
        <v>32</v>
      </c>
      <c r="H204" s="77">
        <f>SUM(H148:H148)</f>
        <v>0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1.3270837416217283E-2</v>
      </c>
      <c r="E206" s="88">
        <f>SUM(E207:E209)</f>
        <v>61918250</v>
      </c>
      <c r="F206" s="49">
        <f>E206/C206*100%</f>
        <v>1.3270837416217283E-2</v>
      </c>
      <c r="G206" s="18" t="s">
        <v>0</v>
      </c>
      <c r="H206" s="43">
        <f>SUM(H207:H209)</f>
        <v>61918250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0.18483059701492538</v>
      </c>
      <c r="E207" s="37">
        <f>SUM(E152)</f>
        <v>61918250</v>
      </c>
      <c r="F207" s="58">
        <f>E207/C207*100%</f>
        <v>0.18483059701492538</v>
      </c>
      <c r="G207" s="27" t="s">
        <v>32</v>
      </c>
      <c r="H207" s="37">
        <f>SUM(H152)</f>
        <v>61918250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</v>
      </c>
      <c r="E208" s="77">
        <f>SUM(E154:E154)</f>
        <v>0</v>
      </c>
      <c r="F208" s="58">
        <f>E208/C208*100%</f>
        <v>0</v>
      </c>
      <c r="G208" s="27" t="s">
        <v>32</v>
      </c>
      <c r="H208" s="77">
        <f>SUM(H154:H154)</f>
        <v>0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0</v>
      </c>
      <c r="E210" s="88">
        <f>SUM(E211:E212)</f>
        <v>0</v>
      </c>
      <c r="F210" s="49">
        <f>E210/C210*100%</f>
        <v>0</v>
      </c>
      <c r="G210" s="18" t="s">
        <v>0</v>
      </c>
      <c r="H210" s="43">
        <f>SUM(H211:H212)</f>
        <v>0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</v>
      </c>
      <c r="E211" s="37">
        <f>SUM(E158)</f>
        <v>0</v>
      </c>
      <c r="F211" s="58">
        <f>E211/C211*100%</f>
        <v>0</v>
      </c>
      <c r="G211" s="27" t="s">
        <v>32</v>
      </c>
      <c r="H211" s="37">
        <f>SUM(H158)</f>
        <v>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0</v>
      </c>
      <c r="E212" s="77">
        <f>SUM(E160:E160)</f>
        <v>0</v>
      </c>
      <c r="F212" s="58">
        <f>E212/C212*100%</f>
        <v>0</v>
      </c>
      <c r="G212" s="27" t="s">
        <v>32</v>
      </c>
      <c r="H212" s="77">
        <f>SUM(H160:H160)</f>
        <v>0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2.1799797197684461E-3</v>
      </c>
      <c r="E214" s="88">
        <f>SUM(E215:E216)</f>
        <v>9100000</v>
      </c>
      <c r="F214" s="49">
        <f>E214/C214*100%</f>
        <v>2.1799797197684461E-3</v>
      </c>
      <c r="G214" s="18" t="s">
        <v>0</v>
      </c>
      <c r="H214" s="43">
        <f>SUM(H215:H216)</f>
        <v>9100000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4.9189189189189186E-2</v>
      </c>
      <c r="E215" s="37">
        <f>SUM(E164)</f>
        <v>9100000</v>
      </c>
      <c r="F215" s="58">
        <f>E215/C215*100%</f>
        <v>4.9189189189189186E-2</v>
      </c>
      <c r="G215" s="27" t="s">
        <v>32</v>
      </c>
      <c r="H215" s="37">
        <f>SUM(H164)</f>
        <v>9100000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</v>
      </c>
      <c r="E216" s="77">
        <f>SUM(E166:E166)</f>
        <v>0</v>
      </c>
      <c r="F216" s="58">
        <f>E216/C216*100%</f>
        <v>0</v>
      </c>
      <c r="G216" s="27" t="s">
        <v>32</v>
      </c>
      <c r="H216" s="77">
        <f>SUM(H166:H166)</f>
        <v>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0</v>
      </c>
      <c r="E218" s="88">
        <f>SUM(E219:E220)</f>
        <v>0</v>
      </c>
      <c r="F218" s="49">
        <f>E218/C218*100%</f>
        <v>0</v>
      </c>
      <c r="G218" s="18" t="s">
        <v>0</v>
      </c>
      <c r="H218" s="43">
        <f>SUM(H219:H220)</f>
        <v>0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</v>
      </c>
      <c r="E219" s="37">
        <f>SUM(E170)</f>
        <v>0</v>
      </c>
      <c r="F219" s="58">
        <f>E219/C219*100%</f>
        <v>0</v>
      </c>
      <c r="G219" s="27" t="s">
        <v>32</v>
      </c>
      <c r="H219" s="37">
        <f>SUM(H170)</f>
        <v>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0</v>
      </c>
      <c r="E220" s="77">
        <f>SUM(E172:E172)</f>
        <v>0</v>
      </c>
      <c r="F220" s="58">
        <f>E220/C220*100%</f>
        <v>0</v>
      </c>
      <c r="G220" s="27" t="s">
        <v>32</v>
      </c>
      <c r="H220" s="77">
        <f>SUM(H172:H172)</f>
        <v>0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0</v>
      </c>
      <c r="E222" s="88">
        <f>SUM(E223:E224)</f>
        <v>0</v>
      </c>
      <c r="F222" s="49">
        <f>E222/C222*100%</f>
        <v>0</v>
      </c>
      <c r="G222" s="18" t="s">
        <v>0</v>
      </c>
      <c r="H222" s="43">
        <f>SUM(H223:H224)</f>
        <v>0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</v>
      </c>
      <c r="E223" s="37">
        <f>SUM(E176)</f>
        <v>0</v>
      </c>
      <c r="F223" s="58">
        <f>E223/C223*100%</f>
        <v>0</v>
      </c>
      <c r="G223" s="27" t="s">
        <v>32</v>
      </c>
      <c r="H223" s="37">
        <f>SUM(H176)</f>
        <v>0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</v>
      </c>
      <c r="E224" s="77">
        <f>SUM(E178:E178)</f>
        <v>0</v>
      </c>
      <c r="F224" s="58">
        <f>E224/C224*100%</f>
        <v>0</v>
      </c>
      <c r="G224" s="27" t="s">
        <v>32</v>
      </c>
      <c r="H224" s="77">
        <f>SUM(H178:H178)</f>
        <v>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0</v>
      </c>
      <c r="E226" s="88">
        <f>SUM(E227:E228)</f>
        <v>0</v>
      </c>
      <c r="F226" s="49">
        <f>E226/C226*100%</f>
        <v>0</v>
      </c>
      <c r="G226" s="18" t="s">
        <v>0</v>
      </c>
      <c r="H226" s="43">
        <f>SUM(H227:H228)</f>
        <v>0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</v>
      </c>
      <c r="E227" s="37">
        <f>SUM(E182)</f>
        <v>0</v>
      </c>
      <c r="F227" s="58">
        <f>E227/C227*100%</f>
        <v>0</v>
      </c>
      <c r="G227" s="27" t="s">
        <v>32</v>
      </c>
      <c r="H227" s="37">
        <f>SUM(H182)</f>
        <v>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0</v>
      </c>
      <c r="E228" s="77">
        <f>SUM(E184:E184)</f>
        <v>0</v>
      </c>
      <c r="F228" s="58">
        <f>E228/C228*100%</f>
        <v>0</v>
      </c>
      <c r="G228" s="27" t="s">
        <v>32</v>
      </c>
      <c r="H228" s="77">
        <f>SUM(H184:H184)</f>
        <v>0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Februari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21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21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2.512398918331922E-2</v>
      </c>
      <c r="E240" s="14">
        <f>SUM(E242:E244)</f>
        <v>1306080690</v>
      </c>
      <c r="F240" s="42">
        <f>E240/C240*100%</f>
        <v>2.512398918331922E-2</v>
      </c>
      <c r="G240" s="15" t="s">
        <v>1</v>
      </c>
      <c r="H240" s="14">
        <f>SUM(H242:H244)</f>
        <v>1306080690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7.5534264366460643E-2</v>
      </c>
      <c r="E242" s="37">
        <f>E199</f>
        <v>1099578840</v>
      </c>
      <c r="F242" s="58">
        <f>E242/C242*100%</f>
        <v>7.5534264366460643E-2</v>
      </c>
      <c r="G242" s="27" t="s">
        <v>32</v>
      </c>
      <c r="H242" s="37">
        <f>H199</f>
        <v>1099578840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17">H243/C243*100%</f>
        <v>8.2051976381957464E-2</v>
      </c>
      <c r="E243" s="77">
        <f>E200+E203+E207+E211+E215+E219+E223+E227</f>
        <v>206501850</v>
      </c>
      <c r="F243" s="58">
        <f t="shared" ref="F243:F244" si="18">E243/C243*100%</f>
        <v>8.2051976381957464E-2</v>
      </c>
      <c r="G243" s="27" t="s">
        <v>32</v>
      </c>
      <c r="H243" s="77">
        <f>H200+H203+H207+H211+H215+H219+H223+H227</f>
        <v>206501850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17"/>
        <v>0</v>
      </c>
      <c r="E244" s="77">
        <f>E204+E208+E212+E216+E220+E224+E228</f>
        <v>0</v>
      </c>
      <c r="F244" s="58">
        <f t="shared" si="18"/>
        <v>0</v>
      </c>
      <c r="G244" s="27" t="s">
        <v>32</v>
      </c>
      <c r="H244" s="77">
        <f>H204+H208+H212+H216+H220+H224+H228</f>
        <v>0</v>
      </c>
    </row>
  </sheetData>
  <mergeCells count="32">
    <mergeCell ref="A233:G233"/>
    <mergeCell ref="B236:G236"/>
    <mergeCell ref="A237:A239"/>
    <mergeCell ref="B237:B239"/>
    <mergeCell ref="C237:C238"/>
    <mergeCell ref="D237:F237"/>
    <mergeCell ref="G237:G239"/>
    <mergeCell ref="E238:F23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2:G2"/>
    <mergeCell ref="B5:G5"/>
    <mergeCell ref="A6:A8"/>
    <mergeCell ref="B6:B8"/>
    <mergeCell ref="C6:C8"/>
    <mergeCell ref="D6:F6"/>
    <mergeCell ref="G6:G8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topLeftCell="B1" workbookViewId="0">
      <selection activeCell="B1" sqref="A1:G115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134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22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E9/C9*100%</f>
        <v>6.7814750809542329E-2</v>
      </c>
      <c r="E9" s="40">
        <f>E11+E53+E62+E71+E80+E89+E98+E107</f>
        <v>3525377116</v>
      </c>
      <c r="F9" s="42">
        <f>E9/C9*100%</f>
        <v>6.7814750809542329E-2</v>
      </c>
      <c r="G9" s="15" t="s">
        <v>1</v>
      </c>
      <c r="H9" s="43">
        <v>3525377116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15629071544</v>
      </c>
      <c r="D11" s="49">
        <f>H11/C11*100%</f>
        <v>0.18552950121424053</v>
      </c>
      <c r="E11" s="48">
        <f>SUM(E14:E51)</f>
        <v>2899653848</v>
      </c>
      <c r="F11" s="49">
        <f>E11/C11*100%</f>
        <v>0.18552950121424053</v>
      </c>
      <c r="G11" s="18" t="s">
        <v>0</v>
      </c>
      <c r="H11" s="48">
        <v>2899653848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</v>
      </c>
      <c r="E14" s="92"/>
      <c r="F14" s="58">
        <f>E14/C14*100%</f>
        <v>0</v>
      </c>
      <c r="G14" s="27" t="s">
        <v>33</v>
      </c>
      <c r="H14" s="46">
        <f t="shared" ref="H14:H20" si="0">D14*C14</f>
        <v>0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si="0"/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</v>
      </c>
      <c r="E19" s="92"/>
      <c r="F19" s="58">
        <f>E19/C19*100%</f>
        <v>0</v>
      </c>
      <c r="G19" s="27" t="s">
        <v>33</v>
      </c>
      <c r="H19" s="46">
        <f t="shared" si="0"/>
        <v>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</v>
      </c>
      <c r="E20" s="92"/>
      <c r="F20" s="58">
        <f>E20/C20*100%</f>
        <v>0</v>
      </c>
      <c r="G20" s="27" t="s">
        <v>33</v>
      </c>
      <c r="H20" s="46">
        <f t="shared" si="0"/>
        <v>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11713143962</v>
      </c>
      <c r="D22" s="97">
        <f>E22/C22*100%</f>
        <v>0.1809181100202378</v>
      </c>
      <c r="E22" s="100">
        <f>2119119868</f>
        <v>2119119868</v>
      </c>
      <c r="F22" s="58">
        <f>E22/C22*100%</f>
        <v>0.1809181100202378</v>
      </c>
      <c r="G22" s="27" t="s">
        <v>33</v>
      </c>
      <c r="H22" s="46">
        <f>D22*C22</f>
        <v>2119119868.0000002</v>
      </c>
    </row>
    <row r="23" spans="1:8" ht="30" x14ac:dyDescent="0.25">
      <c r="A23" s="28" t="s">
        <v>78</v>
      </c>
      <c r="B23" s="28" t="s">
        <v>11</v>
      </c>
      <c r="C23" s="108">
        <v>1853928000</v>
      </c>
      <c r="D23" s="97">
        <f>E23/C23*100%</f>
        <v>0.22548775518790373</v>
      </c>
      <c r="E23" s="100">
        <f>418038063</f>
        <v>418038063</v>
      </c>
      <c r="F23" s="58">
        <f>E23/C23*100%</f>
        <v>0.22548775518790373</v>
      </c>
      <c r="G23" s="27" t="s">
        <v>33</v>
      </c>
      <c r="H23" s="46">
        <f>D23*C23</f>
        <v>418038063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9.7033499999999995E-2</v>
      </c>
      <c r="E24" s="100">
        <f>4851675</f>
        <v>4851675</v>
      </c>
      <c r="F24" s="58">
        <f>E24/C24*100%</f>
        <v>9.7033499999999995E-2</v>
      </c>
      <c r="G24" s="27" t="s">
        <v>33</v>
      </c>
      <c r="H24" s="46">
        <f>D24*C24</f>
        <v>4851675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0</v>
      </c>
      <c r="E30" s="92"/>
      <c r="F30" s="58">
        <f>E30/C30*100%</f>
        <v>0</v>
      </c>
      <c r="G30" s="27" t="s">
        <v>33</v>
      </c>
      <c r="H30" s="46">
        <f t="shared" ref="H30:H36" si="2">D30*C30</f>
        <v>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2"/>
        <v>0</v>
      </c>
    </row>
    <row r="32" spans="1:8" x14ac:dyDescent="0.25">
      <c r="A32" s="28" t="s">
        <v>86</v>
      </c>
      <c r="B32" s="28" t="s">
        <v>16</v>
      </c>
      <c r="C32" s="108">
        <v>6708000</v>
      </c>
      <c r="D32" s="97">
        <f t="shared" ref="D32:D36" si="3">E32/C32*100%</f>
        <v>0.20572450805008943</v>
      </c>
      <c r="E32" s="92">
        <v>1380000</v>
      </c>
      <c r="F32" s="58">
        <f>E32/C32*100%</f>
        <v>0.20572450805008943</v>
      </c>
      <c r="G32" s="27" t="s">
        <v>33</v>
      </c>
      <c r="H32" s="46">
        <f t="shared" si="2"/>
        <v>1380000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0.19268493728394431</v>
      </c>
      <c r="E33" s="92">
        <f>12062000</f>
        <v>12062000</v>
      </c>
      <c r="F33" s="58">
        <f>E33/C33*100%</f>
        <v>0.19268493728394431</v>
      </c>
      <c r="G33" s="27" t="s">
        <v>33</v>
      </c>
      <c r="H33" s="46">
        <v>12062000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</v>
      </c>
      <c r="E35" s="92"/>
      <c r="F35" s="58">
        <f>E35/C35*100%</f>
        <v>0</v>
      </c>
      <c r="G35" s="27" t="s">
        <v>33</v>
      </c>
      <c r="H35" s="46">
        <f t="shared" si="2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>
        <f t="shared" si="3"/>
        <v>4.5937840418521454E-2</v>
      </c>
      <c r="E36" s="92">
        <f>6831600</f>
        <v>6831600</v>
      </c>
      <c r="F36" s="58">
        <f>E36/C36*100%</f>
        <v>4.5937840418521454E-2</v>
      </c>
      <c r="G36" s="27" t="s">
        <v>33</v>
      </c>
      <c r="H36" s="46">
        <f t="shared" si="2"/>
        <v>6831600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0.22156705109166167</v>
      </c>
      <c r="E42" s="100">
        <f>52592817</f>
        <v>52592817</v>
      </c>
      <c r="F42" s="58">
        <f>E42/C42*100%</f>
        <v>0.22156705109166167</v>
      </c>
      <c r="G42" s="27" t="s">
        <v>33</v>
      </c>
      <c r="H42" s="46">
        <f>D42*C42</f>
        <v>52592817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20000000</v>
      </c>
      <c r="D43" s="97">
        <f>E43/C43*100%</f>
        <v>0</v>
      </c>
      <c r="E43" s="91"/>
      <c r="F43" s="58">
        <f>E43/C43*100%</f>
        <v>0</v>
      </c>
      <c r="G43" s="27" t="s">
        <v>33</v>
      </c>
      <c r="H43" s="46">
        <f>D43*C43</f>
        <v>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51.75" customHeight="1" x14ac:dyDescent="0.25">
      <c r="A45" s="25" t="s">
        <v>107</v>
      </c>
      <c r="B45" s="28" t="s">
        <v>132</v>
      </c>
      <c r="C45" s="108">
        <v>151843982</v>
      </c>
      <c r="D45" s="97">
        <f>E45/C45*100%</f>
        <v>0.15589949425852123</v>
      </c>
      <c r="E45" s="92">
        <f>23672400</f>
        <v>23672400</v>
      </c>
      <c r="F45" s="58">
        <f>E45/C45*100%</f>
        <v>0.15589949425852123</v>
      </c>
      <c r="G45" s="27" t="s">
        <v>33</v>
      </c>
      <c r="H45" s="46">
        <f>D45*C45</f>
        <v>23672400</v>
      </c>
    </row>
    <row r="46" spans="1:10" x14ac:dyDescent="0.25">
      <c r="A46" s="25" t="s">
        <v>95</v>
      </c>
      <c r="B46" s="106" t="s">
        <v>66</v>
      </c>
      <c r="C46" s="109">
        <v>30280000</v>
      </c>
      <c r="D46" s="97">
        <f t="shared" ref="D46:D48" si="4">E46/C46*100%</f>
        <v>0.23001981505944519</v>
      </c>
      <c r="E46" s="92">
        <f>6965000</f>
        <v>6965000</v>
      </c>
      <c r="F46" s="58">
        <f>E46/C46*100%</f>
        <v>0.23001981505944519</v>
      </c>
      <c r="G46" s="27" t="s">
        <v>33</v>
      </c>
      <c r="H46" s="46">
        <f>D46*C46</f>
        <v>6965000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1.0188292319164802E-2</v>
      </c>
      <c r="E47" s="92">
        <f>1093000</f>
        <v>1093000</v>
      </c>
      <c r="F47" s="58">
        <f>E47/C47*100%</f>
        <v>1.0188292319164802E-2</v>
      </c>
      <c r="G47" s="27" t="s">
        <v>33</v>
      </c>
      <c r="H47" s="46">
        <f>D47*C47</f>
        <v>1093000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0.12622473941714529</v>
      </c>
      <c r="E48" s="92">
        <f>5933825</f>
        <v>5933825</v>
      </c>
      <c r="F48" s="58">
        <f>E48/C48*100%</f>
        <v>0.12622473941714529</v>
      </c>
      <c r="G48" s="27" t="s">
        <v>33</v>
      </c>
      <c r="H48" s="46">
        <f>D48*C48</f>
        <v>5933825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>
        <f>E51/C51*100%</f>
        <v>0.23057664315306237</v>
      </c>
      <c r="E51" s="90">
        <f>247113600</f>
        <v>247113600</v>
      </c>
      <c r="F51" s="58">
        <f>E51/C51*100%</f>
        <v>0.23057664315306237</v>
      </c>
      <c r="G51" s="27" t="s">
        <v>33</v>
      </c>
      <c r="H51" s="46">
        <v>247113600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H53/C53</f>
        <v>1.8463518342116438E-2</v>
      </c>
      <c r="E53" s="63">
        <f>SUM(E54:E60)</f>
        <v>91664000</v>
      </c>
      <c r="F53" s="49">
        <f>E53/C53*100%</f>
        <v>1.8463518342116438E-2</v>
      </c>
      <c r="G53" s="18" t="s">
        <v>0</v>
      </c>
      <c r="H53" s="63">
        <v>91664000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>
        <f>E56/C56*100%</f>
        <v>0.49548108108108108</v>
      </c>
      <c r="E56" s="92">
        <f>91664000</f>
        <v>91664000</v>
      </c>
      <c r="F56" s="58">
        <f>E56/C56*100%</f>
        <v>0.49548108108108108</v>
      </c>
      <c r="G56" s="27" t="s">
        <v>33</v>
      </c>
      <c r="H56" s="46">
        <v>91664000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</v>
      </c>
      <c r="E59" s="92"/>
      <c r="F59" s="58">
        <f>E59/C59*100%</f>
        <v>0</v>
      </c>
      <c r="G59" s="27" t="s">
        <v>33</v>
      </c>
      <c r="H59" s="46">
        <f>D59*C59</f>
        <v>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</v>
      </c>
      <c r="E60" s="92"/>
      <c r="F60" s="58">
        <f>E60/C60*100%</f>
        <v>0</v>
      </c>
      <c r="G60" s="27" t="s">
        <v>33</v>
      </c>
      <c r="H60" s="46">
        <f>D60*C60</f>
        <v>0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4.2960238953564829E-2</v>
      </c>
      <c r="E62" s="63">
        <f>SUM(E63:E69)</f>
        <v>200441218</v>
      </c>
      <c r="F62" s="49">
        <f>E62/C62*100%</f>
        <v>4.2960238953564829E-2</v>
      </c>
      <c r="G62" s="18" t="s">
        <v>0</v>
      </c>
      <c r="H62" s="63">
        <f>SUM(H63:H70)</f>
        <v>200441218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>
        <f>E65/C65*100%</f>
        <v>0.57386044776119405</v>
      </c>
      <c r="E65" s="92">
        <f>192243250</f>
        <v>192243250</v>
      </c>
      <c r="F65" s="58">
        <f>E65/C65*100%</f>
        <v>0.57386044776119405</v>
      </c>
      <c r="G65" s="27" t="s">
        <v>33</v>
      </c>
      <c r="H65" s="46">
        <v>192243250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</v>
      </c>
      <c r="E68" s="92"/>
      <c r="F68" s="58">
        <f>E68/C68*100%</f>
        <v>0</v>
      </c>
      <c r="G68" s="27" t="s">
        <v>33</v>
      </c>
      <c r="H68" s="46">
        <f>D68*C68</f>
        <v>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5.0137472863644337E-3</v>
      </c>
      <c r="E69" s="92">
        <f>8197968</f>
        <v>8197968</v>
      </c>
      <c r="F69" s="58">
        <f>E69/C69*100%</f>
        <v>5.0137472863644337E-3</v>
      </c>
      <c r="G69" s="27" t="s">
        <v>33</v>
      </c>
      <c r="H69" s="46">
        <f>D69*C69</f>
        <v>8197968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1.1761535395474549E-2</v>
      </c>
      <c r="E71" s="63">
        <f>SUM(E72:E78)</f>
        <v>57071500</v>
      </c>
      <c r="F71" s="49">
        <f>E71/C71*100%</f>
        <v>1.1761535395474549E-2</v>
      </c>
      <c r="G71" s="18" t="s">
        <v>0</v>
      </c>
      <c r="H71" s="63">
        <f>SUM(H72:H78)</f>
        <v>57071500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>
        <f>E74/C74*100%</f>
        <v>0.30849459459459461</v>
      </c>
      <c r="E74" s="92">
        <f>57071500</f>
        <v>57071500</v>
      </c>
      <c r="F74" s="58">
        <f>E74/C74*100%</f>
        <v>0.30849459459459461</v>
      </c>
      <c r="G74" s="27" t="s">
        <v>33</v>
      </c>
      <c r="H74" s="46">
        <f>D74*C74</f>
        <v>57071500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2905640000</v>
      </c>
      <c r="D77" s="97">
        <f t="shared" ref="D77:D78" si="7">E77/C77*100%</f>
        <v>0</v>
      </c>
      <c r="E77" s="92"/>
      <c r="F77" s="58">
        <f>E77/C77*100%</f>
        <v>0</v>
      </c>
      <c r="G77" s="27" t="s">
        <v>33</v>
      </c>
      <c r="H77" s="46">
        <f>D77*C77</f>
        <v>0</v>
      </c>
    </row>
    <row r="78" spans="1:8" x14ac:dyDescent="0.25">
      <c r="A78" s="28" t="s">
        <v>105</v>
      </c>
      <c r="B78" s="28" t="s">
        <v>41</v>
      </c>
      <c r="C78" s="108">
        <v>1761745176</v>
      </c>
      <c r="D78" s="97">
        <f t="shared" si="7"/>
        <v>0</v>
      </c>
      <c r="E78" s="92"/>
      <c r="F78" s="58">
        <f>E78/C78*100%</f>
        <v>0</v>
      </c>
      <c r="G78" s="27" t="s">
        <v>33</v>
      </c>
      <c r="H78" s="46">
        <f>D78*C78</f>
        <v>0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1.8275177239777521E-2</v>
      </c>
      <c r="E80" s="63">
        <f>SUM(E81:E87)</f>
        <v>76287000</v>
      </c>
      <c r="F80" s="49">
        <f>E80/C80*100%</f>
        <v>1.8275177239777521E-2</v>
      </c>
      <c r="G80" s="18" t="s">
        <v>0</v>
      </c>
      <c r="H80" s="63">
        <f>SUM(H81:H87)</f>
        <v>76287000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>
        <f>E83/C83*100%</f>
        <v>0.41236216216216215</v>
      </c>
      <c r="E83" s="92">
        <f>76287000</f>
        <v>76287000</v>
      </c>
      <c r="F83" s="58">
        <f>E83/C83*100%</f>
        <v>0.41236216216216215</v>
      </c>
      <c r="G83" s="27" t="s">
        <v>33</v>
      </c>
      <c r="H83" s="46">
        <f>D83*C83</f>
        <v>76287000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</v>
      </c>
      <c r="E86" s="92"/>
      <c r="F86" s="58">
        <f>E86/C86*100%</f>
        <v>0</v>
      </c>
      <c r="G86" s="27" t="s">
        <v>33</v>
      </c>
      <c r="H86" s="46">
        <f>D86*C86</f>
        <v>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</v>
      </c>
      <c r="E87" s="92"/>
      <c r="F87" s="58">
        <f>E87/C87*100%</f>
        <v>0</v>
      </c>
      <c r="G87" s="27" t="s">
        <v>33</v>
      </c>
      <c r="H87" s="46">
        <f>D87*C87</f>
        <v>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9.712844388585995E-3</v>
      </c>
      <c r="E89" s="63">
        <f>SUM(E90:E96)</f>
        <v>54760000</v>
      </c>
      <c r="F89" s="49">
        <f>E89/C89*100%</f>
        <v>9.712844388585995E-3</v>
      </c>
      <c r="G89" s="18" t="s">
        <v>0</v>
      </c>
      <c r="H89" s="63">
        <f>SUM(H90:H96)</f>
        <v>54760000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>
        <f>E92/C92*100%</f>
        <v>0.29599999999999999</v>
      </c>
      <c r="E92" s="92">
        <f>54760000</f>
        <v>54760000</v>
      </c>
      <c r="F92" s="58">
        <f>E92/C92*100%</f>
        <v>0.29599999999999999</v>
      </c>
      <c r="G92" s="27" t="s">
        <v>33</v>
      </c>
      <c r="H92" s="46">
        <f>D92*C92</f>
        <v>54760000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</v>
      </c>
      <c r="E95" s="92"/>
      <c r="F95" s="58">
        <f>E95/C95*100%</f>
        <v>0</v>
      </c>
      <c r="G95" s="27" t="s">
        <v>33</v>
      </c>
      <c r="H95" s="46">
        <f>D95*C95</f>
        <v>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</v>
      </c>
      <c r="E96" s="92"/>
      <c r="F96" s="58">
        <f>E96/C96*100%</f>
        <v>0</v>
      </c>
      <c r="G96" s="27" t="s">
        <v>33</v>
      </c>
      <c r="H96" s="46">
        <f>D96*C96</f>
        <v>0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4.0038212743733176E-2</v>
      </c>
      <c r="E98" s="63">
        <f>SUM(E99:E105)</f>
        <v>99550000</v>
      </c>
      <c r="F98" s="49">
        <f>E98/C98*100%</f>
        <v>4.0038212743733176E-2</v>
      </c>
      <c r="G98" s="18" t="s">
        <v>0</v>
      </c>
      <c r="H98" s="63">
        <f>SUM(H99:H105)</f>
        <v>99550000.000000015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>
        <f>E101/C101*100%</f>
        <v>0.53810810810810816</v>
      </c>
      <c r="E101" s="92">
        <f>99550000</f>
        <v>99550000</v>
      </c>
      <c r="F101" s="58">
        <f>E101/C101*100%</f>
        <v>0.53810810810810816</v>
      </c>
      <c r="G101" s="27" t="s">
        <v>33</v>
      </c>
      <c r="H101" s="46">
        <f>D101*C101</f>
        <v>99550000.000000015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0</v>
      </c>
      <c r="E104" s="92"/>
      <c r="F104" s="58">
        <f>E104/C104*100%</f>
        <v>0</v>
      </c>
      <c r="G104" s="27" t="s">
        <v>33</v>
      </c>
      <c r="H104" s="46">
        <f>D104*C104</f>
        <v>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0</v>
      </c>
      <c r="E105" s="92"/>
      <c r="F105" s="58">
        <f>E105/C105*100%</f>
        <v>0</v>
      </c>
      <c r="G105" s="27" t="s">
        <v>33</v>
      </c>
      <c r="H105" s="46">
        <f>D105*C105</f>
        <v>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4.7989155887742741E-3</v>
      </c>
      <c r="E107" s="63">
        <f>SUM(E108:E114)</f>
        <v>45949550</v>
      </c>
      <c r="F107" s="49">
        <f>E107/C107*100%</f>
        <v>4.7989155887742741E-3</v>
      </c>
      <c r="G107" s="18" t="s">
        <v>0</v>
      </c>
      <c r="H107" s="63">
        <f>SUM(H108:H114)</f>
        <v>45949550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97">
        <f>E110/C110*100%</f>
        <v>0.24837594594594595</v>
      </c>
      <c r="E110" s="89">
        <f>45949550</f>
        <v>45949550</v>
      </c>
      <c r="F110" s="58">
        <f>E110/C110*100%</f>
        <v>0.24837594594594595</v>
      </c>
      <c r="G110" s="27" t="s">
        <v>33</v>
      </c>
      <c r="H110" s="46">
        <f>D110*C110</f>
        <v>45949550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</v>
      </c>
      <c r="E113" s="92"/>
      <c r="F113" s="58">
        <f>E113/C113*100%</f>
        <v>0</v>
      </c>
      <c r="G113" s="27" t="s">
        <v>33</v>
      </c>
      <c r="H113" s="46">
        <f>D113*C113</f>
        <v>0</v>
      </c>
    </row>
    <row r="114" spans="1:8" x14ac:dyDescent="0.25">
      <c r="A114" s="28" t="s">
        <v>105</v>
      </c>
      <c r="B114" s="28" t="s">
        <v>41</v>
      </c>
      <c r="C114" s="108">
        <v>3539546088</v>
      </c>
      <c r="D114" s="97">
        <f t="shared" si="11"/>
        <v>0</v>
      </c>
      <c r="E114" s="89"/>
      <c r="F114" s="58">
        <f>E114/C114*100%</f>
        <v>0</v>
      </c>
      <c r="G114" s="27" t="s">
        <v>33</v>
      </c>
      <c r="H114" s="46">
        <f>D114*C114</f>
        <v>0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Maret 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22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22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E130/C130*100%</f>
        <v>6.7814750809542329E-2</v>
      </c>
      <c r="E130" s="74">
        <f>E132+E144+E150+E156+E162+E168+E174+E180</f>
        <v>3525377116</v>
      </c>
      <c r="F130" s="42">
        <f>E130/C130*100%</f>
        <v>6.7814750809542329E-2</v>
      </c>
      <c r="G130" s="15" t="s">
        <v>1</v>
      </c>
      <c r="H130" s="43">
        <f>H132+H144+H150+H156+H162+H168+H174+H180</f>
        <v>3525377116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0.18552950121424053</v>
      </c>
      <c r="E132" s="48">
        <f>SUM(E133:E142)</f>
        <v>2899653848</v>
      </c>
      <c r="F132" s="49">
        <f>E132/C132*100%</f>
        <v>0.18552950121424053</v>
      </c>
      <c r="G132" s="18" t="s">
        <v>0</v>
      </c>
      <c r="H132" s="48">
        <f>SUM(H133:H142)</f>
        <v>2899653848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</v>
      </c>
      <c r="E134" s="37">
        <f>SUM(E14:E20)</f>
        <v>0</v>
      </c>
      <c r="F134" s="58">
        <f>E134/C134*100%</f>
        <v>0</v>
      </c>
      <c r="G134" s="27" t="s">
        <v>61</v>
      </c>
      <c r="H134" s="37">
        <f>SUM(H14:H20)</f>
        <v>0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13">H135/C135*100%</f>
        <v>0.18667813558551863</v>
      </c>
      <c r="E135" s="77">
        <f>SUM(E22:E24)</f>
        <v>2542009606</v>
      </c>
      <c r="F135" s="58">
        <f t="shared" ref="F135:F142" si="14">E135/C135*100%</f>
        <v>0.18667813558551863</v>
      </c>
      <c r="G135" s="27" t="s">
        <v>61</v>
      </c>
      <c r="H135" s="77">
        <f>SUM(H22:H24)</f>
        <v>2542009606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13"/>
        <v>8.2246475733484356E-2</v>
      </c>
      <c r="E137" s="77">
        <f>SUM(E30:E36)</f>
        <v>20273600</v>
      </c>
      <c r="F137" s="58">
        <f t="shared" si="14"/>
        <v>8.2246475733484356E-2</v>
      </c>
      <c r="G137" s="27" t="s">
        <v>61</v>
      </c>
      <c r="H137" s="77">
        <f>SUM(H30:H36)</f>
        <v>20273600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13"/>
        <v>0.20434910002234161</v>
      </c>
      <c r="E139" s="77">
        <f>SUM(E42:E43)</f>
        <v>52592817</v>
      </c>
      <c r="F139" s="58">
        <f t="shared" si="14"/>
        <v>0.20434910002234161</v>
      </c>
      <c r="G139" s="27" t="s">
        <v>61</v>
      </c>
      <c r="H139" s="77">
        <f>SUM(H42:H43)</f>
        <v>52592817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13"/>
        <v>0.11195796552831742</v>
      </c>
      <c r="E140" s="77">
        <f>SUM(E45:E48)</f>
        <v>37664225</v>
      </c>
      <c r="F140" s="58">
        <f t="shared" si="14"/>
        <v>0.11195796552831742</v>
      </c>
      <c r="G140" s="27" t="s">
        <v>61</v>
      </c>
      <c r="H140" s="77">
        <f>SUM(H45:H48)</f>
        <v>37664225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13"/>
        <v>0.23057664315306237</v>
      </c>
      <c r="E142" s="77">
        <f>SUM(E51)</f>
        <v>247113600</v>
      </c>
      <c r="F142" s="58">
        <f t="shared" si="14"/>
        <v>0.23057664315306237</v>
      </c>
      <c r="G142" s="27" t="s">
        <v>61</v>
      </c>
      <c r="H142" s="77">
        <f>SUM(H51)</f>
        <v>247113600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1.8463518342116438E-2</v>
      </c>
      <c r="E144" s="48">
        <f>SUM(E145:E148)</f>
        <v>91664000</v>
      </c>
      <c r="F144" s="49">
        <f>E144/C144*100%</f>
        <v>1.8463518342116438E-2</v>
      </c>
      <c r="G144" s="18" t="s">
        <v>0</v>
      </c>
      <c r="H144" s="48">
        <f>SUM(H145:H148)</f>
        <v>91664000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0.49548108108108108</v>
      </c>
      <c r="E146" s="37">
        <f>SUM(E56)</f>
        <v>91664000</v>
      </c>
      <c r="F146" s="58">
        <f>E146/C146*100%</f>
        <v>0.49548108108108108</v>
      </c>
      <c r="G146" s="27" t="s">
        <v>61</v>
      </c>
      <c r="H146" s="37">
        <f>SUM(H56)</f>
        <v>91664000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</v>
      </c>
      <c r="E148" s="77">
        <f>SUM(E59:E60)</f>
        <v>0</v>
      </c>
      <c r="F148" s="58">
        <f>E148/C148*100%</f>
        <v>0</v>
      </c>
      <c r="G148" s="27" t="s">
        <v>61</v>
      </c>
      <c r="H148" s="77">
        <f>SUM(H59:H60)</f>
        <v>0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4.2960238953564829E-2</v>
      </c>
      <c r="E150" s="48">
        <f>SUM(E151:E154)</f>
        <v>200441218</v>
      </c>
      <c r="F150" s="49">
        <f>E150/C150*100%</f>
        <v>4.2960238953564829E-2</v>
      </c>
      <c r="G150" s="18" t="s">
        <v>0</v>
      </c>
      <c r="H150" s="48">
        <f>SUM(H151:H154)</f>
        <v>200441218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0.57386044776119405</v>
      </c>
      <c r="E152" s="37">
        <f>SUM(E65)</f>
        <v>192243250</v>
      </c>
      <c r="F152" s="58">
        <f>E152/C152*100%</f>
        <v>0.57386044776119405</v>
      </c>
      <c r="G152" s="27" t="s">
        <v>61</v>
      </c>
      <c r="H152" s="37">
        <f>SUM(H65)</f>
        <v>192243250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1.8929725281407281E-3</v>
      </c>
      <c r="E154" s="77">
        <f>SUM(E68:E69)</f>
        <v>8197968</v>
      </c>
      <c r="F154" s="58">
        <f>E154/C154*100%</f>
        <v>1.8929725281407281E-3</v>
      </c>
      <c r="G154" s="27" t="s">
        <v>61</v>
      </c>
      <c r="H154" s="77">
        <f>SUM(H68:H69)</f>
        <v>8197968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1.1761535395474549E-2</v>
      </c>
      <c r="E156" s="48">
        <f>SUM(E157:E160)</f>
        <v>57071500</v>
      </c>
      <c r="F156" s="49">
        <f>E156/C156*100%</f>
        <v>1.1761535395474549E-2</v>
      </c>
      <c r="G156" s="18" t="s">
        <v>0</v>
      </c>
      <c r="H156" s="48">
        <f>SUM(H157:H160)</f>
        <v>57071500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0.30849459459459461</v>
      </c>
      <c r="E158" s="37">
        <f>SUM(E74)</f>
        <v>57071500</v>
      </c>
      <c r="F158" s="58">
        <f>E158/C158*100%</f>
        <v>0.30849459459459461</v>
      </c>
      <c r="G158" s="27" t="s">
        <v>61</v>
      </c>
      <c r="H158" s="37">
        <f>SUM(H74)</f>
        <v>57071500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0</v>
      </c>
      <c r="E160" s="77">
        <f>SUM(E77:E78)</f>
        <v>0</v>
      </c>
      <c r="F160" s="58">
        <f>E160/C160*100%</f>
        <v>0</v>
      </c>
      <c r="G160" s="27" t="s">
        <v>61</v>
      </c>
      <c r="H160" s="77">
        <f>SUM(H77:H78)</f>
        <v>0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1.8275177239777521E-2</v>
      </c>
      <c r="E162" s="48">
        <f>SUM(E163:E166)</f>
        <v>76287000</v>
      </c>
      <c r="F162" s="49">
        <f>E162/C162*100%</f>
        <v>1.8275177239777521E-2</v>
      </c>
      <c r="G162" s="18" t="s">
        <v>0</v>
      </c>
      <c r="H162" s="48">
        <f>SUM(H163:H166)</f>
        <v>76287000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0.41236216216216215</v>
      </c>
      <c r="E164" s="37">
        <f>SUM(E83)</f>
        <v>76287000</v>
      </c>
      <c r="F164" s="58">
        <f>E164/C164*100%</f>
        <v>0.41236216216216215</v>
      </c>
      <c r="G164" s="27" t="s">
        <v>61</v>
      </c>
      <c r="H164" s="37">
        <f>SUM(H83)</f>
        <v>76287000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</v>
      </c>
      <c r="E166" s="77">
        <f>SUM(E86:E87)</f>
        <v>0</v>
      </c>
      <c r="F166" s="58">
        <f>E166/C166*100%</f>
        <v>0</v>
      </c>
      <c r="G166" s="27" t="s">
        <v>61</v>
      </c>
      <c r="H166" s="77">
        <f>SUM(H86:H87)</f>
        <v>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9.712844388585995E-3</v>
      </c>
      <c r="E168" s="48">
        <f>SUM(E169:E172)</f>
        <v>54760000</v>
      </c>
      <c r="F168" s="49">
        <f>E168/C168*100%</f>
        <v>9.712844388585995E-3</v>
      </c>
      <c r="G168" s="18" t="s">
        <v>0</v>
      </c>
      <c r="H168" s="48">
        <f>SUM(H169:H172)</f>
        <v>54760000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0.29599999999999999</v>
      </c>
      <c r="E170" s="37">
        <f>SUM(E92)</f>
        <v>54760000</v>
      </c>
      <c r="F170" s="58">
        <f>E170/C170*100%</f>
        <v>0.29599999999999999</v>
      </c>
      <c r="G170" s="27" t="s">
        <v>61</v>
      </c>
      <c r="H170" s="37">
        <f>SUM(H92)</f>
        <v>54760000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0</v>
      </c>
      <c r="E172" s="77">
        <f>SUM(E95:E96)</f>
        <v>0</v>
      </c>
      <c r="F172" s="58">
        <f>E172/C172*100%</f>
        <v>0</v>
      </c>
      <c r="G172" s="27" t="s">
        <v>61</v>
      </c>
      <c r="H172" s="77">
        <f>SUM(H95:H96)</f>
        <v>0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4.0038212743733176E-2</v>
      </c>
      <c r="E174" s="48">
        <f>SUM(E175:E178)</f>
        <v>99550000</v>
      </c>
      <c r="F174" s="49">
        <f>E174/C174*100%</f>
        <v>4.0038212743733176E-2</v>
      </c>
      <c r="G174" s="18" t="s">
        <v>0</v>
      </c>
      <c r="H174" s="48">
        <f>SUM(H175:H178)</f>
        <v>99550000.000000015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0.53810810810810816</v>
      </c>
      <c r="E176" s="37">
        <f>SUM(E101)</f>
        <v>99550000</v>
      </c>
      <c r="F176" s="58">
        <f>E176/C176*100%</f>
        <v>0.53810810810810816</v>
      </c>
      <c r="G176" s="27" t="s">
        <v>61</v>
      </c>
      <c r="H176" s="37">
        <f>SUM(H101)</f>
        <v>99550000.000000015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</v>
      </c>
      <c r="E178" s="77">
        <f>SUM(E104:E105)</f>
        <v>0</v>
      </c>
      <c r="F178" s="58">
        <f>E178/C178*100%</f>
        <v>0</v>
      </c>
      <c r="G178" s="27" t="s">
        <v>61</v>
      </c>
      <c r="H178" s="77">
        <f>SUM(H104:H105)</f>
        <v>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4.7989155887742741E-3</v>
      </c>
      <c r="E180" s="48">
        <f>SUM(E181:E184)</f>
        <v>45949550</v>
      </c>
      <c r="F180" s="49">
        <f>E180/C180*100%</f>
        <v>4.7989155887742741E-3</v>
      </c>
      <c r="G180" s="18" t="s">
        <v>0</v>
      </c>
      <c r="H180" s="48">
        <f>SUM(H181:H184)</f>
        <v>45949550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0.24837594594594595</v>
      </c>
      <c r="E182" s="37">
        <f>SUM(E110)</f>
        <v>45949550</v>
      </c>
      <c r="F182" s="58">
        <f>E182/C182*100%</f>
        <v>0.24837594594594595</v>
      </c>
      <c r="G182" s="27" t="s">
        <v>61</v>
      </c>
      <c r="H182" s="37">
        <f>SUM(H110)</f>
        <v>45949550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0</v>
      </c>
      <c r="E184" s="77">
        <f>SUM(E112:E114)</f>
        <v>0</v>
      </c>
      <c r="F184" s="58">
        <f>E184/C184*100%</f>
        <v>0</v>
      </c>
      <c r="G184" s="27" t="s">
        <v>61</v>
      </c>
      <c r="H184" s="77">
        <f>SUM(H112:H114)</f>
        <v>0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Maret 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22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22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6.7814750809542329E-2</v>
      </c>
      <c r="E196" s="74">
        <f>E198+E202+E206+E210+E214+E218+E222+E226</f>
        <v>3525377116</v>
      </c>
      <c r="F196" s="42">
        <f>E196/C196*100%</f>
        <v>6.7814750809542329E-2</v>
      </c>
      <c r="G196" s="15" t="s">
        <v>1</v>
      </c>
      <c r="H196" s="43">
        <f>H198+H202+H206+H210+H214+H218+H222+H226</f>
        <v>3525377116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0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0.18552950121424053</v>
      </c>
      <c r="E198" s="48">
        <f>SUM(E199:E200)</f>
        <v>2899653848</v>
      </c>
      <c r="F198" s="49">
        <f>E198/C198*100%</f>
        <v>0.18552950121424053</v>
      </c>
      <c r="G198" s="18" t="s">
        <v>0</v>
      </c>
      <c r="H198" s="48">
        <f>SUM(H199:H200)</f>
        <v>2899653848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0.18221310655187678</v>
      </c>
      <c r="E199" s="37">
        <f>SUM(E134:E140)</f>
        <v>2652540248</v>
      </c>
      <c r="F199" s="58">
        <f>E199/C199*100%</f>
        <v>0.18221310655187678</v>
      </c>
      <c r="G199" s="27" t="s">
        <v>32</v>
      </c>
      <c r="H199" s="37">
        <f>SUM(H134:H140)</f>
        <v>2652540248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0.23057664315306237</v>
      </c>
      <c r="E200" s="77">
        <f>SUM(E142)</f>
        <v>247113600</v>
      </c>
      <c r="F200" s="58">
        <f>E200/C200*100%</f>
        <v>0.23057664315306237</v>
      </c>
      <c r="G200" s="27" t="s">
        <v>32</v>
      </c>
      <c r="H200" s="77">
        <f>SUM(H142)</f>
        <v>247113600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1.8463518342116438E-2</v>
      </c>
      <c r="E202" s="88">
        <f>SUM(E203:E204)</f>
        <v>91664000</v>
      </c>
      <c r="F202" s="49">
        <f>E202/C202*100%</f>
        <v>1.8463518342116438E-2</v>
      </c>
      <c r="G202" s="18" t="s">
        <v>0</v>
      </c>
      <c r="H202" s="43">
        <f>SUM(H203:H204)</f>
        <v>91664000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0.49548108108108108</v>
      </c>
      <c r="E203" s="37">
        <f>SUM(E146)</f>
        <v>91664000</v>
      </c>
      <c r="F203" s="58">
        <f>E203/C203*100%</f>
        <v>0.49548108108108108</v>
      </c>
      <c r="G203" s="27" t="s">
        <v>32</v>
      </c>
      <c r="H203" s="37">
        <f>SUM(H146)</f>
        <v>91664000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</v>
      </c>
      <c r="E204" s="77">
        <f>SUM(E148:E148)</f>
        <v>0</v>
      </c>
      <c r="F204" s="58">
        <f>E204/C204*100%</f>
        <v>0</v>
      </c>
      <c r="G204" s="27" t="s">
        <v>32</v>
      </c>
      <c r="H204" s="77">
        <f>SUM(H148:H148)</f>
        <v>0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4.2960238953564829E-2</v>
      </c>
      <c r="E206" s="88">
        <f>SUM(E207:E209)</f>
        <v>200441218</v>
      </c>
      <c r="F206" s="49">
        <f>E206/C206*100%</f>
        <v>4.2960238953564829E-2</v>
      </c>
      <c r="G206" s="18" t="s">
        <v>0</v>
      </c>
      <c r="H206" s="43">
        <f>SUM(H207:H209)</f>
        <v>200441218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0.57386044776119405</v>
      </c>
      <c r="E207" s="37">
        <f>SUM(E152)</f>
        <v>192243250</v>
      </c>
      <c r="F207" s="58">
        <f>E207/C207*100%</f>
        <v>0.57386044776119405</v>
      </c>
      <c r="G207" s="27" t="s">
        <v>32</v>
      </c>
      <c r="H207" s="37">
        <f>SUM(H152)</f>
        <v>192243250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1.8929725281407281E-3</v>
      </c>
      <c r="E208" s="77">
        <f>SUM(E154:E154)</f>
        <v>8197968</v>
      </c>
      <c r="F208" s="58">
        <f>E208/C208*100%</f>
        <v>1.8929725281407281E-3</v>
      </c>
      <c r="G208" s="27" t="s">
        <v>32</v>
      </c>
      <c r="H208" s="77">
        <f>SUM(H154:H154)</f>
        <v>8197968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1.1761535395474549E-2</v>
      </c>
      <c r="E210" s="88">
        <f>SUM(E211:E212)</f>
        <v>57071500</v>
      </c>
      <c r="F210" s="49">
        <f>E210/C210*100%</f>
        <v>1.1761535395474549E-2</v>
      </c>
      <c r="G210" s="18" t="s">
        <v>0</v>
      </c>
      <c r="H210" s="43">
        <f>SUM(H211:H212)</f>
        <v>57071500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0.30849459459459461</v>
      </c>
      <c r="E211" s="37">
        <f>SUM(E158)</f>
        <v>57071500</v>
      </c>
      <c r="F211" s="58">
        <f>E211/C211*100%</f>
        <v>0.30849459459459461</v>
      </c>
      <c r="G211" s="27" t="s">
        <v>32</v>
      </c>
      <c r="H211" s="37">
        <f>SUM(H158)</f>
        <v>57071500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0</v>
      </c>
      <c r="E212" s="77">
        <f>SUM(E160:E160)</f>
        <v>0</v>
      </c>
      <c r="F212" s="58">
        <f>E212/C212*100%</f>
        <v>0</v>
      </c>
      <c r="G212" s="27" t="s">
        <v>32</v>
      </c>
      <c r="H212" s="77">
        <f>SUM(H160:H160)</f>
        <v>0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1.8275177239777521E-2</v>
      </c>
      <c r="E214" s="88">
        <f>SUM(E215:E216)</f>
        <v>76287000</v>
      </c>
      <c r="F214" s="49">
        <f>E214/C214*100%</f>
        <v>1.8275177239777521E-2</v>
      </c>
      <c r="G214" s="18" t="s">
        <v>0</v>
      </c>
      <c r="H214" s="43">
        <f>SUM(H215:H216)</f>
        <v>76287000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0.41236216216216215</v>
      </c>
      <c r="E215" s="37">
        <f>SUM(E164)</f>
        <v>76287000</v>
      </c>
      <c r="F215" s="58">
        <f>E215/C215*100%</f>
        <v>0.41236216216216215</v>
      </c>
      <c r="G215" s="27" t="s">
        <v>32</v>
      </c>
      <c r="H215" s="37">
        <f>SUM(H164)</f>
        <v>76287000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</v>
      </c>
      <c r="E216" s="77">
        <f>SUM(E166:E166)</f>
        <v>0</v>
      </c>
      <c r="F216" s="58">
        <f>E216/C216*100%</f>
        <v>0</v>
      </c>
      <c r="G216" s="27" t="s">
        <v>32</v>
      </c>
      <c r="H216" s="77">
        <f>SUM(H166:H166)</f>
        <v>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9.712844388585995E-3</v>
      </c>
      <c r="E218" s="88">
        <f>SUM(E219:E220)</f>
        <v>54760000</v>
      </c>
      <c r="F218" s="49">
        <f>E218/C218*100%</f>
        <v>9.712844388585995E-3</v>
      </c>
      <c r="G218" s="18" t="s">
        <v>0</v>
      </c>
      <c r="H218" s="43">
        <f>SUM(H219:H220)</f>
        <v>54760000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0.29599999999999999</v>
      </c>
      <c r="E219" s="37">
        <f>SUM(E170)</f>
        <v>54760000</v>
      </c>
      <c r="F219" s="58">
        <f>E219/C219*100%</f>
        <v>0.29599999999999999</v>
      </c>
      <c r="G219" s="27" t="s">
        <v>32</v>
      </c>
      <c r="H219" s="37">
        <f>SUM(H170)</f>
        <v>54760000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0</v>
      </c>
      <c r="E220" s="77">
        <f>SUM(E172:E172)</f>
        <v>0</v>
      </c>
      <c r="F220" s="58">
        <f>E220/C220*100%</f>
        <v>0</v>
      </c>
      <c r="G220" s="27" t="s">
        <v>32</v>
      </c>
      <c r="H220" s="77">
        <f>SUM(H172:H172)</f>
        <v>0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4.0038212743733176E-2</v>
      </c>
      <c r="E222" s="88">
        <f>SUM(E223:E224)</f>
        <v>99550000</v>
      </c>
      <c r="F222" s="49">
        <f>E222/C222*100%</f>
        <v>4.0038212743733176E-2</v>
      </c>
      <c r="G222" s="18" t="s">
        <v>0</v>
      </c>
      <c r="H222" s="43">
        <f>SUM(H223:H224)</f>
        <v>99550000.000000015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0.53810810810810816</v>
      </c>
      <c r="E223" s="37">
        <f>SUM(E176)</f>
        <v>99550000</v>
      </c>
      <c r="F223" s="58">
        <f>E223/C223*100%</f>
        <v>0.53810810810810816</v>
      </c>
      <c r="G223" s="27" t="s">
        <v>32</v>
      </c>
      <c r="H223" s="37">
        <f>SUM(H176)</f>
        <v>99550000.000000015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</v>
      </c>
      <c r="E224" s="77">
        <f>SUM(E178:E178)</f>
        <v>0</v>
      </c>
      <c r="F224" s="58">
        <f>E224/C224*100%</f>
        <v>0</v>
      </c>
      <c r="G224" s="27" t="s">
        <v>32</v>
      </c>
      <c r="H224" s="77">
        <f>SUM(H178:H178)</f>
        <v>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4.7989155887742741E-3</v>
      </c>
      <c r="E226" s="88">
        <f>SUM(E227:E228)</f>
        <v>45949550</v>
      </c>
      <c r="F226" s="49">
        <f>E226/C226*100%</f>
        <v>4.7989155887742741E-3</v>
      </c>
      <c r="G226" s="18" t="s">
        <v>0</v>
      </c>
      <c r="H226" s="43">
        <f>SUM(H227:H228)</f>
        <v>45949550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0.24837594594594595</v>
      </c>
      <c r="E227" s="37">
        <f>SUM(E182)</f>
        <v>45949550</v>
      </c>
      <c r="F227" s="58">
        <f>E227/C227*100%</f>
        <v>0.24837594594594595</v>
      </c>
      <c r="G227" s="27" t="s">
        <v>32</v>
      </c>
      <c r="H227" s="37">
        <f>SUM(H182)</f>
        <v>45949550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0</v>
      </c>
      <c r="E228" s="77">
        <f>SUM(E184:E184)</f>
        <v>0</v>
      </c>
      <c r="F228" s="58">
        <f>E228/C228*100%</f>
        <v>0</v>
      </c>
      <c r="G228" s="27" t="s">
        <v>32</v>
      </c>
      <c r="H228" s="77">
        <f>SUM(H184:H184)</f>
        <v>0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Maret 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22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22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6.7814750809542329E-2</v>
      </c>
      <c r="E240" s="14">
        <f>SUM(E242:E244)</f>
        <v>3525377116</v>
      </c>
      <c r="F240" s="42">
        <f>E240/C240*100%</f>
        <v>6.7814750809542329E-2</v>
      </c>
      <c r="G240" s="15" t="s">
        <v>1</v>
      </c>
      <c r="H240" s="14">
        <f>SUM(H242:H244)</f>
        <v>3525377116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0.18221310655187678</v>
      </c>
      <c r="E242" s="37">
        <f>E199</f>
        <v>2652540248</v>
      </c>
      <c r="F242" s="58">
        <f>E242/C242*100%</f>
        <v>0.18221310655187678</v>
      </c>
      <c r="G242" s="27" t="s">
        <v>32</v>
      </c>
      <c r="H242" s="37">
        <f>H199</f>
        <v>2652540248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17">H243/C243*100%</f>
        <v>0.3435578451317588</v>
      </c>
      <c r="E243" s="77">
        <f>E200+E203+E207+E211+E215+E219+E223+E227</f>
        <v>864638900</v>
      </c>
      <c r="F243" s="58">
        <f t="shared" ref="F243:F244" si="18">E243/C243*100%</f>
        <v>0.3435578451317588</v>
      </c>
      <c r="G243" s="27" t="s">
        <v>32</v>
      </c>
      <c r="H243" s="77">
        <f>H200+H203+H207+H211+H215+H219+H223+H227</f>
        <v>864638900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17"/>
        <v>2.3482255693062755E-4</v>
      </c>
      <c r="E244" s="77">
        <f>E204+E208+E212+E216+E220+E224+E228</f>
        <v>8197968</v>
      </c>
      <c r="F244" s="58">
        <f t="shared" si="18"/>
        <v>2.3482255693062755E-4</v>
      </c>
      <c r="G244" s="27" t="s">
        <v>32</v>
      </c>
      <c r="H244" s="77">
        <f>H204+H208+H212+H216+H220+H224+H228</f>
        <v>8197968</v>
      </c>
    </row>
  </sheetData>
  <mergeCells count="32">
    <mergeCell ref="A233:G233"/>
    <mergeCell ref="B236:G236"/>
    <mergeCell ref="A237:A239"/>
    <mergeCell ref="B237:B239"/>
    <mergeCell ref="C237:C238"/>
    <mergeCell ref="D237:F237"/>
    <mergeCell ref="G237:G239"/>
    <mergeCell ref="E238:F23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2:G2"/>
    <mergeCell ref="B5:G5"/>
    <mergeCell ref="A6:A8"/>
    <mergeCell ref="B6:B8"/>
    <mergeCell ref="C6:C8"/>
    <mergeCell ref="D6:F6"/>
    <mergeCell ref="G6:G8"/>
    <mergeCell ref="E7:F7"/>
  </mergeCells>
  <pageMargins left="0.7" right="0.7" top="0.75" bottom="0.75" header="0.3" footer="0.3"/>
  <pageSetup paperSize="1000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workbookViewId="0">
      <selection activeCell="B18" sqref="B18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136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24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E9/C9*100%</f>
        <v>0.12433278979608423</v>
      </c>
      <c r="E9" s="40">
        <f>E11+E53+E62+E71+E80+E89+E98+E107</f>
        <v>6463490121</v>
      </c>
      <c r="F9" s="42">
        <f>E9/C9*100%</f>
        <v>0.12433278979608423</v>
      </c>
      <c r="G9" s="15" t="s">
        <v>1</v>
      </c>
      <c r="H9" s="43">
        <v>6463490121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15629071544</v>
      </c>
      <c r="D11" s="49">
        <f>H11/C11*100%</f>
        <v>0.30120099199412814</v>
      </c>
      <c r="E11" s="48">
        <f>SUM(E14:E51)</f>
        <v>4707491853</v>
      </c>
      <c r="F11" s="49">
        <f>E11/C11*100%</f>
        <v>0.30120099199412814</v>
      </c>
      <c r="G11" s="18" t="s">
        <v>0</v>
      </c>
      <c r="H11" s="48">
        <v>4707491853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4.6199999999999998E-2</v>
      </c>
      <c r="E14" s="92">
        <f>2310000</f>
        <v>2310000</v>
      </c>
      <c r="F14" s="58">
        <f>E14/C14*100%</f>
        <v>4.6199999999999998E-2</v>
      </c>
      <c r="G14" s="27" t="s">
        <v>33</v>
      </c>
      <c r="H14" s="46">
        <f t="shared" ref="H14:H20" si="0">D14*C14</f>
        <v>2310000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si="0"/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</v>
      </c>
      <c r="E19" s="92"/>
      <c r="F19" s="58">
        <f>E19/C19*100%</f>
        <v>0</v>
      </c>
      <c r="G19" s="27" t="s">
        <v>33</v>
      </c>
      <c r="H19" s="46">
        <f t="shared" si="0"/>
        <v>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</v>
      </c>
      <c r="E20" s="92"/>
      <c r="F20" s="58">
        <f>E20/C20*100%</f>
        <v>0</v>
      </c>
      <c r="G20" s="27" t="s">
        <v>33</v>
      </c>
      <c r="H20" s="46">
        <f t="shared" si="0"/>
        <v>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11713143962</v>
      </c>
      <c r="D22" s="97">
        <f>E22/C22*100%</f>
        <v>0.31001147409956165</v>
      </c>
      <c r="E22" s="100">
        <f>3631209026</f>
        <v>3631209026</v>
      </c>
      <c r="F22" s="58">
        <f>E22/C22*100%</f>
        <v>0.31001147409956165</v>
      </c>
      <c r="G22" s="27" t="s">
        <v>33</v>
      </c>
      <c r="H22" s="46">
        <f>D22*C22</f>
        <v>3631209026</v>
      </c>
    </row>
    <row r="23" spans="1:8" ht="30" x14ac:dyDescent="0.25">
      <c r="A23" s="28" t="s">
        <v>78</v>
      </c>
      <c r="B23" s="28" t="s">
        <v>11</v>
      </c>
      <c r="C23" s="108">
        <v>1853928000</v>
      </c>
      <c r="D23" s="97">
        <f>E23/C23*100%</f>
        <v>0.32566694229765125</v>
      </c>
      <c r="E23" s="100">
        <f>603763063</f>
        <v>603763063</v>
      </c>
      <c r="F23" s="58">
        <f>E23/C23*100%</f>
        <v>0.32566694229765125</v>
      </c>
      <c r="G23" s="27" t="s">
        <v>33</v>
      </c>
      <c r="H23" s="46">
        <f>D23*C23</f>
        <v>603763063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0.2430735</v>
      </c>
      <c r="E24" s="100">
        <f>12153675</f>
        <v>12153675</v>
      </c>
      <c r="F24" s="58">
        <f>E24/C24*100%</f>
        <v>0.2430735</v>
      </c>
      <c r="G24" s="27" t="s">
        <v>33</v>
      </c>
      <c r="H24" s="46">
        <f>D24*C24</f>
        <v>12153675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6.8081475160464519E-2</v>
      </c>
      <c r="E30" s="92">
        <f>917500</f>
        <v>917500</v>
      </c>
      <c r="F30" s="58">
        <f>E30/C30*100%</f>
        <v>6.8081475160464519E-2</v>
      </c>
      <c r="G30" s="27" t="s">
        <v>33</v>
      </c>
      <c r="H30" s="46">
        <f t="shared" ref="H30:H36" si="2">D30*C30</f>
        <v>917500.00000000012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2"/>
        <v>0</v>
      </c>
    </row>
    <row r="32" spans="1:8" x14ac:dyDescent="0.25">
      <c r="A32" s="28" t="s">
        <v>86</v>
      </c>
      <c r="B32" s="28" t="s">
        <v>16</v>
      </c>
      <c r="C32" s="108">
        <v>6708000</v>
      </c>
      <c r="D32" s="97">
        <f t="shared" ref="D32:D36" si="3">E32/C32*100%</f>
        <v>0.23978831246273108</v>
      </c>
      <c r="E32" s="92">
        <f>1608500</f>
        <v>1608500</v>
      </c>
      <c r="F32" s="58">
        <f>E32/C32*100%</f>
        <v>0.23978831246273108</v>
      </c>
      <c r="G32" s="27" t="s">
        <v>33</v>
      </c>
      <c r="H32" s="46">
        <f t="shared" si="2"/>
        <v>1608500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0.37939220058914114</v>
      </c>
      <c r="E33" s="92">
        <f>15181500+8568300</f>
        <v>23749800</v>
      </c>
      <c r="F33" s="58">
        <f>E33/C33*100%</f>
        <v>0.37939220058914114</v>
      </c>
      <c r="G33" s="27" t="s">
        <v>33</v>
      </c>
      <c r="H33" s="46">
        <v>23749800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</v>
      </c>
      <c r="E35" s="92"/>
      <c r="F35" s="58">
        <f>E35/C35*100%</f>
        <v>0</v>
      </c>
      <c r="G35" s="27" t="s">
        <v>33</v>
      </c>
      <c r="H35" s="46">
        <f t="shared" si="2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>
        <f t="shared" si="3"/>
        <v>9.9589749451968204E-2</v>
      </c>
      <c r="E36" s="92">
        <f>14810390</f>
        <v>14810390</v>
      </c>
      <c r="F36" s="58">
        <f>E36/C36*100%</f>
        <v>9.9589749451968204E-2</v>
      </c>
      <c r="G36" s="27" t="s">
        <v>33</v>
      </c>
      <c r="H36" s="46">
        <f t="shared" si="2"/>
        <v>14810390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0.29503648983116898</v>
      </c>
      <c r="E42" s="100">
        <f>70032074</f>
        <v>70032074</v>
      </c>
      <c r="F42" s="58">
        <f>E42/C42*100%</f>
        <v>0.29503648983116898</v>
      </c>
      <c r="G42" s="27" t="s">
        <v>33</v>
      </c>
      <c r="H42" s="46">
        <f>D42*C42</f>
        <v>70032074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20000000</v>
      </c>
      <c r="D43" s="97">
        <f>E43/C43*100%</f>
        <v>0</v>
      </c>
      <c r="E43" s="91"/>
      <c r="F43" s="58">
        <f>E43/C43*100%</f>
        <v>0</v>
      </c>
      <c r="G43" s="27" t="s">
        <v>33</v>
      </c>
      <c r="H43" s="46">
        <f>D43*C43</f>
        <v>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151843982</v>
      </c>
      <c r="D45" s="97">
        <f>E45/C45*100%</f>
        <v>0.20545694066426681</v>
      </c>
      <c r="E45" s="92">
        <f>31197400</f>
        <v>31197400</v>
      </c>
      <c r="F45" s="58">
        <f>E45/C45*100%</f>
        <v>0.20545694066426681</v>
      </c>
      <c r="G45" s="27" t="s">
        <v>33</v>
      </c>
      <c r="H45" s="46">
        <f>D45*C45</f>
        <v>31197399.999999996</v>
      </c>
    </row>
    <row r="46" spans="1:10" x14ac:dyDescent="0.25">
      <c r="A46" s="25" t="s">
        <v>95</v>
      </c>
      <c r="B46" s="106" t="s">
        <v>66</v>
      </c>
      <c r="C46" s="109">
        <v>30280000</v>
      </c>
      <c r="D46" s="97">
        <f t="shared" ref="D46:D48" si="4">E46/C46*100%</f>
        <v>0.32083883751651254</v>
      </c>
      <c r="E46" s="92">
        <f>9715000</f>
        <v>9715000</v>
      </c>
      <c r="F46" s="58">
        <f>E46/C46*100%</f>
        <v>0.32083883751651254</v>
      </c>
      <c r="G46" s="27" t="s">
        <v>33</v>
      </c>
      <c r="H46" s="46">
        <f>D46*C46</f>
        <v>9715000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1.0188292319164802E-2</v>
      </c>
      <c r="E47" s="92">
        <f>1093000</f>
        <v>1093000</v>
      </c>
      <c r="F47" s="58">
        <f>E47/C47*100%</f>
        <v>1.0188292319164802E-2</v>
      </c>
      <c r="G47" s="27" t="s">
        <v>33</v>
      </c>
      <c r="H47" s="46">
        <f>D47*C47</f>
        <v>1093000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0.12622473941714529</v>
      </c>
      <c r="E48" s="92">
        <f>2380925+3552900</f>
        <v>5933825</v>
      </c>
      <c r="F48" s="58">
        <f>E48/C48*100%</f>
        <v>0.12622473941714529</v>
      </c>
      <c r="G48" s="27" t="s">
        <v>33</v>
      </c>
      <c r="H48" s="46">
        <f>D48*C48</f>
        <v>5933825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>
        <f>E51/C51*100%</f>
        <v>0.27898947486283732</v>
      </c>
      <c r="E51" s="90">
        <f>298998600</f>
        <v>298998600</v>
      </c>
      <c r="F51" s="58">
        <f>E51/C51*100%</f>
        <v>0.27898947486283732</v>
      </c>
      <c r="G51" s="27" t="s">
        <v>33</v>
      </c>
      <c r="H51" s="46">
        <v>298998600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H53/C53</f>
        <v>4.5927961590802688E-2</v>
      </c>
      <c r="E53" s="63">
        <f>SUM(E54:E60)</f>
        <v>228014000</v>
      </c>
      <c r="F53" s="49">
        <f>E53/C53*100%</f>
        <v>4.5927961590802688E-2</v>
      </c>
      <c r="G53" s="18" t="s">
        <v>0</v>
      </c>
      <c r="H53" s="63">
        <v>228014000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>
        <f>E56/C56*100%</f>
        <v>0.55142702702702706</v>
      </c>
      <c r="E56" s="92">
        <f>102014000</f>
        <v>102014000</v>
      </c>
      <c r="F56" s="58">
        <f>E56/C56*100%</f>
        <v>0.55142702702702706</v>
      </c>
      <c r="G56" s="27" t="s">
        <v>33</v>
      </c>
      <c r="H56" s="46">
        <v>102014000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</v>
      </c>
      <c r="E59" s="92"/>
      <c r="F59" s="58">
        <f>E59/C59*100%</f>
        <v>0</v>
      </c>
      <c r="G59" s="27" t="s">
        <v>33</v>
      </c>
      <c r="H59" s="46">
        <f>D59*C59</f>
        <v>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6.9846302745167246E-2</v>
      </c>
      <c r="E60" s="92">
        <f>126000000</f>
        <v>126000000</v>
      </c>
      <c r="F60" s="58">
        <f>E60/C60*100%</f>
        <v>6.9846302745167246E-2</v>
      </c>
      <c r="G60" s="27" t="s">
        <v>33</v>
      </c>
      <c r="H60" s="46">
        <f>D60*C60</f>
        <v>126000000.00000001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9.6454456098165525E-2</v>
      </c>
      <c r="E62" s="63">
        <f>SUM(E63:E69)</f>
        <v>450031218</v>
      </c>
      <c r="F62" s="49">
        <f>E62/C62*100%</f>
        <v>9.6454456098165525E-2</v>
      </c>
      <c r="G62" s="18" t="s">
        <v>0</v>
      </c>
      <c r="H62" s="63">
        <f>SUM(H63:H70)</f>
        <v>450031218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>
        <f>E65/C65*100%</f>
        <v>0.60323358208955224</v>
      </c>
      <c r="E65" s="92">
        <f>202083250</f>
        <v>202083250</v>
      </c>
      <c r="F65" s="58">
        <f>E65/C65*100%</f>
        <v>0.60323358208955224</v>
      </c>
      <c r="G65" s="27" t="s">
        <v>33</v>
      </c>
      <c r="H65" s="46">
        <v>202083250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</v>
      </c>
      <c r="E68" s="92"/>
      <c r="F68" s="58">
        <f>E68/C68*100%</f>
        <v>0</v>
      </c>
      <c r="G68" s="27" t="s">
        <v>33</v>
      </c>
      <c r="H68" s="46">
        <f>D68*C68</f>
        <v>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0.15164104711308649</v>
      </c>
      <c r="E69" s="92">
        <f>247947968</f>
        <v>247947968</v>
      </c>
      <c r="F69" s="58">
        <f>E69/C69*100%</f>
        <v>0.15164104711308649</v>
      </c>
      <c r="G69" s="27" t="s">
        <v>33</v>
      </c>
      <c r="H69" s="46">
        <f>D69*C69</f>
        <v>247947967.99999997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3.7109894097162248E-2</v>
      </c>
      <c r="E71" s="63">
        <f>SUM(E72:E78)</f>
        <v>180071500</v>
      </c>
      <c r="F71" s="49">
        <f>E71/C71*100%</f>
        <v>3.7109894097162248E-2</v>
      </c>
      <c r="G71" s="18" t="s">
        <v>0</v>
      </c>
      <c r="H71" s="63">
        <f>SUM(H72:H78)</f>
        <v>180071500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>
        <f>E74/C74*100%</f>
        <v>0.30849459459459461</v>
      </c>
      <c r="E74" s="92">
        <f>57071500</f>
        <v>57071500</v>
      </c>
      <c r="F74" s="58">
        <f>E74/C74*100%</f>
        <v>0.30849459459459461</v>
      </c>
      <c r="G74" s="27" t="s">
        <v>33</v>
      </c>
      <c r="H74" s="46">
        <f>D74*C74</f>
        <v>57071500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2905640000</v>
      </c>
      <c r="D77" s="97">
        <f t="shared" ref="D77:D78" si="7">E77/C77*100%</f>
        <v>0</v>
      </c>
      <c r="E77" s="92"/>
      <c r="F77" s="58">
        <f>E77/C77*100%</f>
        <v>0</v>
      </c>
      <c r="G77" s="27" t="s">
        <v>33</v>
      </c>
      <c r="H77" s="46">
        <f>D77*C77</f>
        <v>0</v>
      </c>
    </row>
    <row r="78" spans="1:8" x14ac:dyDescent="0.25">
      <c r="A78" s="28" t="s">
        <v>105</v>
      </c>
      <c r="B78" s="28" t="s">
        <v>41</v>
      </c>
      <c r="C78" s="108">
        <v>1761745176</v>
      </c>
      <c r="D78" s="97">
        <f t="shared" si="7"/>
        <v>6.9817134552494442E-2</v>
      </c>
      <c r="E78" s="92">
        <f>123000000</f>
        <v>123000000</v>
      </c>
      <c r="F78" s="58">
        <f>E78/C78*100%</f>
        <v>6.9817134552494442E-2</v>
      </c>
      <c r="G78" s="27" t="s">
        <v>33</v>
      </c>
      <c r="H78" s="46">
        <f>D78*C78</f>
        <v>123000000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4.3859994170686319E-2</v>
      </c>
      <c r="E80" s="63">
        <f>SUM(E81:E87)</f>
        <v>183087000</v>
      </c>
      <c r="F80" s="49">
        <f>E80/C80*100%</f>
        <v>4.3859994170686319E-2</v>
      </c>
      <c r="G80" s="18" t="s">
        <v>0</v>
      </c>
      <c r="H80" s="63">
        <f>SUM(H81:H87)</f>
        <v>183087000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>
        <f>E83/C83*100%</f>
        <v>0.42209189189189189</v>
      </c>
      <c r="E83" s="92">
        <f>78087000</f>
        <v>78087000</v>
      </c>
      <c r="F83" s="58">
        <f>E83/C83*100%</f>
        <v>0.42209189189189189</v>
      </c>
      <c r="G83" s="27" t="s">
        <v>33</v>
      </c>
      <c r="H83" s="46">
        <f>D83*C83</f>
        <v>78087000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</v>
      </c>
      <c r="E86" s="92"/>
      <c r="F86" s="58">
        <f>E86/C86*100%</f>
        <v>0</v>
      </c>
      <c r="G86" s="27" t="s">
        <v>33</v>
      </c>
      <c r="H86" s="46">
        <f>D86*C86</f>
        <v>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6.9607840563519624E-2</v>
      </c>
      <c r="E87" s="92">
        <f>105000000</f>
        <v>105000000</v>
      </c>
      <c r="F87" s="58">
        <f>E87/C87*100%</f>
        <v>6.9607840563519624E-2</v>
      </c>
      <c r="G87" s="27" t="s">
        <v>33</v>
      </c>
      <c r="H87" s="46">
        <f>D87*C87</f>
        <v>105000000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3.5467135937575889E-2</v>
      </c>
      <c r="E89" s="63">
        <f>SUM(E90:E96)</f>
        <v>199960000</v>
      </c>
      <c r="F89" s="49">
        <f>E89/C89*100%</f>
        <v>3.5467135937575889E-2</v>
      </c>
      <c r="G89" s="18" t="s">
        <v>0</v>
      </c>
      <c r="H89" s="63">
        <f>SUM(H90:H96)</f>
        <v>199960000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>
        <f>E92/C92*100%</f>
        <v>0.30248648648648646</v>
      </c>
      <c r="E92" s="92">
        <f>55960000</f>
        <v>55960000</v>
      </c>
      <c r="F92" s="58">
        <f>E92/C92*100%</f>
        <v>0.30248648648648646</v>
      </c>
      <c r="G92" s="27" t="s">
        <v>33</v>
      </c>
      <c r="H92" s="46">
        <f>D92*C92</f>
        <v>55959999.999999993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</v>
      </c>
      <c r="E95" s="92"/>
      <c r="F95" s="58">
        <f>E95/C95*100%</f>
        <v>0</v>
      </c>
      <c r="G95" s="27" t="s">
        <v>33</v>
      </c>
      <c r="H95" s="46">
        <f>D95*C95</f>
        <v>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6.9996173075897367E-2</v>
      </c>
      <c r="E96" s="92">
        <f>144000000</f>
        <v>144000000</v>
      </c>
      <c r="F96" s="58">
        <f>E96/C96*100%</f>
        <v>6.9996173075897367E-2</v>
      </c>
      <c r="G96" s="27" t="s">
        <v>33</v>
      </c>
      <c r="H96" s="46">
        <f>D96*C96</f>
        <v>144000000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7.7417936424321432E-2</v>
      </c>
      <c r="E98" s="63">
        <f>SUM(E99:E105)</f>
        <v>192490000</v>
      </c>
      <c r="F98" s="49">
        <f>E98/C98*100%</f>
        <v>7.7417936424321432E-2</v>
      </c>
      <c r="G98" s="18" t="s">
        <v>0</v>
      </c>
      <c r="H98" s="63">
        <f>SUM(H99:H105)</f>
        <v>192490000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>
        <f>E101/C101*100%</f>
        <v>0.71616216216216211</v>
      </c>
      <c r="E101" s="92">
        <f>132490000</f>
        <v>132490000</v>
      </c>
      <c r="F101" s="58">
        <f>E101/C101*100%</f>
        <v>0.71616216216216211</v>
      </c>
      <c r="G101" s="27" t="s">
        <v>33</v>
      </c>
      <c r="H101" s="46">
        <f>D101*C101</f>
        <v>132489999.99999999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0</v>
      </c>
      <c r="E104" s="92"/>
      <c r="F104" s="58">
        <f>E104/C104*100%</f>
        <v>0</v>
      </c>
      <c r="G104" s="27" t="s">
        <v>33</v>
      </c>
      <c r="H104" s="46">
        <f>D104*C104</f>
        <v>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6.8927906372743375E-2</v>
      </c>
      <c r="E105" s="92">
        <f>60000000</f>
        <v>60000000</v>
      </c>
      <c r="F105" s="58">
        <f>E105/C105*100%</f>
        <v>6.8927906372743375E-2</v>
      </c>
      <c r="G105" s="27" t="s">
        <v>33</v>
      </c>
      <c r="H105" s="46">
        <f>D105*C105</f>
        <v>60000000.000000007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3.3665276068023046E-2</v>
      </c>
      <c r="E107" s="63">
        <f>SUM(E108:E114)</f>
        <v>322344550</v>
      </c>
      <c r="F107" s="49">
        <f>E107/C107*100%</f>
        <v>3.3665276068023046E-2</v>
      </c>
      <c r="G107" s="18" t="s">
        <v>0</v>
      </c>
      <c r="H107" s="63">
        <f>SUM(H108:H114)</f>
        <v>322344550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97">
        <f>E110/C110*100%</f>
        <v>0.39645702702702701</v>
      </c>
      <c r="E110" s="89">
        <f>73344550</f>
        <v>73344550</v>
      </c>
      <c r="F110" s="58">
        <f>E110/C110*100%</f>
        <v>0.39645702702702701</v>
      </c>
      <c r="G110" s="27" t="s">
        <v>33</v>
      </c>
      <c r="H110" s="46">
        <f>D110*C110</f>
        <v>73344550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</v>
      </c>
      <c r="E113" s="92"/>
      <c r="F113" s="58">
        <f>E113/C113*100%</f>
        <v>0</v>
      </c>
      <c r="G113" s="27" t="s">
        <v>33</v>
      </c>
      <c r="H113" s="46">
        <f>D113*C113</f>
        <v>0</v>
      </c>
    </row>
    <row r="114" spans="1:8" x14ac:dyDescent="0.25">
      <c r="A114" s="28" t="s">
        <v>105</v>
      </c>
      <c r="B114" s="28" t="s">
        <v>41</v>
      </c>
      <c r="C114" s="108">
        <v>3539546088</v>
      </c>
      <c r="D114" s="97">
        <f t="shared" si="11"/>
        <v>7.0348003334149548E-2</v>
      </c>
      <c r="E114" s="89">
        <f>249000000</f>
        <v>249000000</v>
      </c>
      <c r="F114" s="58">
        <f>E114/C114*100%</f>
        <v>7.0348003334149548E-2</v>
      </c>
      <c r="G114" s="27" t="s">
        <v>33</v>
      </c>
      <c r="H114" s="46">
        <f>D114*C114</f>
        <v>249000000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April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24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24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E130/C130*100%</f>
        <v>0.12433278979608423</v>
      </c>
      <c r="E130" s="74">
        <f>E132+E144+E150+E156+E162+E168+E174+E180</f>
        <v>6463490121</v>
      </c>
      <c r="F130" s="42">
        <f>E130/C130*100%</f>
        <v>0.12433278979608423</v>
      </c>
      <c r="G130" s="15" t="s">
        <v>1</v>
      </c>
      <c r="H130" s="43">
        <f>H132+H144+H150+H156+H162+H168+H174+H180</f>
        <v>6463490121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0.30120099199412814</v>
      </c>
      <c r="E132" s="48">
        <f>SUM(E133:E142)</f>
        <v>4707491853</v>
      </c>
      <c r="F132" s="49">
        <f>E132/C132*100%</f>
        <v>0.30120099199412814</v>
      </c>
      <c r="G132" s="18" t="s">
        <v>0</v>
      </c>
      <c r="H132" s="48">
        <f>SUM(H133:H142)</f>
        <v>4707491853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2.3099999999999999E-2</v>
      </c>
      <c r="E134" s="37">
        <f>SUM(E14:E20)</f>
        <v>2310000</v>
      </c>
      <c r="F134" s="58">
        <f>E134/C134*100%</f>
        <v>2.3099999999999999E-2</v>
      </c>
      <c r="G134" s="27" t="s">
        <v>61</v>
      </c>
      <c r="H134" s="37">
        <f>SUM(H14:H20)</f>
        <v>2310000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13">H135/C135*100%</f>
        <v>0.31189713734730135</v>
      </c>
      <c r="E135" s="77">
        <f>SUM(E22:E24)</f>
        <v>4247125764</v>
      </c>
      <c r="F135" s="58">
        <f t="shared" ref="F135:F142" si="14">E135/C135*100%</f>
        <v>0.31189713734730135</v>
      </c>
      <c r="G135" s="27" t="s">
        <v>61</v>
      </c>
      <c r="H135" s="77">
        <f>SUM(H22:H24)</f>
        <v>4247125764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13"/>
        <v>0.16667954032911411</v>
      </c>
      <c r="E137" s="77">
        <f>SUM(E30:E36)</f>
        <v>41086190</v>
      </c>
      <c r="F137" s="58">
        <f t="shared" si="14"/>
        <v>0.16667954032911411</v>
      </c>
      <c r="G137" s="27" t="s">
        <v>61</v>
      </c>
      <c r="H137" s="77">
        <f>SUM(H30:H36)</f>
        <v>41086190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13"/>
        <v>0.2721092367917472</v>
      </c>
      <c r="E139" s="77">
        <f>SUM(E42:E43)</f>
        <v>70032074</v>
      </c>
      <c r="F139" s="58">
        <f t="shared" si="14"/>
        <v>0.2721092367917472</v>
      </c>
      <c r="G139" s="27" t="s">
        <v>61</v>
      </c>
      <c r="H139" s="77">
        <f>SUM(H42:H43)</f>
        <v>70032074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13"/>
        <v>0.14250069130598739</v>
      </c>
      <c r="E140" s="77">
        <f>SUM(E45:E48)</f>
        <v>47939225</v>
      </c>
      <c r="F140" s="58">
        <f t="shared" si="14"/>
        <v>0.14250069130598739</v>
      </c>
      <c r="G140" s="27" t="s">
        <v>61</v>
      </c>
      <c r="H140" s="77">
        <f>SUM(H45:H48)</f>
        <v>47939225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13"/>
        <v>0.27898947486283732</v>
      </c>
      <c r="E142" s="77">
        <f>SUM(E51)</f>
        <v>298998600</v>
      </c>
      <c r="F142" s="58">
        <f t="shared" si="14"/>
        <v>0.27898947486283732</v>
      </c>
      <c r="G142" s="27" t="s">
        <v>61</v>
      </c>
      <c r="H142" s="77">
        <f>SUM(H51)</f>
        <v>298998600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4.5927961590802688E-2</v>
      </c>
      <c r="E144" s="48">
        <f>SUM(E145:E148)</f>
        <v>228014000</v>
      </c>
      <c r="F144" s="49">
        <f>E144/C144*100%</f>
        <v>4.5927961590802688E-2</v>
      </c>
      <c r="G144" s="18" t="s">
        <v>0</v>
      </c>
      <c r="H144" s="48">
        <f>SUM(H145:H148)</f>
        <v>228014000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0.55142702702702706</v>
      </c>
      <c r="E146" s="37">
        <f>SUM(E56)</f>
        <v>102014000</v>
      </c>
      <c r="F146" s="58">
        <f>E146/C146*100%</f>
        <v>0.55142702702702706</v>
      </c>
      <c r="G146" s="27" t="s">
        <v>61</v>
      </c>
      <c r="H146" s="37">
        <f>SUM(H56)</f>
        <v>102014000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2.6362033634158788E-2</v>
      </c>
      <c r="E148" s="77">
        <f>SUM(E59:E60)</f>
        <v>126000000</v>
      </c>
      <c r="F148" s="58">
        <f>E148/C148*100%</f>
        <v>2.6362033634158785E-2</v>
      </c>
      <c r="G148" s="27" t="s">
        <v>61</v>
      </c>
      <c r="H148" s="77">
        <f>SUM(H59:H60)</f>
        <v>126000000.00000001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9.6454456098165525E-2</v>
      </c>
      <c r="E150" s="48">
        <f>SUM(E151:E154)</f>
        <v>450031218</v>
      </c>
      <c r="F150" s="49">
        <f>E150/C150*100%</f>
        <v>9.6454456098165525E-2</v>
      </c>
      <c r="G150" s="18" t="s">
        <v>0</v>
      </c>
      <c r="H150" s="48">
        <f>SUM(H151:H154)</f>
        <v>450031218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0.60323358208955224</v>
      </c>
      <c r="E152" s="37">
        <f>SUM(E65)</f>
        <v>202083250</v>
      </c>
      <c r="F152" s="58">
        <f>E152/C152*100%</f>
        <v>0.60323358208955224</v>
      </c>
      <c r="G152" s="27" t="s">
        <v>61</v>
      </c>
      <c r="H152" s="37">
        <f>SUM(H65)</f>
        <v>202083250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5.7253052443278177E-2</v>
      </c>
      <c r="E154" s="77">
        <f>SUM(E68:E69)</f>
        <v>247947968</v>
      </c>
      <c r="F154" s="58">
        <f>E154/C154*100%</f>
        <v>5.7253052443278184E-2</v>
      </c>
      <c r="G154" s="27" t="s">
        <v>61</v>
      </c>
      <c r="H154" s="77">
        <f>SUM(H68:H69)</f>
        <v>247947967.99999997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3.7109894097162248E-2</v>
      </c>
      <c r="E156" s="48">
        <f>SUM(E157:E160)</f>
        <v>180071500</v>
      </c>
      <c r="F156" s="49">
        <f>E156/C156*100%</f>
        <v>3.7109894097162248E-2</v>
      </c>
      <c r="G156" s="18" t="s">
        <v>0</v>
      </c>
      <c r="H156" s="48">
        <f>SUM(H157:H160)</f>
        <v>180071500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0.30849459459459461</v>
      </c>
      <c r="E158" s="37">
        <f>SUM(E74)</f>
        <v>57071500</v>
      </c>
      <c r="F158" s="58">
        <f>E158/C158*100%</f>
        <v>0.30849459459459461</v>
      </c>
      <c r="G158" s="27" t="s">
        <v>61</v>
      </c>
      <c r="H158" s="37">
        <f>SUM(H74)</f>
        <v>57071500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2.6353085370471253E-2</v>
      </c>
      <c r="E160" s="77">
        <f>SUM(E77:E78)</f>
        <v>123000000</v>
      </c>
      <c r="F160" s="58">
        <f>E160/C160*100%</f>
        <v>2.6353085370471253E-2</v>
      </c>
      <c r="G160" s="27" t="s">
        <v>61</v>
      </c>
      <c r="H160" s="77">
        <f>SUM(H77:H78)</f>
        <v>123000000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4.3859994170686319E-2</v>
      </c>
      <c r="E162" s="48">
        <f>SUM(E163:E166)</f>
        <v>183087000</v>
      </c>
      <c r="F162" s="49">
        <f>E162/C162*100%</f>
        <v>4.3859994170686319E-2</v>
      </c>
      <c r="G162" s="18" t="s">
        <v>0</v>
      </c>
      <c r="H162" s="48">
        <f>SUM(H163:H166)</f>
        <v>183087000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0.42209189189189189</v>
      </c>
      <c r="E164" s="37">
        <f>SUM(E83)</f>
        <v>78087000</v>
      </c>
      <c r="F164" s="58">
        <f>E164/C164*100%</f>
        <v>0.42209189189189189</v>
      </c>
      <c r="G164" s="27" t="s">
        <v>61</v>
      </c>
      <c r="H164" s="37">
        <f>SUM(H83)</f>
        <v>78087000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2.6320072191395875E-2</v>
      </c>
      <c r="E166" s="77">
        <f>SUM(E86:E87)</f>
        <v>105000000</v>
      </c>
      <c r="F166" s="58">
        <f>E166/C166*100%</f>
        <v>2.6320072191395875E-2</v>
      </c>
      <c r="G166" s="27" t="s">
        <v>61</v>
      </c>
      <c r="H166" s="77">
        <f>SUM(H86:H87)</f>
        <v>105000000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3.5467135937575889E-2</v>
      </c>
      <c r="E168" s="48">
        <f>SUM(E169:E172)</f>
        <v>199960000</v>
      </c>
      <c r="F168" s="49">
        <f>E168/C168*100%</f>
        <v>3.5467135937575889E-2</v>
      </c>
      <c r="G168" s="18" t="s">
        <v>0</v>
      </c>
      <c r="H168" s="48">
        <f>SUM(H169:H172)</f>
        <v>199960000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0.30248648648648646</v>
      </c>
      <c r="E170" s="37">
        <f>SUM(E92)</f>
        <v>55960000</v>
      </c>
      <c r="F170" s="58">
        <f>E170/C170*100%</f>
        <v>0.30248648648648646</v>
      </c>
      <c r="G170" s="27" t="s">
        <v>61</v>
      </c>
      <c r="H170" s="37">
        <f>SUM(H92)</f>
        <v>55959999.999999993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2.6407989029346723E-2</v>
      </c>
      <c r="E172" s="77">
        <f>SUM(E95:E96)</f>
        <v>144000000</v>
      </c>
      <c r="F172" s="58">
        <f>E172/C172*100%</f>
        <v>2.6407989029346723E-2</v>
      </c>
      <c r="G172" s="27" t="s">
        <v>61</v>
      </c>
      <c r="H172" s="77">
        <f>SUM(H95:H96)</f>
        <v>144000000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7.7417936424321432E-2</v>
      </c>
      <c r="E174" s="48">
        <f>SUM(E175:E178)</f>
        <v>192490000</v>
      </c>
      <c r="F174" s="49">
        <f>E174/C174*100%</f>
        <v>7.7417936424321432E-2</v>
      </c>
      <c r="G174" s="18" t="s">
        <v>0</v>
      </c>
      <c r="H174" s="48">
        <f>SUM(H175:H178)</f>
        <v>192490000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0.71616216216216211</v>
      </c>
      <c r="E176" s="37">
        <f>SUM(E101)</f>
        <v>132490000</v>
      </c>
      <c r="F176" s="58">
        <f>E176/C176*100%</f>
        <v>0.71616216216216211</v>
      </c>
      <c r="G176" s="27" t="s">
        <v>61</v>
      </c>
      <c r="H176" s="37">
        <f>SUM(H101)</f>
        <v>132489999.99999999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2.6071373548415447E-2</v>
      </c>
      <c r="E178" s="77">
        <f>SUM(E104:E105)</f>
        <v>60000000</v>
      </c>
      <c r="F178" s="58">
        <f>E178/C178*100%</f>
        <v>2.6071373548415443E-2</v>
      </c>
      <c r="G178" s="27" t="s">
        <v>61</v>
      </c>
      <c r="H178" s="77">
        <f>SUM(H104:H105)</f>
        <v>60000000.000000007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3.3665276068023046E-2</v>
      </c>
      <c r="E180" s="48">
        <f>SUM(E181:E184)</f>
        <v>322344550</v>
      </c>
      <c r="F180" s="49">
        <f>E180/C180*100%</f>
        <v>3.3665276068023046E-2</v>
      </c>
      <c r="G180" s="18" t="s">
        <v>0</v>
      </c>
      <c r="H180" s="48">
        <f>SUM(H181:H184)</f>
        <v>322344550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0.39645702702702701</v>
      </c>
      <c r="E182" s="37">
        <f>SUM(E110)</f>
        <v>73344550</v>
      </c>
      <c r="F182" s="58">
        <f>E182/C182*100%</f>
        <v>0.39645702702702701</v>
      </c>
      <c r="G182" s="27" t="s">
        <v>61</v>
      </c>
      <c r="H182" s="37">
        <f>SUM(H110)</f>
        <v>73344550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2.6517611172844156E-2</v>
      </c>
      <c r="E184" s="77">
        <f>SUM(E112:E114)</f>
        <v>249000000</v>
      </c>
      <c r="F184" s="58">
        <f>E184/C184*100%</f>
        <v>2.6517611172844156E-2</v>
      </c>
      <c r="G184" s="27" t="s">
        <v>61</v>
      </c>
      <c r="H184" s="77">
        <f>SUM(H112:H114)</f>
        <v>249000000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April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24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24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0.12433278979608423</v>
      </c>
      <c r="E196" s="74">
        <f>E198+E202+E206+E210+E214+E218+E222+E226</f>
        <v>6463490121</v>
      </c>
      <c r="F196" s="42">
        <f>E196/C196*100%</f>
        <v>0.12433278979608423</v>
      </c>
      <c r="G196" s="15" t="s">
        <v>1</v>
      </c>
      <c r="H196" s="43">
        <f>H198+H202+H206+H210+H214+H218+H222+H226</f>
        <v>6463490121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0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0.30120099199412814</v>
      </c>
      <c r="E198" s="48">
        <f>SUM(E199:E200)</f>
        <v>4707491853</v>
      </c>
      <c r="F198" s="49">
        <f>E198/C198*100%</f>
        <v>0.30120099199412814</v>
      </c>
      <c r="G198" s="18" t="s">
        <v>0</v>
      </c>
      <c r="H198" s="48">
        <f>SUM(H199:H200)</f>
        <v>4707491853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0.30283621575498859</v>
      </c>
      <c r="E199" s="37">
        <f>SUM(E134:E140)</f>
        <v>4408493253</v>
      </c>
      <c r="F199" s="58">
        <f>E199/C199*100%</f>
        <v>0.30283621575498859</v>
      </c>
      <c r="G199" s="27" t="s">
        <v>32</v>
      </c>
      <c r="H199" s="37">
        <f>SUM(H134:H140)</f>
        <v>4408493253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0.27898947486283732</v>
      </c>
      <c r="E200" s="77">
        <f>SUM(E142)</f>
        <v>298998600</v>
      </c>
      <c r="F200" s="58">
        <f>E200/C200*100%</f>
        <v>0.27898947486283732</v>
      </c>
      <c r="G200" s="27" t="s">
        <v>32</v>
      </c>
      <c r="H200" s="77">
        <f>SUM(H142)</f>
        <v>298998600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4.5927961590802688E-2</v>
      </c>
      <c r="E202" s="88">
        <f>SUM(E203:E204)</f>
        <v>228014000</v>
      </c>
      <c r="F202" s="49">
        <f>E202/C202*100%</f>
        <v>4.5927961590802688E-2</v>
      </c>
      <c r="G202" s="18" t="s">
        <v>0</v>
      </c>
      <c r="H202" s="43">
        <f>SUM(H203:H204)</f>
        <v>228014000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0.55142702702702706</v>
      </c>
      <c r="E203" s="37">
        <f>SUM(E146)</f>
        <v>102014000</v>
      </c>
      <c r="F203" s="58">
        <f>E203/C203*100%</f>
        <v>0.55142702702702706</v>
      </c>
      <c r="G203" s="27" t="s">
        <v>32</v>
      </c>
      <c r="H203" s="37">
        <f>SUM(H146)</f>
        <v>102014000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2.6362033634158788E-2</v>
      </c>
      <c r="E204" s="77">
        <f>SUM(E148:E148)</f>
        <v>126000000</v>
      </c>
      <c r="F204" s="58">
        <f>E204/C204*100%</f>
        <v>2.6362033634158785E-2</v>
      </c>
      <c r="G204" s="27" t="s">
        <v>32</v>
      </c>
      <c r="H204" s="77">
        <f>SUM(H148:H148)</f>
        <v>126000000.00000001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9.6454456098165525E-2</v>
      </c>
      <c r="E206" s="88">
        <f>SUM(E207:E209)</f>
        <v>450031218</v>
      </c>
      <c r="F206" s="49">
        <f>E206/C206*100%</f>
        <v>9.6454456098165525E-2</v>
      </c>
      <c r="G206" s="18" t="s">
        <v>0</v>
      </c>
      <c r="H206" s="43">
        <f>SUM(H207:H209)</f>
        <v>450031218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0.60323358208955224</v>
      </c>
      <c r="E207" s="37">
        <f>SUM(E152)</f>
        <v>202083250</v>
      </c>
      <c r="F207" s="58">
        <f>E207/C207*100%</f>
        <v>0.60323358208955224</v>
      </c>
      <c r="G207" s="27" t="s">
        <v>32</v>
      </c>
      <c r="H207" s="37">
        <f>SUM(H152)</f>
        <v>202083250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5.7253052443278177E-2</v>
      </c>
      <c r="E208" s="77">
        <f>SUM(E154:E154)</f>
        <v>247947968</v>
      </c>
      <c r="F208" s="58">
        <f>E208/C208*100%</f>
        <v>5.7253052443278184E-2</v>
      </c>
      <c r="G208" s="27" t="s">
        <v>32</v>
      </c>
      <c r="H208" s="77">
        <f>SUM(H154:H154)</f>
        <v>247947967.99999997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3.7109894097162248E-2</v>
      </c>
      <c r="E210" s="88">
        <f>SUM(E211:E212)</f>
        <v>180071500</v>
      </c>
      <c r="F210" s="49">
        <f>E210/C210*100%</f>
        <v>3.7109894097162248E-2</v>
      </c>
      <c r="G210" s="18" t="s">
        <v>0</v>
      </c>
      <c r="H210" s="43">
        <f>SUM(H211:H212)</f>
        <v>180071500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0.30849459459459461</v>
      </c>
      <c r="E211" s="37">
        <f>SUM(E158)</f>
        <v>57071500</v>
      </c>
      <c r="F211" s="58">
        <f>E211/C211*100%</f>
        <v>0.30849459459459461</v>
      </c>
      <c r="G211" s="27" t="s">
        <v>32</v>
      </c>
      <c r="H211" s="37">
        <f>SUM(H158)</f>
        <v>57071500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2.6353085370471253E-2</v>
      </c>
      <c r="E212" s="77">
        <f>SUM(E160:E160)</f>
        <v>123000000</v>
      </c>
      <c r="F212" s="58">
        <f>E212/C212*100%</f>
        <v>2.6353085370471253E-2</v>
      </c>
      <c r="G212" s="27" t="s">
        <v>32</v>
      </c>
      <c r="H212" s="77">
        <f>SUM(H160:H160)</f>
        <v>123000000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4.3859994170686319E-2</v>
      </c>
      <c r="E214" s="88">
        <f>SUM(E215:E216)</f>
        <v>183087000</v>
      </c>
      <c r="F214" s="49">
        <f>E214/C214*100%</f>
        <v>4.3859994170686319E-2</v>
      </c>
      <c r="G214" s="18" t="s">
        <v>0</v>
      </c>
      <c r="H214" s="43">
        <f>SUM(H215:H216)</f>
        <v>183087000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0.42209189189189189</v>
      </c>
      <c r="E215" s="37">
        <f>SUM(E164)</f>
        <v>78087000</v>
      </c>
      <c r="F215" s="58">
        <f>E215/C215*100%</f>
        <v>0.42209189189189189</v>
      </c>
      <c r="G215" s="27" t="s">
        <v>32</v>
      </c>
      <c r="H215" s="37">
        <f>SUM(H164)</f>
        <v>78087000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2.6320072191395875E-2</v>
      </c>
      <c r="E216" s="77">
        <f>SUM(E166:E166)</f>
        <v>105000000</v>
      </c>
      <c r="F216" s="58">
        <f>E216/C216*100%</f>
        <v>2.6320072191395875E-2</v>
      </c>
      <c r="G216" s="27" t="s">
        <v>32</v>
      </c>
      <c r="H216" s="77">
        <f>SUM(H166:H166)</f>
        <v>105000000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3.5467135937575889E-2</v>
      </c>
      <c r="E218" s="88">
        <f>SUM(E219:E220)</f>
        <v>199960000</v>
      </c>
      <c r="F218" s="49">
        <f>E218/C218*100%</f>
        <v>3.5467135937575889E-2</v>
      </c>
      <c r="G218" s="18" t="s">
        <v>0</v>
      </c>
      <c r="H218" s="43">
        <f>SUM(H219:H220)</f>
        <v>199960000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0.30248648648648646</v>
      </c>
      <c r="E219" s="37">
        <f>SUM(E170)</f>
        <v>55960000</v>
      </c>
      <c r="F219" s="58">
        <f>E219/C219*100%</f>
        <v>0.30248648648648646</v>
      </c>
      <c r="G219" s="27" t="s">
        <v>32</v>
      </c>
      <c r="H219" s="37">
        <f>SUM(H170)</f>
        <v>55959999.999999993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2.6407989029346723E-2</v>
      </c>
      <c r="E220" s="77">
        <f>SUM(E172:E172)</f>
        <v>144000000</v>
      </c>
      <c r="F220" s="58">
        <f>E220/C220*100%</f>
        <v>2.6407989029346723E-2</v>
      </c>
      <c r="G220" s="27" t="s">
        <v>32</v>
      </c>
      <c r="H220" s="77">
        <f>SUM(H172:H172)</f>
        <v>144000000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7.7417936424321432E-2</v>
      </c>
      <c r="E222" s="88">
        <f>SUM(E223:E224)</f>
        <v>192490000</v>
      </c>
      <c r="F222" s="49">
        <f>E222/C222*100%</f>
        <v>7.7417936424321432E-2</v>
      </c>
      <c r="G222" s="18" t="s">
        <v>0</v>
      </c>
      <c r="H222" s="43">
        <f>SUM(H223:H224)</f>
        <v>192490000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0.71616216216216211</v>
      </c>
      <c r="E223" s="37">
        <f>SUM(E176)</f>
        <v>132490000</v>
      </c>
      <c r="F223" s="58">
        <f>E223/C223*100%</f>
        <v>0.71616216216216211</v>
      </c>
      <c r="G223" s="27" t="s">
        <v>32</v>
      </c>
      <c r="H223" s="37">
        <f>SUM(H176)</f>
        <v>132489999.99999999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2.6071373548415447E-2</v>
      </c>
      <c r="E224" s="77">
        <f>SUM(E178:E178)</f>
        <v>60000000</v>
      </c>
      <c r="F224" s="58">
        <f>E224/C224*100%</f>
        <v>2.6071373548415443E-2</v>
      </c>
      <c r="G224" s="27" t="s">
        <v>32</v>
      </c>
      <c r="H224" s="77">
        <f>SUM(H178:H178)</f>
        <v>60000000.000000007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3.3665276068023046E-2</v>
      </c>
      <c r="E226" s="88">
        <f>SUM(E227:E228)</f>
        <v>322344550</v>
      </c>
      <c r="F226" s="49">
        <f>E226/C226*100%</f>
        <v>3.3665276068023046E-2</v>
      </c>
      <c r="G226" s="18" t="s">
        <v>0</v>
      </c>
      <c r="H226" s="43">
        <f>SUM(H227:H228)</f>
        <v>322344550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0.39645702702702701</v>
      </c>
      <c r="E227" s="37">
        <f>SUM(E182)</f>
        <v>73344550</v>
      </c>
      <c r="F227" s="58">
        <f>E227/C227*100%</f>
        <v>0.39645702702702701</v>
      </c>
      <c r="G227" s="27" t="s">
        <v>32</v>
      </c>
      <c r="H227" s="37">
        <f>SUM(H182)</f>
        <v>73344550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2.6517611172844156E-2</v>
      </c>
      <c r="E228" s="77">
        <f>SUM(E184:E184)</f>
        <v>249000000</v>
      </c>
      <c r="F228" s="58">
        <f>E228/C228*100%</f>
        <v>2.6517611172844156E-2</v>
      </c>
      <c r="G228" s="27" t="s">
        <v>32</v>
      </c>
      <c r="H228" s="77">
        <f>SUM(H184:H184)</f>
        <v>249000000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April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24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24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0.12433278979608423</v>
      </c>
      <c r="E240" s="14">
        <f>SUM(E242:E244)</f>
        <v>6463490121</v>
      </c>
      <c r="F240" s="42">
        <f>E240/C240*100%</f>
        <v>0.12433278979608423</v>
      </c>
      <c r="G240" s="15" t="s">
        <v>1</v>
      </c>
      <c r="H240" s="14">
        <f>SUM(H242:H244)</f>
        <v>6463490121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0.30283621575498859</v>
      </c>
      <c r="E242" s="37">
        <f>E199</f>
        <v>4408493253</v>
      </c>
      <c r="F242" s="58">
        <f>E242/C242*100%</f>
        <v>0.30283621575498859</v>
      </c>
      <c r="G242" s="27" t="s">
        <v>32</v>
      </c>
      <c r="H242" s="37">
        <f>H199</f>
        <v>4408493253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17">H243/C243*100%</f>
        <v>0.39736200292444135</v>
      </c>
      <c r="E243" s="77">
        <f>E200+E203+E207+E211+E215+E219+E223+E227</f>
        <v>1000048900</v>
      </c>
      <c r="F243" s="58">
        <f t="shared" ref="F243:F244" si="18">E243/C243*100%</f>
        <v>0.39736200292444135</v>
      </c>
      <c r="G243" s="27" t="s">
        <v>32</v>
      </c>
      <c r="H243" s="77">
        <f>H200+H203+H207+H211+H215+H219+H223+H227</f>
        <v>1000048900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17"/>
        <v>3.0217924646025681E-2</v>
      </c>
      <c r="E244" s="77">
        <f>E204+E208+E212+E216+E220+E224+E228</f>
        <v>1054947968</v>
      </c>
      <c r="F244" s="58">
        <f t="shared" si="18"/>
        <v>3.0217924646025681E-2</v>
      </c>
      <c r="G244" s="27" t="s">
        <v>32</v>
      </c>
      <c r="H244" s="77">
        <f>H204+H208+H212+H216+H220+H224+H228</f>
        <v>1054947968</v>
      </c>
    </row>
  </sheetData>
  <mergeCells count="32">
    <mergeCell ref="A2:G2"/>
    <mergeCell ref="B5:G5"/>
    <mergeCell ref="A6:A8"/>
    <mergeCell ref="B6:B8"/>
    <mergeCell ref="C6:C8"/>
    <mergeCell ref="D6:F6"/>
    <mergeCell ref="G6:G8"/>
    <mergeCell ref="E7:F7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233:G233"/>
    <mergeCell ref="B236:G236"/>
    <mergeCell ref="A237:A239"/>
    <mergeCell ref="B237:B239"/>
    <mergeCell ref="C237:C238"/>
    <mergeCell ref="D237:F237"/>
    <mergeCell ref="G237:G239"/>
    <mergeCell ref="E238:F2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topLeftCell="A34" workbookViewId="0">
      <selection activeCell="F121" sqref="F121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137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25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E9/C9*100%</f>
        <v>0.17572620471108027</v>
      </c>
      <c r="E9" s="40">
        <f>E11+E53+E62+E71+E80+E89+E98+E107</f>
        <v>9135197481</v>
      </c>
      <c r="F9" s="42">
        <f>E9/C9*100%</f>
        <v>0.17572620471108027</v>
      </c>
      <c r="G9" s="15" t="s">
        <v>1</v>
      </c>
      <c r="H9" s="43">
        <v>9135197481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15629071544</v>
      </c>
      <c r="D11" s="49">
        <f>H11/C11*100%</f>
        <v>0.37831525822593676</v>
      </c>
      <c r="E11" s="48">
        <f>SUM(E14:E51)</f>
        <v>5912716237</v>
      </c>
      <c r="F11" s="49">
        <f>E11/C11*100%</f>
        <v>0.37831525822593676</v>
      </c>
      <c r="G11" s="18" t="s">
        <v>0</v>
      </c>
      <c r="H11" s="48">
        <v>5912716237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4.6199999999999998E-2</v>
      </c>
      <c r="E14" s="92">
        <f>2310000</f>
        <v>2310000</v>
      </c>
      <c r="F14" s="58">
        <f>E14/C14*100%</f>
        <v>4.6199999999999998E-2</v>
      </c>
      <c r="G14" s="27" t="s">
        <v>33</v>
      </c>
      <c r="H14" s="46">
        <f t="shared" ref="H14:H20" si="0">D14*C14</f>
        <v>2310000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si="0"/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</v>
      </c>
      <c r="E19" s="92"/>
      <c r="F19" s="58">
        <f>E19/C19*100%</f>
        <v>0</v>
      </c>
      <c r="G19" s="27" t="s">
        <v>33</v>
      </c>
      <c r="H19" s="46">
        <f t="shared" si="0"/>
        <v>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</v>
      </c>
      <c r="E20" s="92"/>
      <c r="F20" s="58">
        <f>E20/C20*100%</f>
        <v>0</v>
      </c>
      <c r="G20" s="27" t="s">
        <v>33</v>
      </c>
      <c r="H20" s="46">
        <f t="shared" si="0"/>
        <v>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11713143962</v>
      </c>
      <c r="D22" s="97">
        <f>E22/C22*100%</f>
        <v>0.3840230118909897</v>
      </c>
      <c r="E22" s="100">
        <f>4498116823</f>
        <v>4498116823</v>
      </c>
      <c r="F22" s="58">
        <f>E22/C22*100%</f>
        <v>0.3840230118909897</v>
      </c>
      <c r="G22" s="27" t="s">
        <v>33</v>
      </c>
      <c r="H22" s="46">
        <f>D22*C22</f>
        <v>4498116823</v>
      </c>
    </row>
    <row r="23" spans="1:8" ht="30" x14ac:dyDescent="0.25">
      <c r="A23" s="28" t="s">
        <v>78</v>
      </c>
      <c r="B23" s="28" t="s">
        <v>11</v>
      </c>
      <c r="C23" s="108">
        <v>1853928000</v>
      </c>
      <c r="D23" s="97">
        <f>E23/C23*100%</f>
        <v>0.41539195858738853</v>
      </c>
      <c r="E23" s="100">
        <f>770106783</f>
        <v>770106783</v>
      </c>
      <c r="F23" s="58">
        <f>E23/C23*100%</f>
        <v>0.41539195858738853</v>
      </c>
      <c r="G23" s="27" t="s">
        <v>33</v>
      </c>
      <c r="H23" s="46">
        <f>D23*C23</f>
        <v>770106783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0.2430735</v>
      </c>
      <c r="E24" s="100">
        <f>12153675</f>
        <v>12153675</v>
      </c>
      <c r="F24" s="58">
        <f>E24/C24*100%</f>
        <v>0.2430735</v>
      </c>
      <c r="G24" s="27" t="s">
        <v>33</v>
      </c>
      <c r="H24" s="46">
        <f>D24*C24</f>
        <v>12153675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0.20149890550217045</v>
      </c>
      <c r="E30" s="92">
        <f>2715500</f>
        <v>2715500</v>
      </c>
      <c r="F30" s="58">
        <f>E30/C30*100%</f>
        <v>0.20149890550217045</v>
      </c>
      <c r="G30" s="27" t="s">
        <v>33</v>
      </c>
      <c r="H30" s="46">
        <f t="shared" ref="H30:H35" si="2">D30*C30</f>
        <v>2715500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2"/>
        <v>0</v>
      </c>
    </row>
    <row r="32" spans="1:8" x14ac:dyDescent="0.25">
      <c r="A32" s="28" t="s">
        <v>86</v>
      </c>
      <c r="B32" s="28" t="s">
        <v>16</v>
      </c>
      <c r="C32" s="108">
        <v>6708000</v>
      </c>
      <c r="D32" s="97">
        <f t="shared" ref="D32:D36" si="3">E32/C32*100%</f>
        <v>0.23978831246273108</v>
      </c>
      <c r="E32" s="92">
        <f>1608500</f>
        <v>1608500</v>
      </c>
      <c r="F32" s="58">
        <f>E32/C32*100%</f>
        <v>0.23978831246273108</v>
      </c>
      <c r="G32" s="27" t="s">
        <v>33</v>
      </c>
      <c r="H32" s="46">
        <f t="shared" si="2"/>
        <v>1608500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0.39904088844018171</v>
      </c>
      <c r="E33" s="92">
        <f>15181500+9798300</f>
        <v>24979800</v>
      </c>
      <c r="F33" s="58">
        <f>E33/C33*100%</f>
        <v>0.39904088844018171</v>
      </c>
      <c r="G33" s="27" t="s">
        <v>33</v>
      </c>
      <c r="H33" s="46">
        <v>24979800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</v>
      </c>
      <c r="E35" s="92"/>
      <c r="F35" s="58">
        <f>E35/C35*100%</f>
        <v>0</v>
      </c>
      <c r="G35" s="27" t="s">
        <v>33</v>
      </c>
      <c r="H35" s="46">
        <f t="shared" si="2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>
        <f t="shared" si="3"/>
        <v>0.44662053337278268</v>
      </c>
      <c r="E36" s="92">
        <f>14810390+51608336</f>
        <v>66418726</v>
      </c>
      <c r="F36" s="58">
        <f>E36/C36*100%</f>
        <v>0.44662053337278268</v>
      </c>
      <c r="G36" s="27" t="s">
        <v>33</v>
      </c>
      <c r="H36" s="46">
        <v>66418726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0.35867422878026689</v>
      </c>
      <c r="E42" s="100">
        <f>85137605</f>
        <v>85137605</v>
      </c>
      <c r="F42" s="58">
        <f>E42/C42*100%</f>
        <v>0.35867422878026689</v>
      </c>
      <c r="G42" s="27" t="s">
        <v>33</v>
      </c>
      <c r="H42" s="46">
        <f>D42*C42</f>
        <v>85137605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20000000</v>
      </c>
      <c r="D43" s="97">
        <f>E43/C43*100%</f>
        <v>0</v>
      </c>
      <c r="E43" s="91"/>
      <c r="F43" s="58">
        <f>E43/C43*100%</f>
        <v>0</v>
      </c>
      <c r="G43" s="27" t="s">
        <v>33</v>
      </c>
      <c r="H43" s="46">
        <f>D43*C43</f>
        <v>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151843982</v>
      </c>
      <c r="D45" s="97">
        <f>E45/C45*100%</f>
        <v>0.27181452604423928</v>
      </c>
      <c r="E45" s="92">
        <f>41273400</f>
        <v>41273400</v>
      </c>
      <c r="F45" s="58">
        <f>E45/C45*100%</f>
        <v>0.27181452604423928</v>
      </c>
      <c r="G45" s="27" t="s">
        <v>33</v>
      </c>
      <c r="H45" s="46">
        <v>41273400</v>
      </c>
    </row>
    <row r="46" spans="1:10" x14ac:dyDescent="0.25">
      <c r="A46" s="25" t="s">
        <v>95</v>
      </c>
      <c r="B46" s="106" t="s">
        <v>66</v>
      </c>
      <c r="C46" s="109">
        <v>30280000</v>
      </c>
      <c r="D46" s="97">
        <f t="shared" ref="D46:D48" si="4">E46/C46*100%</f>
        <v>0.38424702774108321</v>
      </c>
      <c r="E46" s="92">
        <f>11635000</f>
        <v>11635000</v>
      </c>
      <c r="F46" s="58">
        <f>E46/C46*100%</f>
        <v>0.38424702774108321</v>
      </c>
      <c r="G46" s="27" t="s">
        <v>33</v>
      </c>
      <c r="H46" s="46">
        <v>11635000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1.0188292319164802E-2</v>
      </c>
      <c r="E47" s="92">
        <f>1093000</f>
        <v>1093000</v>
      </c>
      <c r="F47" s="58">
        <f>E47/C47*100%</f>
        <v>1.0188292319164802E-2</v>
      </c>
      <c r="G47" s="27" t="s">
        <v>33</v>
      </c>
      <c r="H47" s="46">
        <f>D47*C47</f>
        <v>1093000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0.12952191023186557</v>
      </c>
      <c r="E48" s="92">
        <f>2380925+3707900</f>
        <v>6088825</v>
      </c>
      <c r="F48" s="58">
        <f>E48/C48*100%</f>
        <v>0.12952191023186557</v>
      </c>
      <c r="G48" s="27" t="s">
        <v>33</v>
      </c>
      <c r="H48" s="46">
        <f>D48*C48</f>
        <v>6088825.0000000009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>
        <f>E51/C51*100%</f>
        <v>0.36304127943865933</v>
      </c>
      <c r="E51" s="90">
        <f>389078600</f>
        <v>389078600</v>
      </c>
      <c r="F51" s="58">
        <f>E51/C51*100%</f>
        <v>0.36304127943865933</v>
      </c>
      <c r="G51" s="27" t="s">
        <v>33</v>
      </c>
      <c r="H51" s="46">
        <v>389078600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H53/C53</f>
        <v>0.12255043472465124</v>
      </c>
      <c r="E53" s="63">
        <f>SUM(E54:E60)</f>
        <v>608414000</v>
      </c>
      <c r="F53" s="49">
        <f>E53/C53*100%</f>
        <v>0.12255043472465124</v>
      </c>
      <c r="G53" s="18" t="s">
        <v>0</v>
      </c>
      <c r="H53" s="63">
        <v>608414000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>
        <f>E56/C56*100%</f>
        <v>0.55142702702702706</v>
      </c>
      <c r="E56" s="92">
        <f>102014000</f>
        <v>102014000</v>
      </c>
      <c r="F56" s="58">
        <f>E56/C56*100%</f>
        <v>0.55142702702702706</v>
      </c>
      <c r="G56" s="27" t="s">
        <v>33</v>
      </c>
      <c r="H56" s="46">
        <v>102014000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9.166767485314084E-2</v>
      </c>
      <c r="E59" s="92">
        <f>272770000</f>
        <v>272770000</v>
      </c>
      <c r="F59" s="58">
        <f>E59/C59*100%</f>
        <v>9.166767485314084E-2</v>
      </c>
      <c r="G59" s="27" t="s">
        <v>33</v>
      </c>
      <c r="H59" s="46">
        <f>D59*C59</f>
        <v>272770000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0.12950945801867797</v>
      </c>
      <c r="E60" s="92">
        <f>233630000</f>
        <v>233630000</v>
      </c>
      <c r="F60" s="58">
        <f>E60/C60*100%</f>
        <v>0.12950945801867797</v>
      </c>
      <c r="G60" s="27" t="s">
        <v>33</v>
      </c>
      <c r="H60" s="46">
        <f>D60*C60</f>
        <v>233630000.00000003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0.17079425022695574</v>
      </c>
      <c r="E62" s="63">
        <f>SUM(E63:E69)</f>
        <v>796881218</v>
      </c>
      <c r="F62" s="49">
        <f>E62/C62*100%</f>
        <v>0.17079425022695574</v>
      </c>
      <c r="G62" s="18" t="s">
        <v>0</v>
      </c>
      <c r="H62" s="63">
        <f>SUM(H63:H70)</f>
        <v>796881218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>
        <f>E65/C65*100%</f>
        <v>0.64875597014925368</v>
      </c>
      <c r="E65" s="92">
        <f>217333250</f>
        <v>217333250</v>
      </c>
      <c r="F65" s="58">
        <f>E65/C65*100%</f>
        <v>0.64875597014925368</v>
      </c>
      <c r="G65" s="27" t="s">
        <v>33</v>
      </c>
      <c r="H65" s="46">
        <v>217333250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</v>
      </c>
      <c r="E68" s="92"/>
      <c r="F68" s="58">
        <f>E68/C68*100%</f>
        <v>0</v>
      </c>
      <c r="G68" s="27" t="s">
        <v>33</v>
      </c>
      <c r="H68" s="46">
        <f>D68*C68</f>
        <v>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0.35444235106529104</v>
      </c>
      <c r="E69" s="92">
        <f>579547968</f>
        <v>579547968</v>
      </c>
      <c r="F69" s="58">
        <f>E69/C69*100%</f>
        <v>0.35444235106529104</v>
      </c>
      <c r="G69" s="27" t="s">
        <v>33</v>
      </c>
      <c r="H69" s="46">
        <f>D69*C69</f>
        <v>579547968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6.3596737853029828E-2</v>
      </c>
      <c r="E71" s="63">
        <f>SUM(E72:E78)</f>
        <v>308595868</v>
      </c>
      <c r="F71" s="49">
        <f>E71/C71*100%</f>
        <v>6.3596737853029828E-2</v>
      </c>
      <c r="G71" s="18" t="s">
        <v>0</v>
      </c>
      <c r="H71" s="63">
        <f>SUM(H72:H78)</f>
        <v>308595868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>
        <f>E74/C74*100%</f>
        <v>0.62431297297297295</v>
      </c>
      <c r="E74" s="92">
        <f>115497900</f>
        <v>115497900</v>
      </c>
      <c r="F74" s="58">
        <f>E74/C74*100%</f>
        <v>0.62431297297297295</v>
      </c>
      <c r="G74" s="27" t="s">
        <v>33</v>
      </c>
      <c r="H74" s="46">
        <f>D74*C74</f>
        <v>115497900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2905640000</v>
      </c>
      <c r="D77" s="97">
        <f t="shared" ref="D77:D78" si="7">E77/C77*100%</f>
        <v>0</v>
      </c>
      <c r="E77" s="92"/>
      <c r="F77" s="58">
        <f>E77/C77*100%</f>
        <v>0</v>
      </c>
      <c r="G77" s="27" t="s">
        <v>33</v>
      </c>
      <c r="H77" s="46">
        <f>D77*C77</f>
        <v>0</v>
      </c>
    </row>
    <row r="78" spans="1:8" x14ac:dyDescent="0.25">
      <c r="A78" s="28" t="s">
        <v>105</v>
      </c>
      <c r="B78" s="28" t="s">
        <v>41</v>
      </c>
      <c r="C78" s="108">
        <v>1761745176</v>
      </c>
      <c r="D78" s="97">
        <f t="shared" si="7"/>
        <v>0.10960607165584769</v>
      </c>
      <c r="E78" s="92">
        <f>193097968</f>
        <v>193097968</v>
      </c>
      <c r="F78" s="58">
        <f>E78/C78*100%</f>
        <v>0.10960607165584769</v>
      </c>
      <c r="G78" s="27" t="s">
        <v>33</v>
      </c>
      <c r="H78" s="46">
        <f>D78*C78</f>
        <v>193097968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0.14444948080980144</v>
      </c>
      <c r="E80" s="63">
        <f>SUM(E81:E87)</f>
        <v>602982800</v>
      </c>
      <c r="F80" s="49">
        <f>E80/C80*100%</f>
        <v>0.14444948080980144</v>
      </c>
      <c r="G80" s="18" t="s">
        <v>0</v>
      </c>
      <c r="H80" s="63">
        <f>SUM(H81:H87)</f>
        <v>602982800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>
        <f>E83/C83*100%</f>
        <v>0.42209189189189189</v>
      </c>
      <c r="E83" s="92">
        <f>78087000</f>
        <v>78087000</v>
      </c>
      <c r="F83" s="58">
        <f>E83/C83*100%</f>
        <v>0.42209189189189189</v>
      </c>
      <c r="G83" s="27" t="s">
        <v>33</v>
      </c>
      <c r="H83" s="46">
        <f>D83*C83</f>
        <v>78087000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</v>
      </c>
      <c r="E86" s="92"/>
      <c r="F86" s="58">
        <f>E86/C86*100%</f>
        <v>0</v>
      </c>
      <c r="G86" s="27" t="s">
        <v>33</v>
      </c>
      <c r="H86" s="46">
        <f>D86*C86</f>
        <v>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0.3479701253224865</v>
      </c>
      <c r="E87" s="92">
        <f>524895800</f>
        <v>524895800</v>
      </c>
      <c r="F87" s="58">
        <f>E87/C87*100%</f>
        <v>0.3479701253224865</v>
      </c>
      <c r="G87" s="27" t="s">
        <v>33</v>
      </c>
      <c r="H87" s="46">
        <f>D87*C87</f>
        <v>524895800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6.0799638882547198E-2</v>
      </c>
      <c r="E89" s="63">
        <f>SUM(E90:E96)</f>
        <v>342782000</v>
      </c>
      <c r="F89" s="49">
        <f>E89/C89*100%</f>
        <v>6.0799638882547198E-2</v>
      </c>
      <c r="G89" s="18" t="s">
        <v>0</v>
      </c>
      <c r="H89" s="63">
        <f>SUM(H90:H96)</f>
        <v>342782000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>
        <f>E92/C92*100%</f>
        <v>0.56855135135135138</v>
      </c>
      <c r="E92" s="92">
        <f>105182000</f>
        <v>105182000</v>
      </c>
      <c r="F92" s="58">
        <f>E92/C92*100%</f>
        <v>0.56855135135135138</v>
      </c>
      <c r="G92" s="27" t="s">
        <v>33</v>
      </c>
      <c r="H92" s="46">
        <f>D92*C92</f>
        <v>105182000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</v>
      </c>
      <c r="E95" s="92"/>
      <c r="F95" s="58">
        <f>E95/C95*100%</f>
        <v>0</v>
      </c>
      <c r="G95" s="27" t="s">
        <v>33</v>
      </c>
      <c r="H95" s="46">
        <f>D95*C95</f>
        <v>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0.11549368557523065</v>
      </c>
      <c r="E96" s="92">
        <f>237600000</f>
        <v>237600000</v>
      </c>
      <c r="F96" s="58">
        <f>E96/C96*100%</f>
        <v>0.11549368557523065</v>
      </c>
      <c r="G96" s="27" t="s">
        <v>33</v>
      </c>
      <c r="H96" s="46">
        <v>237600000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7.9153282253448906E-2</v>
      </c>
      <c r="E98" s="63">
        <f>SUM(E99:E105)</f>
        <v>196804720</v>
      </c>
      <c r="F98" s="49">
        <f>E98/C98*100%</f>
        <v>7.9153282253448906E-2</v>
      </c>
      <c r="G98" s="18" t="s">
        <v>0</v>
      </c>
      <c r="H98" s="63">
        <f>SUM(H99:H105)</f>
        <v>196804720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>
        <f>E101/C101*100%</f>
        <v>0.71616216216216211</v>
      </c>
      <c r="E101" s="92">
        <f>132490000</f>
        <v>132490000</v>
      </c>
      <c r="F101" s="58">
        <f>E101/C101*100%</f>
        <v>0.71616216216216211</v>
      </c>
      <c r="G101" s="27" t="s">
        <v>33</v>
      </c>
      <c r="H101" s="46">
        <f>D101*C101</f>
        <v>132489999.99999999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0</v>
      </c>
      <c r="E104" s="92"/>
      <c r="F104" s="58">
        <f>E104/C104*100%</f>
        <v>0</v>
      </c>
      <c r="G104" s="27" t="s">
        <v>33</v>
      </c>
      <c r="H104" s="46">
        <f>D104*C104</f>
        <v>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7.3884649975820088E-2</v>
      </c>
      <c r="E105" s="92">
        <f>64314720</f>
        <v>64314720</v>
      </c>
      <c r="F105" s="58">
        <f>E105/C105*100%</f>
        <v>7.3884649975820088E-2</v>
      </c>
      <c r="G105" s="27" t="s">
        <v>33</v>
      </c>
      <c r="H105" s="46">
        <f>D105*C105</f>
        <v>64314720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3.8226754027216925E-2</v>
      </c>
      <c r="E107" s="63">
        <f>SUM(E108:E114)</f>
        <v>366020638</v>
      </c>
      <c r="F107" s="49">
        <f>E107/C107*100%</f>
        <v>3.8226754027216925E-2</v>
      </c>
      <c r="G107" s="18" t="s">
        <v>0</v>
      </c>
      <c r="H107" s="63">
        <f>SUM(H108:H114)</f>
        <v>366020638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97">
        <f>E110/C110*100%</f>
        <v>0.53575432432432435</v>
      </c>
      <c r="E110" s="89">
        <f>99114550</f>
        <v>99114550</v>
      </c>
      <c r="F110" s="58">
        <f>E110/C110*100%</f>
        <v>0.53575432432432435</v>
      </c>
      <c r="G110" s="27" t="s">
        <v>33</v>
      </c>
      <c r="H110" s="46">
        <v>99114550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</v>
      </c>
      <c r="E113" s="92"/>
      <c r="F113" s="58">
        <f>E113/C113*100%</f>
        <v>0</v>
      </c>
      <c r="G113" s="27" t="s">
        <v>33</v>
      </c>
      <c r="H113" s="46">
        <f>D113*C113</f>
        <v>0</v>
      </c>
    </row>
    <row r="114" spans="1:8" x14ac:dyDescent="0.25">
      <c r="A114" s="28" t="s">
        <v>105</v>
      </c>
      <c r="B114" s="28" t="s">
        <v>41</v>
      </c>
      <c r="C114" s="108">
        <v>3539546088</v>
      </c>
      <c r="D114" s="97">
        <f t="shared" si="11"/>
        <v>7.5406868949914913E-2</v>
      </c>
      <c r="E114" s="89">
        <f>266906088</f>
        <v>266906088</v>
      </c>
      <c r="F114" s="58">
        <f>E114/C114*100%</f>
        <v>7.5406868949914913E-2</v>
      </c>
      <c r="G114" s="27" t="s">
        <v>33</v>
      </c>
      <c r="H114" s="46">
        <f>D114*C114</f>
        <v>266906088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Mei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25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25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E130/C130*100%</f>
        <v>0.17572620471108027</v>
      </c>
      <c r="E130" s="74">
        <f>E132+E144+E150+E156+E162+E168+E174+E180</f>
        <v>9135197481</v>
      </c>
      <c r="F130" s="42">
        <f>E130/C130*100%</f>
        <v>0.17572620471108027</v>
      </c>
      <c r="G130" s="15" t="s">
        <v>1</v>
      </c>
      <c r="H130" s="43">
        <f>H132+H144+H150+H156+H162+H168+H174+H180</f>
        <v>9135197481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0.37831525822593676</v>
      </c>
      <c r="E132" s="48">
        <f>SUM(E133:E142)</f>
        <v>5912716237</v>
      </c>
      <c r="F132" s="49">
        <f>E132/C132*100%</f>
        <v>0.37831525822593676</v>
      </c>
      <c r="G132" s="18" t="s">
        <v>0</v>
      </c>
      <c r="H132" s="48">
        <f>SUM(H133:H142)</f>
        <v>5912716237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2.3099999999999999E-2</v>
      </c>
      <c r="E134" s="37">
        <f>SUM(E14:E20)</f>
        <v>2310000</v>
      </c>
      <c r="F134" s="58">
        <f>E134/C134*100%</f>
        <v>2.3099999999999999E-2</v>
      </c>
      <c r="G134" s="27" t="s">
        <v>61</v>
      </c>
      <c r="H134" s="37">
        <f>SUM(H14:H20)</f>
        <v>2310000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13">H135/C135*100%</f>
        <v>0.38777626318899527</v>
      </c>
      <c r="E135" s="77">
        <f>SUM(E22:E24)</f>
        <v>5280377281</v>
      </c>
      <c r="F135" s="58">
        <f t="shared" ref="F135:F142" si="14">E135/C135*100%</f>
        <v>0.38777626318899527</v>
      </c>
      <c r="G135" s="27" t="s">
        <v>61</v>
      </c>
      <c r="H135" s="77">
        <f>SUM(H22:H24)</f>
        <v>5280377281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13"/>
        <v>0.3883296706952305</v>
      </c>
      <c r="E137" s="77">
        <f>SUM(E30:E36)</f>
        <v>95722526</v>
      </c>
      <c r="F137" s="58">
        <f t="shared" si="14"/>
        <v>0.3883296706952305</v>
      </c>
      <c r="G137" s="27" t="s">
        <v>61</v>
      </c>
      <c r="H137" s="77">
        <f>SUM(H30:H36)</f>
        <v>95722526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13"/>
        <v>0.33080169407559229</v>
      </c>
      <c r="E139" s="77">
        <f>SUM(E42:E43)</f>
        <v>85137605</v>
      </c>
      <c r="F139" s="58">
        <f t="shared" si="14"/>
        <v>0.33080169407559229</v>
      </c>
      <c r="G139" s="27" t="s">
        <v>61</v>
      </c>
      <c r="H139" s="77">
        <f>SUM(H42:H43)</f>
        <v>85137605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13"/>
        <v>0.17861987971712781</v>
      </c>
      <c r="E140" s="77">
        <f>SUM(E45:E48)</f>
        <v>60090225</v>
      </c>
      <c r="F140" s="58">
        <f t="shared" si="14"/>
        <v>0.17861987971712781</v>
      </c>
      <c r="G140" s="27" t="s">
        <v>61</v>
      </c>
      <c r="H140" s="77">
        <f>SUM(H45:H48)</f>
        <v>60090225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13"/>
        <v>0.36304127943865933</v>
      </c>
      <c r="E142" s="77">
        <f>SUM(E51)</f>
        <v>389078600</v>
      </c>
      <c r="F142" s="58">
        <f t="shared" si="14"/>
        <v>0.36304127943865933</v>
      </c>
      <c r="G142" s="27" t="s">
        <v>61</v>
      </c>
      <c r="H142" s="77">
        <f>SUM(H51)</f>
        <v>389078600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0.12255043472465124</v>
      </c>
      <c r="E144" s="48">
        <f>SUM(E145:E148)</f>
        <v>608414000</v>
      </c>
      <c r="F144" s="49">
        <f>E144/C144*100%</f>
        <v>0.12255043472465124</v>
      </c>
      <c r="G144" s="18" t="s">
        <v>0</v>
      </c>
      <c r="H144" s="48">
        <f>SUM(H145:H148)</f>
        <v>608414000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0.55142702702702706</v>
      </c>
      <c r="E146" s="37">
        <f>SUM(E56)</f>
        <v>102014000</v>
      </c>
      <c r="F146" s="58">
        <f>E146/C146*100%</f>
        <v>0.55142702702702706</v>
      </c>
      <c r="G146" s="27" t="s">
        <v>61</v>
      </c>
      <c r="H146" s="37">
        <f>SUM(H56)</f>
        <v>102014000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0.10595026851061912</v>
      </c>
      <c r="E148" s="77">
        <f>SUM(E59:E60)</f>
        <v>506400000</v>
      </c>
      <c r="F148" s="58">
        <f>E148/C148*100%</f>
        <v>0.10595026851061912</v>
      </c>
      <c r="G148" s="27" t="s">
        <v>61</v>
      </c>
      <c r="H148" s="77">
        <f>SUM(H59:H60)</f>
        <v>506400000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0.17079425022695574</v>
      </c>
      <c r="E150" s="48">
        <f>SUM(E151:E154)</f>
        <v>796881218</v>
      </c>
      <c r="F150" s="49">
        <f>E150/C150*100%</f>
        <v>0.17079425022695574</v>
      </c>
      <c r="G150" s="18" t="s">
        <v>0</v>
      </c>
      <c r="H150" s="48">
        <f>SUM(H151:H154)</f>
        <v>796881218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0.64875597014925368</v>
      </c>
      <c r="E152" s="37">
        <f>SUM(E65)</f>
        <v>217333250</v>
      </c>
      <c r="F152" s="58">
        <f>E152/C152*100%</f>
        <v>0.64875597014925368</v>
      </c>
      <c r="G152" s="27" t="s">
        <v>61</v>
      </c>
      <c r="H152" s="37">
        <f>SUM(H65)</f>
        <v>217333250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0.13382198883476756</v>
      </c>
      <c r="E154" s="77">
        <f>SUM(E68:E69)</f>
        <v>579547968</v>
      </c>
      <c r="F154" s="58">
        <f>E154/C154*100%</f>
        <v>0.13382198883476756</v>
      </c>
      <c r="G154" s="27" t="s">
        <v>61</v>
      </c>
      <c r="H154" s="77">
        <f>SUM(H68:H69)</f>
        <v>579547968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6.3596737853029828E-2</v>
      </c>
      <c r="E156" s="48">
        <f>SUM(E157:E160)</f>
        <v>308595868</v>
      </c>
      <c r="F156" s="49">
        <f>E156/C156*100%</f>
        <v>6.3596737853029828E-2</v>
      </c>
      <c r="G156" s="18" t="s">
        <v>0</v>
      </c>
      <c r="H156" s="48">
        <f>SUM(H157:H160)</f>
        <v>308595868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0.62431297297297295</v>
      </c>
      <c r="E158" s="37">
        <f>SUM(E74)</f>
        <v>115497900</v>
      </c>
      <c r="F158" s="58">
        <f>E158/C158*100%</f>
        <v>0.62431297297297295</v>
      </c>
      <c r="G158" s="27" t="s">
        <v>61</v>
      </c>
      <c r="H158" s="37">
        <f>SUM(H74)</f>
        <v>115497900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4.1371766142833548E-2</v>
      </c>
      <c r="E160" s="77">
        <f>SUM(E77:E78)</f>
        <v>193097968</v>
      </c>
      <c r="F160" s="58">
        <f>E160/C160*100%</f>
        <v>4.1371766142833548E-2</v>
      </c>
      <c r="G160" s="27" t="s">
        <v>61</v>
      </c>
      <c r="H160" s="77">
        <f>SUM(H77:H78)</f>
        <v>193097968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0.14444948080980144</v>
      </c>
      <c r="E162" s="48">
        <f>SUM(E163:E166)</f>
        <v>602982800</v>
      </c>
      <c r="F162" s="49">
        <f>E162/C162*100%</f>
        <v>0.14444948080980144</v>
      </c>
      <c r="G162" s="18" t="s">
        <v>0</v>
      </c>
      <c r="H162" s="48">
        <f>SUM(H163:H166)</f>
        <v>602982800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0.42209189189189189</v>
      </c>
      <c r="E164" s="37">
        <f>SUM(E83)</f>
        <v>78087000</v>
      </c>
      <c r="F164" s="58">
        <f>E164/C164*100%</f>
        <v>0.42209189189189189</v>
      </c>
      <c r="G164" s="27" t="s">
        <v>61</v>
      </c>
      <c r="H164" s="37">
        <f>SUM(H83)</f>
        <v>78087000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0.13157424141867136</v>
      </c>
      <c r="E166" s="77">
        <f>SUM(E86:E87)</f>
        <v>524895800</v>
      </c>
      <c r="F166" s="58">
        <f>E166/C166*100%</f>
        <v>0.13157424141867136</v>
      </c>
      <c r="G166" s="27" t="s">
        <v>61</v>
      </c>
      <c r="H166" s="77">
        <f>SUM(H86:H87)</f>
        <v>524895800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6.0799638882547198E-2</v>
      </c>
      <c r="E168" s="48">
        <f>SUM(E169:E172)</f>
        <v>342782000</v>
      </c>
      <c r="F168" s="49">
        <f>E168/C168*100%</f>
        <v>6.0799638882547198E-2</v>
      </c>
      <c r="G168" s="18" t="s">
        <v>0</v>
      </c>
      <c r="H168" s="48">
        <f>SUM(H169:H172)</f>
        <v>342782000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0.56855135135135138</v>
      </c>
      <c r="E170" s="37">
        <f>SUM(E92)</f>
        <v>105182000</v>
      </c>
      <c r="F170" s="58">
        <f>E170/C170*100%</f>
        <v>0.56855135135135138</v>
      </c>
      <c r="G170" s="27" t="s">
        <v>61</v>
      </c>
      <c r="H170" s="37">
        <f>SUM(H92)</f>
        <v>105182000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4.3573181898422096E-2</v>
      </c>
      <c r="E172" s="77">
        <f>SUM(E95:E96)</f>
        <v>237600000</v>
      </c>
      <c r="F172" s="58">
        <f>E172/C172*100%</f>
        <v>4.3573181898422096E-2</v>
      </c>
      <c r="G172" s="27" t="s">
        <v>61</v>
      </c>
      <c r="H172" s="77">
        <f>SUM(H95:H96)</f>
        <v>237600000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7.9153282253448906E-2</v>
      </c>
      <c r="E174" s="48">
        <f>SUM(E175:E178)</f>
        <v>196804720</v>
      </c>
      <c r="F174" s="49">
        <f>E174/C174*100%</f>
        <v>7.9153282253448906E-2</v>
      </c>
      <c r="G174" s="18" t="s">
        <v>0</v>
      </c>
      <c r="H174" s="48">
        <f>SUM(H175:H178)</f>
        <v>196804720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0.71616216216216211</v>
      </c>
      <c r="E176" s="37">
        <f>SUM(E101)</f>
        <v>132490000</v>
      </c>
      <c r="F176" s="58">
        <f>E176/C176*100%</f>
        <v>0.71616216216216211</v>
      </c>
      <c r="G176" s="27" t="s">
        <v>61</v>
      </c>
      <c r="H176" s="37">
        <f>SUM(H101)</f>
        <v>132489999.99999999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2.7946218163029096E-2</v>
      </c>
      <c r="E178" s="77">
        <f>SUM(E104:E105)</f>
        <v>64314720</v>
      </c>
      <c r="F178" s="58">
        <f>E178/C178*100%</f>
        <v>2.7946218163029096E-2</v>
      </c>
      <c r="G178" s="27" t="s">
        <v>61</v>
      </c>
      <c r="H178" s="77">
        <f>SUM(H104:H105)</f>
        <v>64314720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3.8226754027216925E-2</v>
      </c>
      <c r="E180" s="48">
        <f>SUM(E181:E184)</f>
        <v>366020638</v>
      </c>
      <c r="F180" s="49">
        <f>E180/C180*100%</f>
        <v>3.8226754027216925E-2</v>
      </c>
      <c r="G180" s="18" t="s">
        <v>0</v>
      </c>
      <c r="H180" s="48">
        <f>SUM(H181:H184)</f>
        <v>366020638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0.53575432432432435</v>
      </c>
      <c r="E182" s="37">
        <f>SUM(E110)</f>
        <v>99114550</v>
      </c>
      <c r="F182" s="58">
        <f>E182/C182*100%</f>
        <v>0.53575432432432435</v>
      </c>
      <c r="G182" s="27" t="s">
        <v>61</v>
      </c>
      <c r="H182" s="37">
        <f>SUM(H110)</f>
        <v>99114550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2.8424545627505727E-2</v>
      </c>
      <c r="E184" s="77">
        <f>SUM(E112:E114)</f>
        <v>266906088</v>
      </c>
      <c r="F184" s="58">
        <f>E184/C184*100%</f>
        <v>2.8424545627505727E-2</v>
      </c>
      <c r="G184" s="27" t="s">
        <v>61</v>
      </c>
      <c r="H184" s="77">
        <f>SUM(H112:H114)</f>
        <v>266906088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Mei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25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25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0.17572620471108027</v>
      </c>
      <c r="E196" s="74">
        <f>E198+E202+E206+E210+E214+E218+E222+E226</f>
        <v>9135197481</v>
      </c>
      <c r="F196" s="42">
        <f>E196/C196*100%</f>
        <v>0.17572620471108027</v>
      </c>
      <c r="G196" s="15" t="s">
        <v>1</v>
      </c>
      <c r="H196" s="43">
        <f>H198+H202+H206+H210+H214+H218+H222+H226</f>
        <v>9135197481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0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0.37831525822593676</v>
      </c>
      <c r="E198" s="48">
        <f>SUM(E199:E200)</f>
        <v>5912716237</v>
      </c>
      <c r="F198" s="49">
        <f>E198/C198*100%</f>
        <v>0.37831525822593676</v>
      </c>
      <c r="G198" s="18" t="s">
        <v>0</v>
      </c>
      <c r="H198" s="48">
        <f>SUM(H199:H200)</f>
        <v>5912716237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0.37943973670654663</v>
      </c>
      <c r="E199" s="37">
        <f>SUM(E134:E140)</f>
        <v>5523637637</v>
      </c>
      <c r="F199" s="58">
        <f>E199/C199*100%</f>
        <v>0.37943973670654663</v>
      </c>
      <c r="G199" s="27" t="s">
        <v>32</v>
      </c>
      <c r="H199" s="37">
        <f>SUM(H134:H140)</f>
        <v>5523637637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0.36304127943865933</v>
      </c>
      <c r="E200" s="77">
        <f>SUM(E142)</f>
        <v>389078600</v>
      </c>
      <c r="F200" s="58">
        <f>E200/C200*100%</f>
        <v>0.36304127943865933</v>
      </c>
      <c r="G200" s="27" t="s">
        <v>32</v>
      </c>
      <c r="H200" s="77">
        <f>SUM(H142)</f>
        <v>389078600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0.12255043472465124</v>
      </c>
      <c r="E202" s="88">
        <f>SUM(E203:E204)</f>
        <v>608414000</v>
      </c>
      <c r="F202" s="49">
        <f>E202/C202*100%</f>
        <v>0.12255043472465124</v>
      </c>
      <c r="G202" s="18" t="s">
        <v>0</v>
      </c>
      <c r="H202" s="43">
        <f>SUM(H203:H204)</f>
        <v>608414000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0.55142702702702706</v>
      </c>
      <c r="E203" s="37">
        <f>SUM(E146)</f>
        <v>102014000</v>
      </c>
      <c r="F203" s="58">
        <f>E203/C203*100%</f>
        <v>0.55142702702702706</v>
      </c>
      <c r="G203" s="27" t="s">
        <v>32</v>
      </c>
      <c r="H203" s="37">
        <f>SUM(H146)</f>
        <v>102014000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0.10595026851061912</v>
      </c>
      <c r="E204" s="77">
        <f>SUM(E148:E148)</f>
        <v>506400000</v>
      </c>
      <c r="F204" s="58">
        <f>E204/C204*100%</f>
        <v>0.10595026851061912</v>
      </c>
      <c r="G204" s="27" t="s">
        <v>32</v>
      </c>
      <c r="H204" s="77">
        <f>SUM(H148:H148)</f>
        <v>506400000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0.17079425022695574</v>
      </c>
      <c r="E206" s="88">
        <f>SUM(E207:E209)</f>
        <v>796881218</v>
      </c>
      <c r="F206" s="49">
        <f>E206/C206*100%</f>
        <v>0.17079425022695574</v>
      </c>
      <c r="G206" s="18" t="s">
        <v>0</v>
      </c>
      <c r="H206" s="43">
        <f>SUM(H207:H209)</f>
        <v>796881218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0.64875597014925368</v>
      </c>
      <c r="E207" s="37">
        <f>SUM(E152)</f>
        <v>217333250</v>
      </c>
      <c r="F207" s="58">
        <f>E207/C207*100%</f>
        <v>0.64875597014925368</v>
      </c>
      <c r="G207" s="27" t="s">
        <v>32</v>
      </c>
      <c r="H207" s="37">
        <f>SUM(H152)</f>
        <v>217333250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0.13382198883476756</v>
      </c>
      <c r="E208" s="77">
        <f>SUM(E154:E154)</f>
        <v>579547968</v>
      </c>
      <c r="F208" s="58">
        <f>E208/C208*100%</f>
        <v>0.13382198883476756</v>
      </c>
      <c r="G208" s="27" t="s">
        <v>32</v>
      </c>
      <c r="H208" s="77">
        <f>SUM(H154:H154)</f>
        <v>579547968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6.3596737853029828E-2</v>
      </c>
      <c r="E210" s="88">
        <f>SUM(E211:E212)</f>
        <v>308595868</v>
      </c>
      <c r="F210" s="49">
        <f>E210/C210*100%</f>
        <v>6.3596737853029828E-2</v>
      </c>
      <c r="G210" s="18" t="s">
        <v>0</v>
      </c>
      <c r="H210" s="43">
        <f>SUM(H211:H212)</f>
        <v>308595868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0.62431297297297295</v>
      </c>
      <c r="E211" s="37">
        <f>SUM(E158)</f>
        <v>115497900</v>
      </c>
      <c r="F211" s="58">
        <f>E211/C211*100%</f>
        <v>0.62431297297297295</v>
      </c>
      <c r="G211" s="27" t="s">
        <v>32</v>
      </c>
      <c r="H211" s="37">
        <f>SUM(H158)</f>
        <v>115497900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4.1371766142833548E-2</v>
      </c>
      <c r="E212" s="77">
        <f>SUM(E160:E160)</f>
        <v>193097968</v>
      </c>
      <c r="F212" s="58">
        <f>E212/C212*100%</f>
        <v>4.1371766142833548E-2</v>
      </c>
      <c r="G212" s="27" t="s">
        <v>32</v>
      </c>
      <c r="H212" s="77">
        <f>SUM(H160:H160)</f>
        <v>193097968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0.14444948080980144</v>
      </c>
      <c r="E214" s="88">
        <f>SUM(E215:E216)</f>
        <v>602982800</v>
      </c>
      <c r="F214" s="49">
        <f>E214/C214*100%</f>
        <v>0.14444948080980144</v>
      </c>
      <c r="G214" s="18" t="s">
        <v>0</v>
      </c>
      <c r="H214" s="43">
        <f>SUM(H215:H216)</f>
        <v>602982800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0.42209189189189189</v>
      </c>
      <c r="E215" s="37">
        <f>SUM(E164)</f>
        <v>78087000</v>
      </c>
      <c r="F215" s="58">
        <f>E215/C215*100%</f>
        <v>0.42209189189189189</v>
      </c>
      <c r="G215" s="27" t="s">
        <v>32</v>
      </c>
      <c r="H215" s="37">
        <f>SUM(H164)</f>
        <v>78087000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0.13157424141867136</v>
      </c>
      <c r="E216" s="77">
        <f>SUM(E166:E166)</f>
        <v>524895800</v>
      </c>
      <c r="F216" s="58">
        <f>E216/C216*100%</f>
        <v>0.13157424141867136</v>
      </c>
      <c r="G216" s="27" t="s">
        <v>32</v>
      </c>
      <c r="H216" s="77">
        <f>SUM(H166:H166)</f>
        <v>524895800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6.0799638882547198E-2</v>
      </c>
      <c r="E218" s="88">
        <f>SUM(E219:E220)</f>
        <v>342782000</v>
      </c>
      <c r="F218" s="49">
        <f>E218/C218*100%</f>
        <v>6.0799638882547198E-2</v>
      </c>
      <c r="G218" s="18" t="s">
        <v>0</v>
      </c>
      <c r="H218" s="43">
        <f>SUM(H219:H220)</f>
        <v>342782000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0.56855135135135138</v>
      </c>
      <c r="E219" s="37">
        <f>SUM(E170)</f>
        <v>105182000</v>
      </c>
      <c r="F219" s="58">
        <f>E219/C219*100%</f>
        <v>0.56855135135135138</v>
      </c>
      <c r="G219" s="27" t="s">
        <v>32</v>
      </c>
      <c r="H219" s="37">
        <f>SUM(H170)</f>
        <v>105182000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4.3573181898422096E-2</v>
      </c>
      <c r="E220" s="77">
        <f>SUM(E172:E172)</f>
        <v>237600000</v>
      </c>
      <c r="F220" s="58">
        <f>E220/C220*100%</f>
        <v>4.3573181898422096E-2</v>
      </c>
      <c r="G220" s="27" t="s">
        <v>32</v>
      </c>
      <c r="H220" s="77">
        <f>SUM(H172:H172)</f>
        <v>237600000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7.9153282253448906E-2</v>
      </c>
      <c r="E222" s="88">
        <f>SUM(E223:E224)</f>
        <v>196804720</v>
      </c>
      <c r="F222" s="49">
        <f>E222/C222*100%</f>
        <v>7.9153282253448906E-2</v>
      </c>
      <c r="G222" s="18" t="s">
        <v>0</v>
      </c>
      <c r="H222" s="43">
        <f>SUM(H223:H224)</f>
        <v>196804720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0.71616216216216211</v>
      </c>
      <c r="E223" s="37">
        <f>SUM(E176)</f>
        <v>132490000</v>
      </c>
      <c r="F223" s="58">
        <f>E223/C223*100%</f>
        <v>0.71616216216216211</v>
      </c>
      <c r="G223" s="27" t="s">
        <v>32</v>
      </c>
      <c r="H223" s="37">
        <f>SUM(H176)</f>
        <v>132489999.99999999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2.7946218163029096E-2</v>
      </c>
      <c r="E224" s="77">
        <f>SUM(E178:E178)</f>
        <v>64314720</v>
      </c>
      <c r="F224" s="58">
        <f>E224/C224*100%</f>
        <v>2.7946218163029096E-2</v>
      </c>
      <c r="G224" s="27" t="s">
        <v>32</v>
      </c>
      <c r="H224" s="77">
        <f>SUM(H178:H178)</f>
        <v>64314720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3.8226754027216925E-2</v>
      </c>
      <c r="E226" s="88">
        <f>SUM(E227:E228)</f>
        <v>366020638</v>
      </c>
      <c r="F226" s="49">
        <f>E226/C226*100%</f>
        <v>3.8226754027216925E-2</v>
      </c>
      <c r="G226" s="18" t="s">
        <v>0</v>
      </c>
      <c r="H226" s="43">
        <f>SUM(H227:H228)</f>
        <v>366020638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0.53575432432432435</v>
      </c>
      <c r="E227" s="37">
        <f>SUM(E182)</f>
        <v>99114550</v>
      </c>
      <c r="F227" s="58">
        <f>E227/C227*100%</f>
        <v>0.53575432432432435</v>
      </c>
      <c r="G227" s="27" t="s">
        <v>32</v>
      </c>
      <c r="H227" s="37">
        <f>SUM(H182)</f>
        <v>99114550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2.8424545627505727E-2</v>
      </c>
      <c r="E228" s="77">
        <f>SUM(E184:E184)</f>
        <v>266906088</v>
      </c>
      <c r="F228" s="58">
        <f>E228/C228*100%</f>
        <v>2.8424545627505727E-2</v>
      </c>
      <c r="G228" s="27" t="s">
        <v>32</v>
      </c>
      <c r="H228" s="77">
        <f>SUM(H184:H184)</f>
        <v>266906088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Mei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25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25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0.17572620471108027</v>
      </c>
      <c r="E240" s="14">
        <f>SUM(E242:E244)</f>
        <v>9135197481</v>
      </c>
      <c r="F240" s="42">
        <f>E240/C240*100%</f>
        <v>0.17572620471108027</v>
      </c>
      <c r="G240" s="15" t="s">
        <v>1</v>
      </c>
      <c r="H240" s="14">
        <f>SUM(H242:H244)</f>
        <v>9135197481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0.37943973670654663</v>
      </c>
      <c r="E242" s="37">
        <f>E199</f>
        <v>5523637637</v>
      </c>
      <c r="F242" s="58">
        <f>E242/C242*100%</f>
        <v>0.37943973670654663</v>
      </c>
      <c r="G242" s="27" t="s">
        <v>32</v>
      </c>
      <c r="H242" s="37">
        <f>H199</f>
        <v>5523637637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17">H243/C243*100%</f>
        <v>0.49222690644966466</v>
      </c>
      <c r="E243" s="77">
        <f>E200+E203+E207+E211+E215+E219+E223+E227</f>
        <v>1238797300</v>
      </c>
      <c r="F243" s="58">
        <f t="shared" ref="F243:F244" si="18">E243/C243*100%</f>
        <v>0.49222690644966466</v>
      </c>
      <c r="G243" s="27" t="s">
        <v>32</v>
      </c>
      <c r="H243" s="77">
        <f>H200+H203+H207+H211+H215+H219+H223+H227</f>
        <v>1238797300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17"/>
        <v>6.7965399178345251E-2</v>
      </c>
      <c r="E244" s="77">
        <f>E204+E208+E212+E216+E220+E224+E228</f>
        <v>2372762544</v>
      </c>
      <c r="F244" s="58">
        <f t="shared" si="18"/>
        <v>6.7965399178345251E-2</v>
      </c>
      <c r="G244" s="27" t="s">
        <v>32</v>
      </c>
      <c r="H244" s="77">
        <f>H204+H208+H212+H216+H220+H224+H228</f>
        <v>2372762544</v>
      </c>
    </row>
  </sheetData>
  <mergeCells count="32">
    <mergeCell ref="A2:G2"/>
    <mergeCell ref="B5:G5"/>
    <mergeCell ref="A6:A8"/>
    <mergeCell ref="B6:B8"/>
    <mergeCell ref="C6:C8"/>
    <mergeCell ref="D6:F6"/>
    <mergeCell ref="G6:G8"/>
    <mergeCell ref="E7:F7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233:G233"/>
    <mergeCell ref="B236:G236"/>
    <mergeCell ref="A237:A239"/>
    <mergeCell ref="B237:B239"/>
    <mergeCell ref="C237:C238"/>
    <mergeCell ref="D237:F237"/>
    <mergeCell ref="G237:G239"/>
    <mergeCell ref="E238:F2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workbookViewId="0">
      <selection activeCell="D23" sqref="D23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138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26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E9/C9*100%</f>
        <v>0.27923798878188838</v>
      </c>
      <c r="E9" s="40">
        <f>E11+E53+E62+E71+E80+E89+E98+E107</f>
        <v>14516299239</v>
      </c>
      <c r="F9" s="42">
        <f>E9/C9*100%</f>
        <v>0.27923798878188838</v>
      </c>
      <c r="G9" s="15" t="s">
        <v>1</v>
      </c>
      <c r="H9" s="43">
        <v>14516299239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15629071544</v>
      </c>
      <c r="D11" s="49">
        <f>E11/C11*100%</f>
        <v>0.50241202127035323</v>
      </c>
      <c r="E11" s="48">
        <f>SUM(E14:E51)</f>
        <v>7852233425</v>
      </c>
      <c r="F11" s="49">
        <f>E11/C11*100%</f>
        <v>0.50241202127035323</v>
      </c>
      <c r="G11" s="18" t="s">
        <v>0</v>
      </c>
      <c r="H11" s="48">
        <v>7852233425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0.49323302000000002</v>
      </c>
      <c r="E14" s="92">
        <f>24661651</f>
        <v>24661651</v>
      </c>
      <c r="F14" s="58">
        <f>E14/C14*100%</f>
        <v>0.49323302000000002</v>
      </c>
      <c r="G14" s="27" t="s">
        <v>33</v>
      </c>
      <c r="H14" s="46">
        <v>24661651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ref="H15:H19" si="0">D15*C15</f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</v>
      </c>
      <c r="E19" s="92"/>
      <c r="F19" s="58">
        <f>E19/C19*100%</f>
        <v>0</v>
      </c>
      <c r="G19" s="27" t="s">
        <v>33</v>
      </c>
      <c r="H19" s="46">
        <f t="shared" si="0"/>
        <v>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0.223</v>
      </c>
      <c r="E20" s="92">
        <f>4460000</f>
        <v>4460000</v>
      </c>
      <c r="F20" s="58">
        <f>E20/C20*100%</f>
        <v>0.223</v>
      </c>
      <c r="G20" s="27" t="s">
        <v>33</v>
      </c>
      <c r="H20" s="46">
        <v>4460000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11713143962</v>
      </c>
      <c r="D22" s="97">
        <f>E22/C22*100%</f>
        <v>0.51271954912219497</v>
      </c>
      <c r="E22" s="100">
        <f>6005557891</f>
        <v>6005557891</v>
      </c>
      <c r="F22" s="58">
        <f>E22/C22*100%</f>
        <v>0.51271954912219497</v>
      </c>
      <c r="G22" s="27" t="s">
        <v>33</v>
      </c>
      <c r="H22" s="46">
        <v>6005557891</v>
      </c>
    </row>
    <row r="23" spans="1:8" ht="30" x14ac:dyDescent="0.25">
      <c r="A23" s="28" t="s">
        <v>78</v>
      </c>
      <c r="B23" s="28" t="s">
        <v>11</v>
      </c>
      <c r="C23" s="108">
        <v>1853928000</v>
      </c>
      <c r="D23" s="97">
        <f>E23/C23*100%</f>
        <v>0.55318048111900786</v>
      </c>
      <c r="E23" s="100">
        <f>1025556783</f>
        <v>1025556783</v>
      </c>
      <c r="F23" s="58">
        <f>E23/C23*100%</f>
        <v>0.55318048111900786</v>
      </c>
      <c r="G23" s="27" t="s">
        <v>33</v>
      </c>
      <c r="H23" s="46">
        <v>1025556783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0.2430735</v>
      </c>
      <c r="E24" s="100">
        <f>12153675</f>
        <v>12153675</v>
      </c>
      <c r="F24" s="58">
        <f>E24/C24*100%</f>
        <v>0.2430735</v>
      </c>
      <c r="G24" s="27" t="s">
        <v>33</v>
      </c>
      <c r="H24" s="46">
        <f>D24*C24</f>
        <v>12153675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0.20149890550217045</v>
      </c>
      <c r="E30" s="92">
        <f>2715500</f>
        <v>2715500</v>
      </c>
      <c r="F30" s="58">
        <f>E30/C30*100%</f>
        <v>0.20149890550217045</v>
      </c>
      <c r="G30" s="27" t="s">
        <v>33</v>
      </c>
      <c r="H30" s="46">
        <f t="shared" ref="H30:H35" si="2">D30*C30</f>
        <v>2715500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2"/>
        <v>0</v>
      </c>
    </row>
    <row r="32" spans="1:8" x14ac:dyDescent="0.25">
      <c r="A32" s="28" t="s">
        <v>86</v>
      </c>
      <c r="B32" s="28" t="s">
        <v>16</v>
      </c>
      <c r="C32" s="108">
        <v>6708000</v>
      </c>
      <c r="D32" s="97">
        <f t="shared" ref="D32:D36" si="3">E32/C32*100%</f>
        <v>0.32625223613595705</v>
      </c>
      <c r="E32" s="92">
        <f>2188500</f>
        <v>2188500</v>
      </c>
      <c r="F32" s="58">
        <f>E32/C32*100%</f>
        <v>0.32625223613595705</v>
      </c>
      <c r="G32" s="27" t="s">
        <v>33</v>
      </c>
      <c r="H32" s="46">
        <v>2188500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0.42539888433791911</v>
      </c>
      <c r="E33" s="92">
        <f>15181500+11448300</f>
        <v>26629800</v>
      </c>
      <c r="F33" s="58">
        <f>E33/C33*100%</f>
        <v>0.42539888433791911</v>
      </c>
      <c r="G33" s="27" t="s">
        <v>33</v>
      </c>
      <c r="H33" s="46">
        <v>26629800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</v>
      </c>
      <c r="E35" s="92"/>
      <c r="F35" s="58">
        <f>E35/C35*100%</f>
        <v>0</v>
      </c>
      <c r="G35" s="27" t="s">
        <v>33</v>
      </c>
      <c r="H35" s="46">
        <f t="shared" si="2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>
        <f t="shared" si="3"/>
        <v>0.70265911077638954</v>
      </c>
      <c r="E36" s="92">
        <f>55088336+49406911</f>
        <v>104495247</v>
      </c>
      <c r="F36" s="58">
        <f>E36/C36*100%</f>
        <v>0.70265911077638954</v>
      </c>
      <c r="G36" s="27" t="s">
        <v>33</v>
      </c>
      <c r="H36" s="46">
        <v>104495247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0.42825273047068363</v>
      </c>
      <c r="E42" s="100">
        <f>101653280</f>
        <v>101653280</v>
      </c>
      <c r="F42" s="58">
        <f>E42/C42*100%</f>
        <v>0.42825273047068363</v>
      </c>
      <c r="G42" s="27" t="s">
        <v>33</v>
      </c>
      <c r="H42" s="46">
        <v>101653280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20000000</v>
      </c>
      <c r="D43" s="97">
        <f>E43/C43*100%</f>
        <v>0</v>
      </c>
      <c r="E43" s="91"/>
      <c r="F43" s="58">
        <f>E43/C43*100%</f>
        <v>0</v>
      </c>
      <c r="G43" s="27" t="s">
        <v>33</v>
      </c>
      <c r="H43" s="46">
        <f>D43*C43</f>
        <v>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151843982</v>
      </c>
      <c r="D45" s="97">
        <f>E45/C45*100%</f>
        <v>0.34792734163149119</v>
      </c>
      <c r="E45" s="92">
        <f>3670000+49160673</f>
        <v>52830673</v>
      </c>
      <c r="F45" s="58">
        <f>E45/C45*100%</f>
        <v>0.34792734163149119</v>
      </c>
      <c r="G45" s="27" t="s">
        <v>33</v>
      </c>
      <c r="H45" s="46">
        <v>52830673</v>
      </c>
    </row>
    <row r="46" spans="1:10" x14ac:dyDescent="0.25">
      <c r="A46" s="25" t="s">
        <v>95</v>
      </c>
      <c r="B46" s="106" t="s">
        <v>66</v>
      </c>
      <c r="C46" s="109">
        <v>30280000</v>
      </c>
      <c r="D46" s="97">
        <f t="shared" ref="D46:D48" si="4">E46/C46*100%</f>
        <v>0.43873844121532363</v>
      </c>
      <c r="E46" s="92">
        <f>13285000</f>
        <v>13285000</v>
      </c>
      <c r="F46" s="58">
        <f>E46/C46*100%</f>
        <v>0.43873844121532363</v>
      </c>
      <c r="G46" s="27" t="s">
        <v>33</v>
      </c>
      <c r="H46" s="46">
        <v>13285000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1.0188292319164802E-2</v>
      </c>
      <c r="E47" s="92">
        <f>1093000</f>
        <v>1093000</v>
      </c>
      <c r="F47" s="58">
        <f>E47/C47*100%</f>
        <v>1.0188292319164802E-2</v>
      </c>
      <c r="G47" s="27" t="s">
        <v>33</v>
      </c>
      <c r="H47" s="46">
        <f>D47*C47</f>
        <v>1093000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0.3813832163369496</v>
      </c>
      <c r="E48" s="92">
        <f>13220925+4707900</f>
        <v>17928825</v>
      </c>
      <c r="F48" s="58">
        <f>E48/C48*100%</f>
        <v>0.3813832163369496</v>
      </c>
      <c r="G48" s="27" t="s">
        <v>33</v>
      </c>
      <c r="H48" s="46">
        <v>17928825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>
        <f>E51/C51*100%</f>
        <v>0.42643936849177022</v>
      </c>
      <c r="E51" s="90">
        <f>457023600</f>
        <v>457023600</v>
      </c>
      <c r="F51" s="58">
        <f>E51/C51*100%</f>
        <v>0.42643936849177022</v>
      </c>
      <c r="G51" s="27" t="s">
        <v>33</v>
      </c>
      <c r="H51" s="46">
        <v>457023600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E53/C53*100%</f>
        <v>0.43192358258181779</v>
      </c>
      <c r="E53" s="63">
        <f>SUM(E54:E60)</f>
        <v>2144328212</v>
      </c>
      <c r="F53" s="49">
        <f>E53/C53*100%</f>
        <v>0.43192358258181779</v>
      </c>
      <c r="G53" s="18" t="s">
        <v>0</v>
      </c>
      <c r="H53" s="63">
        <v>2144328212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>
        <f>E56/C56*100%</f>
        <v>0.55142702702702706</v>
      </c>
      <c r="E56" s="92">
        <f>102014000</f>
        <v>102014000</v>
      </c>
      <c r="F56" s="58">
        <f>E56/C56*100%</f>
        <v>0.55142702702702706</v>
      </c>
      <c r="G56" s="27" t="s">
        <v>33</v>
      </c>
      <c r="H56" s="46">
        <v>102014000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0.30344228468497536</v>
      </c>
      <c r="E59" s="92">
        <f>902935000</f>
        <v>902935000</v>
      </c>
      <c r="F59" s="58">
        <f>E59/C59*100%</f>
        <v>0.30344228468497536</v>
      </c>
      <c r="G59" s="27" t="s">
        <v>33</v>
      </c>
      <c r="H59" s="46">
        <v>902935000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0.63159861415001661</v>
      </c>
      <c r="E60" s="92">
        <f>772853212+366526000</f>
        <v>1139379212</v>
      </c>
      <c r="F60" s="58">
        <f>E60/C60*100%</f>
        <v>0.63159861415001661</v>
      </c>
      <c r="G60" s="27" t="s">
        <v>33</v>
      </c>
      <c r="H60" s="46">
        <v>1139379212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0.34991781132960531</v>
      </c>
      <c r="E62" s="63">
        <f>SUM(E63:E69)</f>
        <v>1632624818</v>
      </c>
      <c r="F62" s="49">
        <f>E62/C62*100%</f>
        <v>0.34991781132960531</v>
      </c>
      <c r="G62" s="18" t="s">
        <v>0</v>
      </c>
      <c r="H62" s="63">
        <v>1632624818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>
        <f>E65/C65*100%</f>
        <v>0.64875597014925368</v>
      </c>
      <c r="E65" s="92">
        <f>217333250</f>
        <v>217333250</v>
      </c>
      <c r="F65" s="58">
        <f>E65/C65*100%</f>
        <v>0.64875597014925368</v>
      </c>
      <c r="G65" s="27" t="s">
        <v>33</v>
      </c>
      <c r="H65" s="46">
        <v>217333250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0.28644032585953616</v>
      </c>
      <c r="E68" s="92">
        <f>35640000+736500000</f>
        <v>772140000</v>
      </c>
      <c r="F68" s="58">
        <f>E68/C68*100%</f>
        <v>0.28644032585953616</v>
      </c>
      <c r="G68" s="27" t="s">
        <v>33</v>
      </c>
      <c r="H68" s="46">
        <v>772140000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0.39334130467221035</v>
      </c>
      <c r="E69" s="92">
        <f>643151568</f>
        <v>643151568</v>
      </c>
      <c r="F69" s="58">
        <f>E69/C69*100%</f>
        <v>0.39334130467221035</v>
      </c>
      <c r="G69" s="27" t="s">
        <v>33</v>
      </c>
      <c r="H69" s="46">
        <v>643151568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0.1149982632788424</v>
      </c>
      <c r="E71" s="63">
        <f>SUM(E72:E78)</f>
        <v>558015868</v>
      </c>
      <c r="F71" s="49">
        <f>E71/C71*100%</f>
        <v>0.1149982632788424</v>
      </c>
      <c r="G71" s="18" t="s">
        <v>0</v>
      </c>
      <c r="H71" s="63">
        <f>SUM(H72:H78)</f>
        <v>558015868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>
        <f>E74/C74*100%</f>
        <v>0.62431297297297295</v>
      </c>
      <c r="E74" s="92">
        <f>115497900</f>
        <v>115497900</v>
      </c>
      <c r="F74" s="58">
        <f>E74/C74*100%</f>
        <v>0.62431297297297295</v>
      </c>
      <c r="G74" s="27" t="s">
        <v>33</v>
      </c>
      <c r="H74" s="46">
        <f>D74*C74</f>
        <v>115497900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2905640000</v>
      </c>
      <c r="D77" s="97">
        <f t="shared" ref="D77:D78" si="7">E77/C77*100%</f>
        <v>5.5554025963298961E-2</v>
      </c>
      <c r="E77" s="92">
        <f>161420000</f>
        <v>161420000</v>
      </c>
      <c r="F77" s="58">
        <f>E77/C77*100%</f>
        <v>5.5554025963298961E-2</v>
      </c>
      <c r="G77" s="27" t="s">
        <v>33</v>
      </c>
      <c r="H77" s="46">
        <f>D77*C77</f>
        <v>161420000</v>
      </c>
    </row>
    <row r="78" spans="1:8" x14ac:dyDescent="0.25">
      <c r="A78" s="28" t="s">
        <v>105</v>
      </c>
      <c r="B78" s="28" t="s">
        <v>41</v>
      </c>
      <c r="C78" s="108">
        <v>1761745176</v>
      </c>
      <c r="D78" s="97">
        <f t="shared" si="7"/>
        <v>0.1595565419047868</v>
      </c>
      <c r="E78" s="92">
        <f>281097968</f>
        <v>281097968</v>
      </c>
      <c r="F78" s="58">
        <f>E78/C78*100%</f>
        <v>0.1595565419047868</v>
      </c>
      <c r="G78" s="27" t="s">
        <v>33</v>
      </c>
      <c r="H78" s="46">
        <f>D78*C78</f>
        <v>281097968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0.17405887568489811</v>
      </c>
      <c r="E80" s="63">
        <f>SUM(E81:E87)</f>
        <v>726582800</v>
      </c>
      <c r="F80" s="49">
        <f>E80/C80*100%</f>
        <v>0.17405887568489811</v>
      </c>
      <c r="G80" s="18" t="s">
        <v>0</v>
      </c>
      <c r="H80" s="63">
        <f>SUM(H81:H87)</f>
        <v>726582800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>
        <f>E83/C83*100%</f>
        <v>0.55695675675675671</v>
      </c>
      <c r="E83" s="92">
        <f>103037000</f>
        <v>103037000</v>
      </c>
      <c r="F83" s="58">
        <f>E83/C83*100%</f>
        <v>0.55695675675675671</v>
      </c>
      <c r="G83" s="27" t="s">
        <v>33</v>
      </c>
      <c r="H83" s="46">
        <v>103037000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5.1896489177314688E-3</v>
      </c>
      <c r="E86" s="92">
        <f>12875000</f>
        <v>12875000</v>
      </c>
      <c r="F86" s="58">
        <f>E86/C86*100%</f>
        <v>5.1896489177314688E-3</v>
      </c>
      <c r="G86" s="27" t="s">
        <v>33</v>
      </c>
      <c r="H86" s="46">
        <v>12875000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0.40483310174473314</v>
      </c>
      <c r="E87" s="92">
        <f>607770800+2900000</f>
        <v>610670800</v>
      </c>
      <c r="F87" s="58">
        <f>E87/C87*100%</f>
        <v>0.40483310174473314</v>
      </c>
      <c r="G87" s="27" t="s">
        <v>33</v>
      </c>
      <c r="H87" s="46">
        <v>610670800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6.2588543680036191E-2</v>
      </c>
      <c r="E89" s="63">
        <f>SUM(E90:E96)</f>
        <v>352867658</v>
      </c>
      <c r="F89" s="49">
        <f>E89/C89*100%</f>
        <v>6.2588543680036191E-2</v>
      </c>
      <c r="G89" s="18" t="s">
        <v>0</v>
      </c>
      <c r="H89" s="63">
        <f>SUM(H90:H96)</f>
        <v>352867658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>
        <f>E92/C92*100%</f>
        <v>0.56855135135135138</v>
      </c>
      <c r="E92" s="92">
        <f>105182000</f>
        <v>105182000</v>
      </c>
      <c r="F92" s="58">
        <f>E92/C92*100%</f>
        <v>0.56855135135135138</v>
      </c>
      <c r="G92" s="27" t="s">
        <v>33</v>
      </c>
      <c r="H92" s="46">
        <f>D92*C92</f>
        <v>105182000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</v>
      </c>
      <c r="E95" s="92">
        <v>0</v>
      </c>
      <c r="F95" s="58">
        <f>E95/C95*100%</f>
        <v>0</v>
      </c>
      <c r="G95" s="27" t="s">
        <v>33</v>
      </c>
      <c r="H95" s="46">
        <v>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0.12039616795684391</v>
      </c>
      <c r="E96" s="92">
        <f>247685658</f>
        <v>247685658</v>
      </c>
      <c r="F96" s="58">
        <f>E96/C96*100%</f>
        <v>0.12039616795684391</v>
      </c>
      <c r="G96" s="27" t="s">
        <v>33</v>
      </c>
      <c r="H96" s="46">
        <f>247685658</f>
        <v>247685658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0.28862335762487162</v>
      </c>
      <c r="E98" s="63">
        <f>SUM(E99:E105)</f>
        <v>717625820</v>
      </c>
      <c r="F98" s="49">
        <f>E98/C98*100%</f>
        <v>0.28862335762487162</v>
      </c>
      <c r="G98" s="18" t="s">
        <v>0</v>
      </c>
      <c r="H98" s="63">
        <f>SUM(H99:H105)</f>
        <v>717625820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>
        <f>E101/C101*100%</f>
        <v>0.77021621621621617</v>
      </c>
      <c r="E101" s="92">
        <f>142490000</f>
        <v>142490000</v>
      </c>
      <c r="F101" s="58">
        <f>E101/C101*100%</f>
        <v>0.77021621621621617</v>
      </c>
      <c r="G101" s="27" t="s">
        <v>33</v>
      </c>
      <c r="H101" s="46">
        <v>142490000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9.8865119854636946E-2</v>
      </c>
      <c r="E104" s="92">
        <f>141466100</f>
        <v>141466100</v>
      </c>
      <c r="F104" s="58">
        <f>E104/C104*100%</f>
        <v>9.8865119854636946E-2</v>
      </c>
      <c r="G104" s="27" t="s">
        <v>33</v>
      </c>
      <c r="H104" s="46">
        <v>141466100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0.49819909761423053</v>
      </c>
      <c r="E105" s="92">
        <f>433669720</f>
        <v>433669720</v>
      </c>
      <c r="F105" s="58">
        <f>E105/C105*100%</f>
        <v>0.49819909761423053</v>
      </c>
      <c r="G105" s="27" t="s">
        <v>33</v>
      </c>
      <c r="H105" s="46">
        <v>433669720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5.5563593838195036E-2</v>
      </c>
      <c r="E107" s="63">
        <f>SUM(E108:E114)</f>
        <v>532020638</v>
      </c>
      <c r="F107" s="49">
        <f>E107/C107*100%</f>
        <v>5.5563593838195036E-2</v>
      </c>
      <c r="G107" s="18" t="s">
        <v>0</v>
      </c>
      <c r="H107" s="63">
        <f>SUM(H108:H114)</f>
        <v>532020638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97">
        <f>E110/C110*100%</f>
        <v>0.53575432432432435</v>
      </c>
      <c r="E110" s="89">
        <f>99114550</f>
        <v>99114550</v>
      </c>
      <c r="F110" s="58">
        <f>E110/C110*100%</f>
        <v>0.53575432432432435</v>
      </c>
      <c r="G110" s="27" t="s">
        <v>33</v>
      </c>
      <c r="H110" s="46">
        <v>99114550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</v>
      </c>
      <c r="E113" s="92"/>
      <c r="F113" s="58">
        <f>E113/C113*100%</f>
        <v>0</v>
      </c>
      <c r="G113" s="27" t="s">
        <v>33</v>
      </c>
      <c r="H113" s="46">
        <f>D113*C113</f>
        <v>0</v>
      </c>
    </row>
    <row r="114" spans="1:8" x14ac:dyDescent="0.25">
      <c r="A114" s="28" t="s">
        <v>105</v>
      </c>
      <c r="B114" s="28" t="s">
        <v>41</v>
      </c>
      <c r="C114" s="108">
        <v>3539546088</v>
      </c>
      <c r="D114" s="97">
        <f t="shared" si="11"/>
        <v>0.12230553783934794</v>
      </c>
      <c r="E114" s="89">
        <f>432906088</f>
        <v>432906088</v>
      </c>
      <c r="F114" s="58">
        <f>E114/C114*100%</f>
        <v>0.12230553783934794</v>
      </c>
      <c r="G114" s="27" t="s">
        <v>33</v>
      </c>
      <c r="H114" s="46">
        <f>D114*C114</f>
        <v>432906088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Juni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26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26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E130/C130*100%</f>
        <v>0.27923798878188838</v>
      </c>
      <c r="E130" s="74">
        <f>E132+E144+E150+E156+E162+E168+E174+E180</f>
        <v>14516299239</v>
      </c>
      <c r="F130" s="42">
        <f>E130/C130*100%</f>
        <v>0.27923798878188838</v>
      </c>
      <c r="G130" s="15" t="s">
        <v>1</v>
      </c>
      <c r="H130" s="43">
        <f>H132+H144+H150+H156+H162+H168+H174+H180</f>
        <v>14516299239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0.50241202127035323</v>
      </c>
      <c r="E132" s="48">
        <f>SUM(E133:E142)</f>
        <v>7852233425</v>
      </c>
      <c r="F132" s="49">
        <f>E132/C132*100%</f>
        <v>0.50241202127035323</v>
      </c>
      <c r="G132" s="18" t="s">
        <v>0</v>
      </c>
      <c r="H132" s="48">
        <f>SUM(H133:H142)</f>
        <v>7852233425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0.29121650999999998</v>
      </c>
      <c r="E134" s="37">
        <f>SUM(E14:E20)</f>
        <v>29121651</v>
      </c>
      <c r="F134" s="58">
        <f>E134/C134*100%</f>
        <v>0.29121650999999998</v>
      </c>
      <c r="G134" s="27" t="s">
        <v>61</v>
      </c>
      <c r="H134" s="37">
        <f>SUM(H14:H20)</f>
        <v>29121651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13">H135/C135*100%</f>
        <v>0.51723809411120447</v>
      </c>
      <c r="E135" s="77">
        <f>SUM(E22:E24)</f>
        <v>7043268349</v>
      </c>
      <c r="F135" s="58">
        <f t="shared" ref="F135:F142" si="14">E135/C135*100%</f>
        <v>0.51723809411120447</v>
      </c>
      <c r="G135" s="27" t="s">
        <v>61</v>
      </c>
      <c r="H135" s="77">
        <f>SUM(H22:H24)</f>
        <v>7043268349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13"/>
        <v>0.55184622924071225</v>
      </c>
      <c r="E137" s="77">
        <f>SUM(E30:E36)</f>
        <v>136029047</v>
      </c>
      <c r="F137" s="58">
        <f t="shared" si="14"/>
        <v>0.55184622924071225</v>
      </c>
      <c r="G137" s="27" t="s">
        <v>61</v>
      </c>
      <c r="H137" s="77">
        <f>SUM(H30:H36)</f>
        <v>136029047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13"/>
        <v>0.39497325808425693</v>
      </c>
      <c r="E139" s="77">
        <f>SUM(E42:E43)</f>
        <v>101653280</v>
      </c>
      <c r="F139" s="58">
        <f t="shared" si="14"/>
        <v>0.39497325808425693</v>
      </c>
      <c r="G139" s="27" t="s">
        <v>61</v>
      </c>
      <c r="H139" s="77">
        <f>SUM(H42:H43)</f>
        <v>101653280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13"/>
        <v>0.25307360144145258</v>
      </c>
      <c r="E140" s="77">
        <f>SUM(E45:E48)</f>
        <v>85137498</v>
      </c>
      <c r="F140" s="58">
        <f t="shared" si="14"/>
        <v>0.25307360144145258</v>
      </c>
      <c r="G140" s="27" t="s">
        <v>61</v>
      </c>
      <c r="H140" s="77">
        <f>SUM(H45:H48)</f>
        <v>85137498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13"/>
        <v>0.42643936849177022</v>
      </c>
      <c r="E142" s="77">
        <f>SUM(E51)</f>
        <v>457023600</v>
      </c>
      <c r="F142" s="58">
        <f t="shared" si="14"/>
        <v>0.42643936849177022</v>
      </c>
      <c r="G142" s="27" t="s">
        <v>61</v>
      </c>
      <c r="H142" s="77">
        <f>SUM(H51)</f>
        <v>457023600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0.43192358258181779</v>
      </c>
      <c r="E144" s="48">
        <f>SUM(E145:E148)</f>
        <v>2144328212</v>
      </c>
      <c r="F144" s="49">
        <f>E144/C144*100%</f>
        <v>0.43192358258181779</v>
      </c>
      <c r="G144" s="18" t="s">
        <v>0</v>
      </c>
      <c r="H144" s="48">
        <f>SUM(H145:H148)</f>
        <v>2144328212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0.55142702702702706</v>
      </c>
      <c r="E146" s="37">
        <f>SUM(E56)</f>
        <v>102014000</v>
      </c>
      <c r="F146" s="58">
        <f>E146/C146*100%</f>
        <v>0.55142702702702706</v>
      </c>
      <c r="G146" s="27" t="s">
        <v>61</v>
      </c>
      <c r="H146" s="37">
        <f>SUM(H56)</f>
        <v>102014000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0.42729806308146423</v>
      </c>
      <c r="E148" s="77">
        <f>SUM(E59:E60)</f>
        <v>2042314212</v>
      </c>
      <c r="F148" s="58">
        <f>E148/C148*100%</f>
        <v>0.42729806308146423</v>
      </c>
      <c r="G148" s="27" t="s">
        <v>61</v>
      </c>
      <c r="H148" s="77">
        <f>SUM(H59:H60)</f>
        <v>2042314212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0.34991781132960531</v>
      </c>
      <c r="E150" s="48">
        <f>SUM(E151:E154)</f>
        <v>1632624818</v>
      </c>
      <c r="F150" s="49">
        <f>E150/C150*100%</f>
        <v>0.34991781132960531</v>
      </c>
      <c r="G150" s="18" t="s">
        <v>0</v>
      </c>
      <c r="H150" s="48">
        <f>SUM(H151:H154)</f>
        <v>1632624818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0.64875597014925368</v>
      </c>
      <c r="E152" s="37">
        <f>SUM(E65)</f>
        <v>217333250</v>
      </c>
      <c r="F152" s="58">
        <f>E152/C152*100%</f>
        <v>0.64875597014925368</v>
      </c>
      <c r="G152" s="27" t="s">
        <v>61</v>
      </c>
      <c r="H152" s="37">
        <f>SUM(H65)</f>
        <v>217333250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0.32680147782148156</v>
      </c>
      <c r="E154" s="77">
        <f>SUM(E68:E69)</f>
        <v>1415291568</v>
      </c>
      <c r="F154" s="58">
        <f>E154/C154*100%</f>
        <v>0.32680147782148156</v>
      </c>
      <c r="G154" s="27" t="s">
        <v>61</v>
      </c>
      <c r="H154" s="77">
        <f>SUM(H68:H69)</f>
        <v>1415291568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0.1149982632788424</v>
      </c>
      <c r="E156" s="48">
        <f>SUM(E157:E160)</f>
        <v>558015868</v>
      </c>
      <c r="F156" s="49">
        <f>E156/C156*100%</f>
        <v>0.1149982632788424</v>
      </c>
      <c r="G156" s="18" t="s">
        <v>0</v>
      </c>
      <c r="H156" s="48">
        <f>SUM(H157:H160)</f>
        <v>558015868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0.62431297297297295</v>
      </c>
      <c r="E158" s="37">
        <f>SUM(E74)</f>
        <v>115497900</v>
      </c>
      <c r="F158" s="58">
        <f>E158/C158*100%</f>
        <v>0.62431297297297295</v>
      </c>
      <c r="G158" s="27" t="s">
        <v>61</v>
      </c>
      <c r="H158" s="37">
        <f>SUM(H74)</f>
        <v>115497900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9.4810681208711112E-2</v>
      </c>
      <c r="E160" s="77">
        <f>SUM(E77:E78)</f>
        <v>442517968</v>
      </c>
      <c r="F160" s="58">
        <f>E160/C160*100%</f>
        <v>9.4810681208711112E-2</v>
      </c>
      <c r="G160" s="27" t="s">
        <v>61</v>
      </c>
      <c r="H160" s="77">
        <f>SUM(H77:H78)</f>
        <v>442517968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0.17405887568489811</v>
      </c>
      <c r="E162" s="48">
        <f>SUM(E163:E166)</f>
        <v>726582800</v>
      </c>
      <c r="F162" s="49">
        <f>E162/C162*100%</f>
        <v>0.17405887568489811</v>
      </c>
      <c r="G162" s="18" t="s">
        <v>0</v>
      </c>
      <c r="H162" s="48">
        <f>SUM(H163:H166)</f>
        <v>726582800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0.55695675675675671</v>
      </c>
      <c r="E164" s="37">
        <f>SUM(E83)</f>
        <v>103037000</v>
      </c>
      <c r="F164" s="58">
        <f>E164/C164*100%</f>
        <v>0.55695675675675671</v>
      </c>
      <c r="G164" s="27" t="s">
        <v>61</v>
      </c>
      <c r="H164" s="37">
        <f>SUM(H83)</f>
        <v>103037000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0.15630257591087326</v>
      </c>
      <c r="E166" s="77">
        <f>SUM(E86:E87)</f>
        <v>623545800</v>
      </c>
      <c r="F166" s="58">
        <f>E166/C166*100%</f>
        <v>0.15630257591087326</v>
      </c>
      <c r="G166" s="27" t="s">
        <v>61</v>
      </c>
      <c r="H166" s="77">
        <f>SUM(H86:H87)</f>
        <v>623545800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6.2588543680036191E-2</v>
      </c>
      <c r="E168" s="48">
        <f>SUM(E169:E172)</f>
        <v>352867658</v>
      </c>
      <c r="F168" s="49">
        <f>E168/C168*100%</f>
        <v>6.2588543680036191E-2</v>
      </c>
      <c r="G168" s="18" t="s">
        <v>0</v>
      </c>
      <c r="H168" s="48">
        <f>SUM(H169:H172)</f>
        <v>352867658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0.56855135135135138</v>
      </c>
      <c r="E170" s="37">
        <f>SUM(E92)</f>
        <v>105182000</v>
      </c>
      <c r="F170" s="58">
        <f>E170/C170*100%</f>
        <v>0.56855135135135138</v>
      </c>
      <c r="G170" s="27" t="s">
        <v>61</v>
      </c>
      <c r="H170" s="37">
        <f>SUM(H92)</f>
        <v>105182000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4.5422778744378639E-2</v>
      </c>
      <c r="E172" s="77">
        <f>SUM(E95:E96)</f>
        <v>247685658</v>
      </c>
      <c r="F172" s="58">
        <f>E172/C172*100%</f>
        <v>4.5422778744378639E-2</v>
      </c>
      <c r="G172" s="27" t="s">
        <v>61</v>
      </c>
      <c r="H172" s="77">
        <f>SUM(H95:H96)</f>
        <v>247685658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0.28862335762487162</v>
      </c>
      <c r="E174" s="48">
        <f>SUM(E175:E178)</f>
        <v>717625820</v>
      </c>
      <c r="F174" s="49">
        <f>E174/C174*100%</f>
        <v>0.28862335762487162</v>
      </c>
      <c r="G174" s="18" t="s">
        <v>0</v>
      </c>
      <c r="H174" s="48">
        <f>SUM(H175:H178)</f>
        <v>717625820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0.77021621621621617</v>
      </c>
      <c r="E176" s="37">
        <f>SUM(E101)</f>
        <v>142490000</v>
      </c>
      <c r="F176" s="58">
        <f>E176/C176*100%</f>
        <v>0.77021621621621617</v>
      </c>
      <c r="G176" s="27" t="s">
        <v>61</v>
      </c>
      <c r="H176" s="37">
        <f>SUM(H101)</f>
        <v>142490000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0.24990968007157044</v>
      </c>
      <c r="E178" s="77">
        <f>SUM(E104:E105)</f>
        <v>575135820</v>
      </c>
      <c r="F178" s="58">
        <f>E178/C178*100%</f>
        <v>0.24990968007157044</v>
      </c>
      <c r="G178" s="27" t="s">
        <v>61</v>
      </c>
      <c r="H178" s="77">
        <f>SUM(H104:H105)</f>
        <v>575135820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5.5563593838195036E-2</v>
      </c>
      <c r="E180" s="48">
        <f>SUM(E181:E184)</f>
        <v>532020638</v>
      </c>
      <c r="F180" s="49">
        <f>E180/C180*100%</f>
        <v>5.5563593838195036E-2</v>
      </c>
      <c r="G180" s="18" t="s">
        <v>0</v>
      </c>
      <c r="H180" s="48">
        <f>SUM(H181:H184)</f>
        <v>532020638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0.53575432432432435</v>
      </c>
      <c r="E182" s="37">
        <f>SUM(E110)</f>
        <v>99114550</v>
      </c>
      <c r="F182" s="58">
        <f>E182/C182*100%</f>
        <v>0.53575432432432435</v>
      </c>
      <c r="G182" s="27" t="s">
        <v>61</v>
      </c>
      <c r="H182" s="37">
        <f>SUM(H110)</f>
        <v>99114550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4.6102953076068501E-2</v>
      </c>
      <c r="E184" s="77">
        <f>SUM(E112:E114)</f>
        <v>432906088</v>
      </c>
      <c r="F184" s="58">
        <f>E184/C184*100%</f>
        <v>4.6102953076068501E-2</v>
      </c>
      <c r="G184" s="27" t="s">
        <v>61</v>
      </c>
      <c r="H184" s="77">
        <f>SUM(H112:H114)</f>
        <v>432906088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Juni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26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26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0.27923798878188838</v>
      </c>
      <c r="E196" s="74">
        <f>E198+E202+E206+E210+E214+E218+E222+E226</f>
        <v>14516299239</v>
      </c>
      <c r="F196" s="42">
        <f>E196/C196*100%</f>
        <v>0.27923798878188838</v>
      </c>
      <c r="G196" s="15" t="s">
        <v>1</v>
      </c>
      <c r="H196" s="43">
        <f>H198+H202+H206+H210+H214+H218+H222+H226</f>
        <v>14516299239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0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0.50241202127035323</v>
      </c>
      <c r="E198" s="48">
        <f>SUM(E199:E200)</f>
        <v>7852233425</v>
      </c>
      <c r="F198" s="49">
        <f>E198/C198*100%</f>
        <v>0.50241202127035323</v>
      </c>
      <c r="G198" s="18" t="s">
        <v>0</v>
      </c>
      <c r="H198" s="48">
        <f>SUM(H199:H200)</f>
        <v>7852233425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0.50800516856708255</v>
      </c>
      <c r="E199" s="37">
        <f>SUM(E134:E140)</f>
        <v>7395209825</v>
      </c>
      <c r="F199" s="58">
        <f>E199/C199*100%</f>
        <v>0.50800516856708255</v>
      </c>
      <c r="G199" s="27" t="s">
        <v>32</v>
      </c>
      <c r="H199" s="37">
        <f>SUM(H134:H140)</f>
        <v>7395209825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0.42643936849177022</v>
      </c>
      <c r="E200" s="77">
        <f>SUM(E142)</f>
        <v>457023600</v>
      </c>
      <c r="F200" s="58">
        <f>E200/C200*100%</f>
        <v>0.42643936849177022</v>
      </c>
      <c r="G200" s="27" t="s">
        <v>32</v>
      </c>
      <c r="H200" s="77">
        <f>SUM(H142)</f>
        <v>457023600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0.43192358258181779</v>
      </c>
      <c r="E202" s="88">
        <f>SUM(E203:E204)</f>
        <v>2144328212</v>
      </c>
      <c r="F202" s="49">
        <f>E202/C202*100%</f>
        <v>0.43192358258181779</v>
      </c>
      <c r="G202" s="18" t="s">
        <v>0</v>
      </c>
      <c r="H202" s="43">
        <f>SUM(H203:H204)</f>
        <v>2144328212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0.55142702702702706</v>
      </c>
      <c r="E203" s="37">
        <f>SUM(E146)</f>
        <v>102014000</v>
      </c>
      <c r="F203" s="58">
        <f>E203/C203*100%</f>
        <v>0.55142702702702706</v>
      </c>
      <c r="G203" s="27" t="s">
        <v>32</v>
      </c>
      <c r="H203" s="37">
        <f>SUM(H146)</f>
        <v>102014000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0.42729806308146423</v>
      </c>
      <c r="E204" s="77">
        <f>SUM(E148:E148)</f>
        <v>2042314212</v>
      </c>
      <c r="F204" s="58">
        <f>E204/C204*100%</f>
        <v>0.42729806308146423</v>
      </c>
      <c r="G204" s="27" t="s">
        <v>32</v>
      </c>
      <c r="H204" s="77">
        <f>SUM(H148:H148)</f>
        <v>2042314212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0.34991781132960531</v>
      </c>
      <c r="E206" s="88">
        <f>SUM(E207:E209)</f>
        <v>1632624818</v>
      </c>
      <c r="F206" s="49">
        <f>E206/C206*100%</f>
        <v>0.34991781132960531</v>
      </c>
      <c r="G206" s="18" t="s">
        <v>0</v>
      </c>
      <c r="H206" s="43">
        <f>SUM(H207:H209)</f>
        <v>1632624818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0.64875597014925368</v>
      </c>
      <c r="E207" s="37">
        <f>SUM(E152)</f>
        <v>217333250</v>
      </c>
      <c r="F207" s="58">
        <f>E207/C207*100%</f>
        <v>0.64875597014925368</v>
      </c>
      <c r="G207" s="27" t="s">
        <v>32</v>
      </c>
      <c r="H207" s="37">
        <f>SUM(H152)</f>
        <v>217333250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0.32680147782148156</v>
      </c>
      <c r="E208" s="77">
        <f>SUM(E154:E154)</f>
        <v>1415291568</v>
      </c>
      <c r="F208" s="58">
        <f>E208/C208*100%</f>
        <v>0.32680147782148156</v>
      </c>
      <c r="G208" s="27" t="s">
        <v>32</v>
      </c>
      <c r="H208" s="77">
        <f>SUM(H154:H154)</f>
        <v>1415291568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0.1149982632788424</v>
      </c>
      <c r="E210" s="88">
        <f>SUM(E211:E212)</f>
        <v>558015868</v>
      </c>
      <c r="F210" s="49">
        <f>E210/C210*100%</f>
        <v>0.1149982632788424</v>
      </c>
      <c r="G210" s="18" t="s">
        <v>0</v>
      </c>
      <c r="H210" s="43">
        <f>SUM(H211:H212)</f>
        <v>558015868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0.62431297297297295</v>
      </c>
      <c r="E211" s="37">
        <f>SUM(E158)</f>
        <v>115497900</v>
      </c>
      <c r="F211" s="58">
        <f>E211/C211*100%</f>
        <v>0.62431297297297295</v>
      </c>
      <c r="G211" s="27" t="s">
        <v>32</v>
      </c>
      <c r="H211" s="37">
        <f>SUM(H158)</f>
        <v>115497900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9.4810681208711112E-2</v>
      </c>
      <c r="E212" s="77">
        <f>SUM(E160:E160)</f>
        <v>442517968</v>
      </c>
      <c r="F212" s="58">
        <f>E212/C212*100%</f>
        <v>9.4810681208711112E-2</v>
      </c>
      <c r="G212" s="27" t="s">
        <v>32</v>
      </c>
      <c r="H212" s="77">
        <f>SUM(H160:H160)</f>
        <v>442517968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0.17405887568489811</v>
      </c>
      <c r="E214" s="88">
        <f>SUM(E215:E216)</f>
        <v>726582800</v>
      </c>
      <c r="F214" s="49">
        <f>E214/C214*100%</f>
        <v>0.17405887568489811</v>
      </c>
      <c r="G214" s="18" t="s">
        <v>0</v>
      </c>
      <c r="H214" s="43">
        <f>SUM(H215:H216)</f>
        <v>726582800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0.55695675675675671</v>
      </c>
      <c r="E215" s="37">
        <f>SUM(E164)</f>
        <v>103037000</v>
      </c>
      <c r="F215" s="58">
        <f>E215/C215*100%</f>
        <v>0.55695675675675671</v>
      </c>
      <c r="G215" s="27" t="s">
        <v>32</v>
      </c>
      <c r="H215" s="37">
        <f>SUM(H164)</f>
        <v>103037000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0.15630257591087326</v>
      </c>
      <c r="E216" s="77">
        <f>SUM(E166:E166)</f>
        <v>623545800</v>
      </c>
      <c r="F216" s="58">
        <f>E216/C216*100%</f>
        <v>0.15630257591087326</v>
      </c>
      <c r="G216" s="27" t="s">
        <v>32</v>
      </c>
      <c r="H216" s="77">
        <f>SUM(H166:H166)</f>
        <v>623545800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6.2588543680036191E-2</v>
      </c>
      <c r="E218" s="88">
        <f>SUM(E219:E220)</f>
        <v>352867658</v>
      </c>
      <c r="F218" s="49">
        <f>E218/C218*100%</f>
        <v>6.2588543680036191E-2</v>
      </c>
      <c r="G218" s="18" t="s">
        <v>0</v>
      </c>
      <c r="H218" s="43">
        <f>SUM(H219:H220)</f>
        <v>352867658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0.56855135135135138</v>
      </c>
      <c r="E219" s="37">
        <f>SUM(E170)</f>
        <v>105182000</v>
      </c>
      <c r="F219" s="58">
        <f>E219/C219*100%</f>
        <v>0.56855135135135138</v>
      </c>
      <c r="G219" s="27" t="s">
        <v>32</v>
      </c>
      <c r="H219" s="37">
        <f>SUM(H170)</f>
        <v>105182000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4.5422778744378639E-2</v>
      </c>
      <c r="E220" s="77">
        <f>SUM(E172:E172)</f>
        <v>247685658</v>
      </c>
      <c r="F220" s="58">
        <f>E220/C220*100%</f>
        <v>4.5422778744378639E-2</v>
      </c>
      <c r="G220" s="27" t="s">
        <v>32</v>
      </c>
      <c r="H220" s="77">
        <f>SUM(H172:H172)</f>
        <v>247685658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0.28862335762487162</v>
      </c>
      <c r="E222" s="88">
        <f>SUM(E223:E224)</f>
        <v>717625820</v>
      </c>
      <c r="F222" s="49">
        <f>E222/C222*100%</f>
        <v>0.28862335762487162</v>
      </c>
      <c r="G222" s="18" t="s">
        <v>0</v>
      </c>
      <c r="H222" s="43">
        <f>SUM(H223:H224)</f>
        <v>717625820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0.77021621621621617</v>
      </c>
      <c r="E223" s="37">
        <f>SUM(E176)</f>
        <v>142490000</v>
      </c>
      <c r="F223" s="58">
        <f>E223/C223*100%</f>
        <v>0.77021621621621617</v>
      </c>
      <c r="G223" s="27" t="s">
        <v>32</v>
      </c>
      <c r="H223" s="37">
        <f>SUM(H176)</f>
        <v>142490000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0.24990968007157044</v>
      </c>
      <c r="E224" s="77">
        <f>SUM(E178:E178)</f>
        <v>575135820</v>
      </c>
      <c r="F224" s="58">
        <f>E224/C224*100%</f>
        <v>0.24990968007157044</v>
      </c>
      <c r="G224" s="27" t="s">
        <v>32</v>
      </c>
      <c r="H224" s="77">
        <f>SUM(H178:H178)</f>
        <v>575135820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5.5563593838195036E-2</v>
      </c>
      <c r="E226" s="88">
        <f>SUM(E227:E228)</f>
        <v>532020638</v>
      </c>
      <c r="F226" s="49">
        <f>E226/C226*100%</f>
        <v>5.5563593838195036E-2</v>
      </c>
      <c r="G226" s="18" t="s">
        <v>0</v>
      </c>
      <c r="H226" s="43">
        <f>SUM(H227:H228)</f>
        <v>532020638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0.53575432432432435</v>
      </c>
      <c r="E227" s="37">
        <f>SUM(E182)</f>
        <v>99114550</v>
      </c>
      <c r="F227" s="58">
        <f>E227/C227*100%</f>
        <v>0.53575432432432435</v>
      </c>
      <c r="G227" s="27" t="s">
        <v>32</v>
      </c>
      <c r="H227" s="37">
        <f>SUM(H182)</f>
        <v>99114550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4.6102953076068501E-2</v>
      </c>
      <c r="E228" s="77">
        <f>SUM(E184:E184)</f>
        <v>432906088</v>
      </c>
      <c r="F228" s="58">
        <f>E228/C228*100%</f>
        <v>4.6102953076068501E-2</v>
      </c>
      <c r="G228" s="27" t="s">
        <v>32</v>
      </c>
      <c r="H228" s="77">
        <f>SUM(H184:H184)</f>
        <v>432906088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Juni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26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26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0.27923798878188838</v>
      </c>
      <c r="E240" s="14">
        <f>SUM(E242:E244)</f>
        <v>14516299239</v>
      </c>
      <c r="F240" s="42">
        <f>E240/C240*100%</f>
        <v>0.27923798878188838</v>
      </c>
      <c r="G240" s="15" t="s">
        <v>1</v>
      </c>
      <c r="H240" s="14">
        <f>SUM(H242:H244)</f>
        <v>14516299239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0.50800516856708255</v>
      </c>
      <c r="E242" s="37">
        <f>E199</f>
        <v>7395209825</v>
      </c>
      <c r="F242" s="58">
        <f>E242/C242*100%</f>
        <v>0.50800516856708255</v>
      </c>
      <c r="G242" s="27" t="s">
        <v>32</v>
      </c>
      <c r="H242" s="37">
        <f>H199</f>
        <v>7395209825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17">H243/C243*100%</f>
        <v>0.53311147048539365</v>
      </c>
      <c r="E243" s="77">
        <f>E200+E203+E207+E211+E215+E219+E223+E227</f>
        <v>1341692300</v>
      </c>
      <c r="F243" s="58">
        <f t="shared" ref="F243:F244" si="18">E243/C243*100%</f>
        <v>0.53311147048539365</v>
      </c>
      <c r="G243" s="27" t="s">
        <v>32</v>
      </c>
      <c r="H243" s="77">
        <f>H200+H203+H207+H211+H215+H219+H223+H227</f>
        <v>1341692300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17"/>
        <v>0.16554502381894753</v>
      </c>
      <c r="E244" s="77">
        <f>E204+E208+E212+E216+E220+E224+E228</f>
        <v>5779397114</v>
      </c>
      <c r="F244" s="58">
        <f t="shared" si="18"/>
        <v>0.16554502381894753</v>
      </c>
      <c r="G244" s="27" t="s">
        <v>32</v>
      </c>
      <c r="H244" s="77">
        <f>H204+H208+H212+H216+H220+H224+H228</f>
        <v>5779397114</v>
      </c>
    </row>
  </sheetData>
  <mergeCells count="32">
    <mergeCell ref="A233:G233"/>
    <mergeCell ref="B236:G236"/>
    <mergeCell ref="A237:A239"/>
    <mergeCell ref="B237:B239"/>
    <mergeCell ref="C237:C238"/>
    <mergeCell ref="D237:F237"/>
    <mergeCell ref="G237:G239"/>
    <mergeCell ref="E238:F23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2:G2"/>
    <mergeCell ref="B5:G5"/>
    <mergeCell ref="A6:A8"/>
    <mergeCell ref="B6:B8"/>
    <mergeCell ref="C6:C8"/>
    <mergeCell ref="D6:F6"/>
    <mergeCell ref="G6:G8"/>
    <mergeCell ref="E7:F7"/>
  </mergeCells>
  <printOptions horizontalCentered="1"/>
  <pageMargins left="0" right="0.7" top="0.75" bottom="0.75" header="0.3" footer="0.3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workbookViewId="0">
      <selection sqref="A1:G114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139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27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E9/C9*100%</f>
        <v>0.38612166633786255</v>
      </c>
      <c r="E9" s="40">
        <f>E11+E53+E62+E71+E80+E89+E98+E107</f>
        <v>20072690237</v>
      </c>
      <c r="F9" s="42">
        <f>E9/C9*100%</f>
        <v>0.38612166633786255</v>
      </c>
      <c r="G9" s="15" t="s">
        <v>1</v>
      </c>
      <c r="H9" s="43">
        <v>20072690237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15629071544</v>
      </c>
      <c r="D11" s="49">
        <f>E11/C11*100%</f>
        <v>0.5739155136469698</v>
      </c>
      <c r="E11" s="48">
        <f>SUM(E14:E51)</f>
        <v>8969766623</v>
      </c>
      <c r="F11" s="49">
        <f>E11/C11*100%</f>
        <v>0.5739155136469698</v>
      </c>
      <c r="G11" s="18" t="s">
        <v>0</v>
      </c>
      <c r="H11" s="48">
        <v>8969766623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0.54323301999999996</v>
      </c>
      <c r="E14" s="92">
        <f>27161651</f>
        <v>27161651</v>
      </c>
      <c r="F14" s="58">
        <f>E14/C14*100%</f>
        <v>0.54323301999999996</v>
      </c>
      <c r="G14" s="27" t="s">
        <v>33</v>
      </c>
      <c r="H14" s="46">
        <v>27161651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ref="H15:H18" si="0">D15*C15</f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0.28000000000000003</v>
      </c>
      <c r="E19" s="92">
        <f>8400000</f>
        <v>8400000</v>
      </c>
      <c r="F19" s="58">
        <f>E19/C19*100%</f>
        <v>0.28000000000000003</v>
      </c>
      <c r="G19" s="27" t="s">
        <v>33</v>
      </c>
      <c r="H19" s="46">
        <v>8400000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0.45900000000000002</v>
      </c>
      <c r="E20" s="92">
        <f>9180000</f>
        <v>9180000</v>
      </c>
      <c r="F20" s="58">
        <f>E20/C20*100%</f>
        <v>0.45900000000000002</v>
      </c>
      <c r="G20" s="27" t="s">
        <v>33</v>
      </c>
      <c r="H20" s="46">
        <v>9180000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11713143962</v>
      </c>
      <c r="D22" s="97">
        <f>E22/C22*100%</f>
        <v>0.58787297495353708</v>
      </c>
      <c r="E22" s="100">
        <f>6885840787</f>
        <v>6885840787</v>
      </c>
      <c r="F22" s="58">
        <f>E22/C22*100%</f>
        <v>0.58787297495353708</v>
      </c>
      <c r="G22" s="27" t="s">
        <v>33</v>
      </c>
      <c r="H22" s="46">
        <v>6885840787</v>
      </c>
    </row>
    <row r="23" spans="1:8" ht="30" x14ac:dyDescent="0.25">
      <c r="A23" s="28" t="s">
        <v>78</v>
      </c>
      <c r="B23" s="28" t="s">
        <v>11</v>
      </c>
      <c r="C23" s="108">
        <v>1853928000</v>
      </c>
      <c r="D23" s="97">
        <f>E23/C23*100%</f>
        <v>0.55318048111900786</v>
      </c>
      <c r="E23" s="100">
        <f>1025556783</f>
        <v>1025556783</v>
      </c>
      <c r="F23" s="58">
        <f>E23/C23*100%</f>
        <v>0.55318048111900786</v>
      </c>
      <c r="G23" s="27" t="s">
        <v>33</v>
      </c>
      <c r="H23" s="46">
        <v>1025556783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0.36905349999999998</v>
      </c>
      <c r="E24" s="100">
        <f>18452675</f>
        <v>18452675</v>
      </c>
      <c r="F24" s="58">
        <f>E24/C24*100%</f>
        <v>0.36905349999999998</v>
      </c>
      <c r="G24" s="27" t="s">
        <v>33</v>
      </c>
      <c r="H24" s="46">
        <v>18452675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0.22836047935294773</v>
      </c>
      <c r="E30" s="92">
        <f>3077500</f>
        <v>3077500</v>
      </c>
      <c r="F30" s="58">
        <f>E30/C30*100%</f>
        <v>0.22836047935294773</v>
      </c>
      <c r="G30" s="27" t="s">
        <v>33</v>
      </c>
      <c r="H30" s="46">
        <f t="shared" ref="H30:H35" si="2">D30*C30</f>
        <v>3077500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2"/>
        <v>0</v>
      </c>
    </row>
    <row r="32" spans="1:8" x14ac:dyDescent="0.25">
      <c r="A32" s="28" t="s">
        <v>86</v>
      </c>
      <c r="B32" s="28" t="s">
        <v>16</v>
      </c>
      <c r="C32" s="108">
        <v>6708000</v>
      </c>
      <c r="D32" s="97">
        <f t="shared" ref="D32:D36" si="3">E32/C32*100%</f>
        <v>0.41271615980918308</v>
      </c>
      <c r="E32" s="92">
        <f>2768500</f>
        <v>2768500</v>
      </c>
      <c r="F32" s="58">
        <f>E32/C32*100%</f>
        <v>0.41271615980918308</v>
      </c>
      <c r="G32" s="27" t="s">
        <v>33</v>
      </c>
      <c r="H32" s="46">
        <v>2768500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0.55958504527185482</v>
      </c>
      <c r="E33" s="92">
        <f>22981500+12048300</f>
        <v>35029800</v>
      </c>
      <c r="F33" s="58">
        <f>E33/C33*100%</f>
        <v>0.55958504527185482</v>
      </c>
      <c r="G33" s="27" t="s">
        <v>33</v>
      </c>
      <c r="H33" s="46">
        <v>35029800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</v>
      </c>
      <c r="E35" s="92"/>
      <c r="F35" s="58">
        <f>E35/C35*100%</f>
        <v>0</v>
      </c>
      <c r="G35" s="27" t="s">
        <v>33</v>
      </c>
      <c r="H35" s="46">
        <f t="shared" si="2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>
        <f t="shared" si="3"/>
        <v>0.98444024772381888</v>
      </c>
      <c r="E36" s="92">
        <f>89649136+56750911</f>
        <v>146400047</v>
      </c>
      <c r="F36" s="58">
        <f>E36/C36*100%</f>
        <v>0.98444024772381888</v>
      </c>
      <c r="G36" s="27" t="s">
        <v>33</v>
      </c>
      <c r="H36" s="46">
        <v>146400047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0.50307612457476281</v>
      </c>
      <c r="E42" s="100">
        <f>118540632+873290</f>
        <v>119413922</v>
      </c>
      <c r="F42" s="58">
        <f>E42/C42*100%</f>
        <v>0.50307612457476281</v>
      </c>
      <c r="G42" s="27" t="s">
        <v>33</v>
      </c>
      <c r="H42" s="46">
        <v>119413922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20000000</v>
      </c>
      <c r="D43" s="97">
        <f>E43/C43*100%</f>
        <v>0.42499999999999999</v>
      </c>
      <c r="E43" s="91">
        <f>8500000</f>
        <v>8500000</v>
      </c>
      <c r="F43" s="58">
        <f>E43/C43*100%</f>
        <v>0.42499999999999999</v>
      </c>
      <c r="G43" s="27" t="s">
        <v>33</v>
      </c>
      <c r="H43" s="46">
        <v>8500000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151843982</v>
      </c>
      <c r="D45" s="97">
        <f>E45/C45*100%</f>
        <v>0.40878586152989588</v>
      </c>
      <c r="E45" s="92">
        <f>3670000+58401673</f>
        <v>62071673</v>
      </c>
      <c r="F45" s="58">
        <f>E45/C45*100%</f>
        <v>0.40878586152989588</v>
      </c>
      <c r="G45" s="27" t="s">
        <v>33</v>
      </c>
      <c r="H45" s="46">
        <v>62071673</v>
      </c>
    </row>
    <row r="46" spans="1:10" x14ac:dyDescent="0.25">
      <c r="A46" s="25" t="s">
        <v>95</v>
      </c>
      <c r="B46" s="106" t="s">
        <v>66</v>
      </c>
      <c r="C46" s="109">
        <v>30280000</v>
      </c>
      <c r="D46" s="97">
        <f t="shared" ref="D46:D48" si="4">E46/C46*100%</f>
        <v>0.50809114927344778</v>
      </c>
      <c r="E46" s="92">
        <f>15385000</f>
        <v>15385000</v>
      </c>
      <c r="F46" s="58">
        <f>E46/C46*100%</f>
        <v>0.50809114927344778</v>
      </c>
      <c r="G46" s="27" t="s">
        <v>33</v>
      </c>
      <c r="H46" s="46">
        <v>15385000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1.0188292319164802E-2</v>
      </c>
      <c r="E47" s="92">
        <f>1093000</f>
        <v>1093000</v>
      </c>
      <c r="F47" s="58">
        <f>E47/C47*100%</f>
        <v>1.0188292319164802E-2</v>
      </c>
      <c r="G47" s="27" t="s">
        <v>33</v>
      </c>
      <c r="H47" s="46">
        <f>D47*C47</f>
        <v>1093000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0.41003669432035739</v>
      </c>
      <c r="E48" s="92">
        <f>13220925+6054900</f>
        <v>19275825</v>
      </c>
      <c r="F48" s="58">
        <f>E48/C48*100%</f>
        <v>0.41003669432035739</v>
      </c>
      <c r="G48" s="27" t="s">
        <v>33</v>
      </c>
      <c r="H48" s="46">
        <v>19275825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>
        <f>E51/C51*100%</f>
        <v>0.54320107863994327</v>
      </c>
      <c r="E51" s="90">
        <f>582159460</f>
        <v>582159460</v>
      </c>
      <c r="F51" s="58">
        <f>E51/C51*100%</f>
        <v>0.54320107863994327</v>
      </c>
      <c r="G51" s="27" t="s">
        <v>33</v>
      </c>
      <c r="H51" s="46">
        <v>582159460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E53/C53*100%</f>
        <v>0.45869962407161563</v>
      </c>
      <c r="E53" s="63">
        <f>SUM(E54:E60)</f>
        <v>2277260572</v>
      </c>
      <c r="F53" s="49">
        <f>E53/C53*100%</f>
        <v>0.45869962407161563</v>
      </c>
      <c r="G53" s="18" t="s">
        <v>0</v>
      </c>
      <c r="H53" s="63">
        <v>2277260572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>
        <f>E56/C56*100%</f>
        <v>0.58889924324324328</v>
      </c>
      <c r="E56" s="92">
        <f>108946360</f>
        <v>108946360</v>
      </c>
      <c r="F56" s="58">
        <f>E56/C56*100%</f>
        <v>0.58889924324324328</v>
      </c>
      <c r="G56" s="27" t="s">
        <v>33</v>
      </c>
      <c r="H56" s="46">
        <v>108946360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>
        <v>108946360</v>
      </c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0.30344228468497536</v>
      </c>
      <c r="E59" s="92">
        <f>902935000</f>
        <v>902935000</v>
      </c>
      <c r="F59" s="58">
        <f>E59/C59*100%</f>
        <v>0.30344228468497536</v>
      </c>
      <c r="G59" s="27" t="s">
        <v>33</v>
      </c>
      <c r="H59" s="46">
        <v>902935000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0.70144491689518385</v>
      </c>
      <c r="E60" s="92">
        <f>898853212+366526000</f>
        <v>1265379212</v>
      </c>
      <c r="F60" s="58">
        <f>E60/C60*100%</f>
        <v>0.70144491689518385</v>
      </c>
      <c r="G60" s="27" t="s">
        <v>33</v>
      </c>
      <c r="H60" s="46">
        <v>1265379212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0.37583704657800876</v>
      </c>
      <c r="E62" s="63">
        <f>SUM(E63:E69)</f>
        <v>1753557178</v>
      </c>
      <c r="F62" s="49">
        <f>E62/C62*100%</f>
        <v>0.37583704657800876</v>
      </c>
      <c r="G62" s="18" t="s">
        <v>0</v>
      </c>
      <c r="H62" s="63">
        <v>1753557178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>
        <f>E65/C65*100%</f>
        <v>0.66944958208955219</v>
      </c>
      <c r="E65" s="92">
        <f>224265610</f>
        <v>224265610</v>
      </c>
      <c r="F65" s="58">
        <f>E65/C65*100%</f>
        <v>0.66944958208955219</v>
      </c>
      <c r="G65" s="27" t="s">
        <v>33</v>
      </c>
      <c r="H65" s="46">
        <v>224265610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0.28644032585953616</v>
      </c>
      <c r="E68" s="92">
        <f>35640000+736500000</f>
        <v>772140000</v>
      </c>
      <c r="F68" s="58">
        <f>E68/C68*100%</f>
        <v>0.28644032585953616</v>
      </c>
      <c r="G68" s="27" t="s">
        <v>33</v>
      </c>
      <c r="H68" s="46">
        <v>772140000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0.46306189770764855</v>
      </c>
      <c r="E69" s="92">
        <f>757151568</f>
        <v>757151568</v>
      </c>
      <c r="F69" s="58">
        <f>E69/C69*100%</f>
        <v>0.46306189770764855</v>
      </c>
      <c r="G69" s="27" t="s">
        <v>33</v>
      </c>
      <c r="H69" s="46">
        <v>757151568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0.11560415087707786</v>
      </c>
      <c r="E71" s="63">
        <f>SUM(E72:E78)</f>
        <v>560955868</v>
      </c>
      <c r="F71" s="49">
        <f>E71/C71*100%</f>
        <v>0.11560415087707786</v>
      </c>
      <c r="G71" s="18" t="s">
        <v>0</v>
      </c>
      <c r="H71" s="63">
        <f>SUM(H72:H78)</f>
        <v>560955868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>
        <f>E74/C74*100%</f>
        <v>0.62431297297297295</v>
      </c>
      <c r="E74" s="92">
        <f>115497900</f>
        <v>115497900</v>
      </c>
      <c r="F74" s="58">
        <f>E74/C74*100%</f>
        <v>0.62431297297297295</v>
      </c>
      <c r="G74" s="27" t="s">
        <v>33</v>
      </c>
      <c r="H74" s="46">
        <f>D74*C74</f>
        <v>115497900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2905640000</v>
      </c>
      <c r="D77" s="97">
        <f t="shared" ref="D77:D78" si="7">E77/C77*100%</f>
        <v>5.5554025963298961E-2</v>
      </c>
      <c r="E77" s="92">
        <f>161420000</f>
        <v>161420000</v>
      </c>
      <c r="F77" s="58">
        <f>E77/C77*100%</f>
        <v>5.5554025963298961E-2</v>
      </c>
      <c r="G77" s="27" t="s">
        <v>33</v>
      </c>
      <c r="H77" s="46">
        <f>D77*C77</f>
        <v>161420000</v>
      </c>
    </row>
    <row r="78" spans="1:8" x14ac:dyDescent="0.25">
      <c r="A78" s="28" t="s">
        <v>105</v>
      </c>
      <c r="B78" s="28" t="s">
        <v>41</v>
      </c>
      <c r="C78" s="108">
        <v>1761745176</v>
      </c>
      <c r="D78" s="97">
        <f t="shared" si="7"/>
        <v>0.16122534170628544</v>
      </c>
      <c r="E78" s="92">
        <f>284037968</f>
        <v>284037968</v>
      </c>
      <c r="F78" s="58">
        <f>E78/C78*100%</f>
        <v>0.16122534170628544</v>
      </c>
      <c r="G78" s="27" t="s">
        <v>33</v>
      </c>
      <c r="H78" s="46">
        <v>284037968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0.5583316529921889</v>
      </c>
      <c r="E80" s="63">
        <f>SUM(E81:E87)</f>
        <v>2330672160</v>
      </c>
      <c r="F80" s="49">
        <f>E80/C80*100%</f>
        <v>0.5583316529921889</v>
      </c>
      <c r="G80" s="18" t="s">
        <v>0</v>
      </c>
      <c r="H80" s="63">
        <v>2330672160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>
        <f>E83/C83*100%</f>
        <v>0.64527762162162161</v>
      </c>
      <c r="E83" s="92">
        <f>119376360</f>
        <v>119376360</v>
      </c>
      <c r="F83" s="58">
        <f>E83/C83*100%</f>
        <v>0.64527762162162161</v>
      </c>
      <c r="G83" s="27" t="s">
        <v>33</v>
      </c>
      <c r="H83" s="46">
        <v>119376360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0.63133338707727038</v>
      </c>
      <c r="E86" s="92">
        <f>12875000+1553400000</f>
        <v>1566275000</v>
      </c>
      <c r="F86" s="58">
        <f>E86/C86*100%</f>
        <v>0.63133338707727038</v>
      </c>
      <c r="G86" s="27" t="s">
        <v>33</v>
      </c>
      <c r="H86" s="46">
        <v>1566275000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0.42760480958622737</v>
      </c>
      <c r="E87" s="92">
        <f>607770800+37250000</f>
        <v>645020800</v>
      </c>
      <c r="F87" s="58">
        <f>E87/C87*100%</f>
        <v>0.42760480958622737</v>
      </c>
      <c r="G87" s="27" t="s">
        <v>33</v>
      </c>
      <c r="H87" s="46">
        <f>645020800</f>
        <v>645020800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9.6800310443791199E-2</v>
      </c>
      <c r="E89" s="63">
        <f>SUM(E90:E96)</f>
        <v>545750018</v>
      </c>
      <c r="F89" s="49">
        <f>E89/C89*100%</f>
        <v>9.6800310443791199E-2</v>
      </c>
      <c r="G89" s="18" t="s">
        <v>0</v>
      </c>
      <c r="H89" s="63">
        <f>SUM(H90:H96)</f>
        <v>545750018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>
        <f>E92/C92*100%</f>
        <v>0.65351005405405405</v>
      </c>
      <c r="E92" s="92">
        <f>120899360</f>
        <v>120899360</v>
      </c>
      <c r="F92" s="58">
        <f>E92/C92*100%</f>
        <v>0.65351005405405405</v>
      </c>
      <c r="G92" s="27" t="s">
        <v>33</v>
      </c>
      <c r="H92" s="46">
        <v>120899360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5.2479061384599077E-3</v>
      </c>
      <c r="E95" s="92">
        <f>17820000</f>
        <v>17820000</v>
      </c>
      <c r="F95" s="58">
        <f>E95/C95*100%</f>
        <v>5.2479061384599077E-3</v>
      </c>
      <c r="G95" s="27" t="s">
        <v>33</v>
      </c>
      <c r="H95" s="46">
        <v>17820000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0.19785130822614158</v>
      </c>
      <c r="E96" s="92">
        <f>407030658</f>
        <v>407030658</v>
      </c>
      <c r="F96" s="58">
        <f>E96/C96*100%</f>
        <v>0.19785130822614158</v>
      </c>
      <c r="G96" s="27" t="s">
        <v>33</v>
      </c>
      <c r="H96" s="46">
        <v>407030658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0.2914114972983638</v>
      </c>
      <c r="E98" s="63">
        <f>SUM(E99:E105)</f>
        <v>724558180</v>
      </c>
      <c r="F98" s="49">
        <f>E98/C98*100%</f>
        <v>0.2914114972983638</v>
      </c>
      <c r="G98" s="18" t="s">
        <v>0</v>
      </c>
      <c r="H98" s="63">
        <f>SUM(H99:H105)</f>
        <v>724558180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>
        <f>E101/C101*100%</f>
        <v>0.80768843243243238</v>
      </c>
      <c r="E101" s="92">
        <f>149422360</f>
        <v>149422360</v>
      </c>
      <c r="F101" s="58">
        <f>E101/C101*100%</f>
        <v>0.80768843243243238</v>
      </c>
      <c r="G101" s="27" t="s">
        <v>33</v>
      </c>
      <c r="H101" s="46">
        <v>149422360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9.8865119854636946E-2</v>
      </c>
      <c r="E104" s="92">
        <f>141466100</f>
        <v>141466100</v>
      </c>
      <c r="F104" s="58">
        <f>E104/C104*100%</f>
        <v>9.8865119854636946E-2</v>
      </c>
      <c r="G104" s="27" t="s">
        <v>33</v>
      </c>
      <c r="H104" s="46">
        <v>141466100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0.49819909761423053</v>
      </c>
      <c r="E105" s="92">
        <f>433669720</f>
        <v>433669720</v>
      </c>
      <c r="F105" s="58">
        <f>E105/C105*100%</f>
        <v>0.49819909761423053</v>
      </c>
      <c r="G105" s="27" t="s">
        <v>33</v>
      </c>
      <c r="H105" s="46">
        <v>433669720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0.30393460745047091</v>
      </c>
      <c r="E107" s="63">
        <f>SUM(E108:E114)</f>
        <v>2910169638</v>
      </c>
      <c r="F107" s="49">
        <f>E107/C107*100%</f>
        <v>0.30393460745047091</v>
      </c>
      <c r="G107" s="18" t="s">
        <v>0</v>
      </c>
      <c r="H107" s="63">
        <v>2910169638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97">
        <f>E110/C110*100%</f>
        <v>0.53575432432432435</v>
      </c>
      <c r="E110" s="89">
        <f>99114550</f>
        <v>99114550</v>
      </c>
      <c r="F110" s="58">
        <f>E110/C110*100%</f>
        <v>0.53575432432432435</v>
      </c>
      <c r="G110" s="27" t="s">
        <v>33</v>
      </c>
      <c r="H110" s="46">
        <v>99114550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0.40020066866765575</v>
      </c>
      <c r="E113" s="92">
        <f>2341350000</f>
        <v>2341350000</v>
      </c>
      <c r="F113" s="58">
        <f>E113/C113*100%</f>
        <v>0.40020066866765575</v>
      </c>
      <c r="G113" s="27" t="s">
        <v>33</v>
      </c>
      <c r="H113" s="46">
        <v>2341350000</v>
      </c>
    </row>
    <row r="114" spans="1:8" x14ac:dyDescent="0.25">
      <c r="A114" s="28" t="s">
        <v>105</v>
      </c>
      <c r="B114" s="28" t="s">
        <v>41</v>
      </c>
      <c r="C114" s="108">
        <v>3539546088</v>
      </c>
      <c r="D114" s="97">
        <f t="shared" si="11"/>
        <v>0.13270206866140968</v>
      </c>
      <c r="E114" s="89">
        <f>432906088+36799000</f>
        <v>469705088</v>
      </c>
      <c r="F114" s="58">
        <f>E114/C114*100%</f>
        <v>0.13270206866140968</v>
      </c>
      <c r="G114" s="27" t="s">
        <v>33</v>
      </c>
      <c r="H114" s="46">
        <v>469705088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Juli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27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27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E130/C130*100%</f>
        <v>0.38612166633786255</v>
      </c>
      <c r="E130" s="74">
        <f>E132+E144+E150+E156+E162+E168+E174+E180</f>
        <v>20072690237</v>
      </c>
      <c r="F130" s="42">
        <f>E130/C130*100%</f>
        <v>0.38612166633786255</v>
      </c>
      <c r="G130" s="15" t="s">
        <v>1</v>
      </c>
      <c r="H130" s="43">
        <v>20072690237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0.5739155136469698</v>
      </c>
      <c r="E132" s="48">
        <f>SUM(E133:E142)</f>
        <v>8969766623</v>
      </c>
      <c r="F132" s="49">
        <f>E132/C132*100%</f>
        <v>0.5739155136469698</v>
      </c>
      <c r="G132" s="18" t="s">
        <v>0</v>
      </c>
      <c r="H132" s="48">
        <f>SUM(H133:H142)</f>
        <v>8969766623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0.44741650999999999</v>
      </c>
      <c r="E134" s="37">
        <f>SUM(E14:E20)</f>
        <v>44741651</v>
      </c>
      <c r="F134" s="58">
        <f>E134/C134*100%</f>
        <v>0.44741650999999999</v>
      </c>
      <c r="G134" s="27" t="s">
        <v>61</v>
      </c>
      <c r="H134" s="37">
        <f>SUM(H14:H20)</f>
        <v>44741651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13">H135/C135*100%</f>
        <v>0.58234620975266604</v>
      </c>
      <c r="E135" s="77">
        <f>SUM(E22:E24)</f>
        <v>7929850245</v>
      </c>
      <c r="F135" s="58">
        <f t="shared" ref="F135:F142" si="14">E135/C135*100%</f>
        <v>0.58234620975266604</v>
      </c>
      <c r="G135" s="27" t="s">
        <v>61</v>
      </c>
      <c r="H135" s="77">
        <f>SUM(H22:H24)</f>
        <v>7929850245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13"/>
        <v>0.75974560047318818</v>
      </c>
      <c r="E137" s="77">
        <f>SUM(E30:E36)</f>
        <v>187275847</v>
      </c>
      <c r="F137" s="58">
        <f t="shared" si="14"/>
        <v>0.75974560047318818</v>
      </c>
      <c r="G137" s="27" t="s">
        <v>61</v>
      </c>
      <c r="H137" s="77">
        <f>SUM(H30:H36)</f>
        <v>187275847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13"/>
        <v>0.49700883755718961</v>
      </c>
      <c r="E139" s="77">
        <f>SUM(E42:E43)</f>
        <v>127913922</v>
      </c>
      <c r="F139" s="58">
        <f t="shared" si="14"/>
        <v>0.49700883755718961</v>
      </c>
      <c r="G139" s="27" t="s">
        <v>61</v>
      </c>
      <c r="H139" s="77">
        <f>SUM(H42:H43)</f>
        <v>127913922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13"/>
        <v>0.29078903741878365</v>
      </c>
      <c r="E140" s="77">
        <f>SUM(E45:E48)</f>
        <v>97825498</v>
      </c>
      <c r="F140" s="58">
        <f t="shared" si="14"/>
        <v>0.29078903741878365</v>
      </c>
      <c r="G140" s="27" t="s">
        <v>61</v>
      </c>
      <c r="H140" s="77">
        <f>SUM(H45:H48)</f>
        <v>97825498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13"/>
        <v>0.54320107863994327</v>
      </c>
      <c r="E142" s="77">
        <f>SUM(E51)</f>
        <v>582159460</v>
      </c>
      <c r="F142" s="58">
        <f t="shared" si="14"/>
        <v>0.54320107863994327</v>
      </c>
      <c r="G142" s="27" t="s">
        <v>61</v>
      </c>
      <c r="H142" s="77">
        <f>SUM(H51)</f>
        <v>582159460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0.43331994054147649</v>
      </c>
      <c r="E144" s="48">
        <f>SUM(E145:E148)</f>
        <v>2277260572</v>
      </c>
      <c r="F144" s="49">
        <f>E144/C144*100%</f>
        <v>0.45869962407161563</v>
      </c>
      <c r="G144" s="18" t="s">
        <v>0</v>
      </c>
      <c r="H144" s="48">
        <v>2151260572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0.58889924324324328</v>
      </c>
      <c r="E146" s="37">
        <f>SUM(E56)</f>
        <v>108946360</v>
      </c>
      <c r="F146" s="58">
        <f>E146/C146*100%</f>
        <v>0.58889924324324328</v>
      </c>
      <c r="G146" s="27" t="s">
        <v>61</v>
      </c>
      <c r="H146" s="37">
        <v>108946360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0.45366009671562302</v>
      </c>
      <c r="E148" s="77">
        <f>SUM(E59:E60)</f>
        <v>2168314212</v>
      </c>
      <c r="F148" s="58">
        <f>E148/C148*100%</f>
        <v>0.45366009671562302</v>
      </c>
      <c r="G148" s="27" t="s">
        <v>61</v>
      </c>
      <c r="H148" s="77">
        <f>SUM(H59:H60)</f>
        <v>2168314212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0.37583704657800876</v>
      </c>
      <c r="E150" s="48">
        <f>SUM(E151:E154)</f>
        <v>1753557178</v>
      </c>
      <c r="F150" s="49">
        <f>E150/C150*100%</f>
        <v>0.37583704657800876</v>
      </c>
      <c r="G150" s="18" t="s">
        <v>0</v>
      </c>
      <c r="H150" s="48">
        <f>SUM(H151:H154)</f>
        <v>1753557178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0.66944958208955219</v>
      </c>
      <c r="E152" s="37">
        <f>SUM(E65)</f>
        <v>224265610</v>
      </c>
      <c r="F152" s="58">
        <f>E152/C152*100%</f>
        <v>0.66944958208955219</v>
      </c>
      <c r="G152" s="27" t="s">
        <v>61</v>
      </c>
      <c r="H152" s="37">
        <f>SUM(H65)</f>
        <v>224265610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0.35312493605016004</v>
      </c>
      <c r="E154" s="77">
        <f>SUM(E68:E69)</f>
        <v>1529291568</v>
      </c>
      <c r="F154" s="58">
        <f>E154/C154*100%</f>
        <v>0.35312493605016004</v>
      </c>
      <c r="G154" s="27" t="s">
        <v>61</v>
      </c>
      <c r="H154" s="77">
        <f>SUM(H68:H69)</f>
        <v>1529291568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0.11560415087707786</v>
      </c>
      <c r="E156" s="48">
        <f>SUM(E157:E160)</f>
        <v>560955868</v>
      </c>
      <c r="F156" s="49">
        <f>E156/C156*100%</f>
        <v>0.11560415087707786</v>
      </c>
      <c r="G156" s="18" t="s">
        <v>0</v>
      </c>
      <c r="H156" s="48">
        <f>SUM(H157:H160)</f>
        <v>560955868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0.62431297297297295</v>
      </c>
      <c r="E158" s="37">
        <f>SUM(E74)</f>
        <v>115497900</v>
      </c>
      <c r="F158" s="58">
        <f>E158/C158*100%</f>
        <v>0.62431297297297295</v>
      </c>
      <c r="G158" s="27" t="s">
        <v>61</v>
      </c>
      <c r="H158" s="37">
        <f>SUM(H74)</f>
        <v>115497900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9.5440584224883357E-2</v>
      </c>
      <c r="E160" s="77">
        <f>SUM(E77:E78)</f>
        <v>445457968</v>
      </c>
      <c r="F160" s="58">
        <f>E160/C160*100%</f>
        <v>9.5440584224883357E-2</v>
      </c>
      <c r="G160" s="27" t="s">
        <v>61</v>
      </c>
      <c r="H160" s="77">
        <f>SUM(H77:H78)</f>
        <v>445457968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0.5583316529921889</v>
      </c>
      <c r="E162" s="48">
        <f>SUM(E163:E166)</f>
        <v>2330672160</v>
      </c>
      <c r="F162" s="49">
        <f>E162/C162*100%</f>
        <v>0.5583316529921889</v>
      </c>
      <c r="G162" s="18" t="s">
        <v>0</v>
      </c>
      <c r="H162" s="48">
        <f>SUM(H163:H166)</f>
        <v>2330672160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0.64527762162162161</v>
      </c>
      <c r="E164" s="37">
        <f>SUM(E83)</f>
        <v>119376360</v>
      </c>
      <c r="F164" s="58">
        <f>E164/C164*100%</f>
        <v>0.64527762162162161</v>
      </c>
      <c r="G164" s="27" t="s">
        <v>61</v>
      </c>
      <c r="H164" s="37">
        <f>SUM(H83)</f>
        <v>119376360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0.55429966754790949</v>
      </c>
      <c r="E166" s="77">
        <f>SUM(E86:E87)</f>
        <v>2211295800</v>
      </c>
      <c r="F166" s="58">
        <f>E166/C166*100%</f>
        <v>0.55429966754790949</v>
      </c>
      <c r="G166" s="27" t="s">
        <v>61</v>
      </c>
      <c r="H166" s="77">
        <f>SUM(H86:H87)</f>
        <v>2211295800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9.6800310443791199E-2</v>
      </c>
      <c r="E168" s="48">
        <f>SUM(E169:E172)</f>
        <v>545750018</v>
      </c>
      <c r="F168" s="49">
        <f>E168/C168*100%</f>
        <v>9.6800310443791199E-2</v>
      </c>
      <c r="G168" s="18" t="s">
        <v>0</v>
      </c>
      <c r="H168" s="48">
        <f>SUM(H169:H172)</f>
        <v>545750018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0.65351005405405405</v>
      </c>
      <c r="E170" s="37">
        <f>SUM(E92)</f>
        <v>120899360</v>
      </c>
      <c r="F170" s="58">
        <f>E170/C170*100%</f>
        <v>0.65351005405405405</v>
      </c>
      <c r="G170" s="27" t="s">
        <v>61</v>
      </c>
      <c r="H170" s="37">
        <f>SUM(H92)</f>
        <v>120899360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7.7912857747046788E-2</v>
      </c>
      <c r="E172" s="77">
        <f>SUM(E95:E96)</f>
        <v>424850658</v>
      </c>
      <c r="F172" s="58">
        <f>E172/C172*100%</f>
        <v>7.7912857747046788E-2</v>
      </c>
      <c r="G172" s="27" t="s">
        <v>61</v>
      </c>
      <c r="H172" s="77">
        <f>SUM(H95:H96)</f>
        <v>424850658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0.2914114972983638</v>
      </c>
      <c r="E174" s="48">
        <f>SUM(E175:E178)</f>
        <v>724558180</v>
      </c>
      <c r="F174" s="49">
        <f>E174/C174*100%</f>
        <v>0.2914114972983638</v>
      </c>
      <c r="G174" s="18" t="s">
        <v>0</v>
      </c>
      <c r="H174" s="48">
        <f>SUM(H175:H178)</f>
        <v>724558180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0.80768843243243238</v>
      </c>
      <c r="E176" s="37">
        <f>SUM(E101)</f>
        <v>149422360</v>
      </c>
      <c r="F176" s="58">
        <f>E176/C176*100%</f>
        <v>0.80768843243243238</v>
      </c>
      <c r="G176" s="27" t="s">
        <v>61</v>
      </c>
      <c r="H176" s="37">
        <f>SUM(H101)</f>
        <v>149422360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0.24990968007157044</v>
      </c>
      <c r="E178" s="77">
        <f>SUM(E104:E105)</f>
        <v>575135820</v>
      </c>
      <c r="F178" s="58">
        <f>E178/C178*100%</f>
        <v>0.24990968007157044</v>
      </c>
      <c r="G178" s="27" t="s">
        <v>61</v>
      </c>
      <c r="H178" s="77">
        <f>SUM(H104:H105)</f>
        <v>575135820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0.30393460745047091</v>
      </c>
      <c r="E180" s="48">
        <f>SUM(E181:E184)</f>
        <v>2910169638</v>
      </c>
      <c r="F180" s="49">
        <f>E180/C180*100%</f>
        <v>0.30393460745047091</v>
      </c>
      <c r="G180" s="18" t="s">
        <v>0</v>
      </c>
      <c r="H180" s="48">
        <f>SUM(H181:H184)</f>
        <v>2910169638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0.53575432432432435</v>
      </c>
      <c r="E182" s="37">
        <f>SUM(E110)</f>
        <v>99114550</v>
      </c>
      <c r="F182" s="58">
        <f>E182/C182*100%</f>
        <v>0.53575432432432435</v>
      </c>
      <c r="G182" s="27" t="s">
        <v>61</v>
      </c>
      <c r="H182" s="37">
        <f>SUM(H110)</f>
        <v>99114550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0.29936733256638237</v>
      </c>
      <c r="E184" s="77">
        <f>SUM(E112:E114)</f>
        <v>2811055088</v>
      </c>
      <c r="F184" s="58">
        <f>E184/C184*100%</f>
        <v>0.29936733256638237</v>
      </c>
      <c r="G184" s="27" t="s">
        <v>61</v>
      </c>
      <c r="H184" s="77">
        <f>SUM(H112:H114)</f>
        <v>2811055088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Juli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27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27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0.38612166633786255</v>
      </c>
      <c r="E196" s="74">
        <f>E198+E202+E206+E210+E214+E218+E222+E226</f>
        <v>20072690237</v>
      </c>
      <c r="F196" s="42">
        <f>E196/C196*100%</f>
        <v>0.38612166633786255</v>
      </c>
      <c r="G196" s="15" t="s">
        <v>1</v>
      </c>
      <c r="H196" s="43">
        <f>H198+H202+H206+H210+H214+H218+H222+H226</f>
        <v>20072690237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0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0.5739155136469698</v>
      </c>
      <c r="E198" s="48">
        <f>SUM(E199:E200)</f>
        <v>8969766623</v>
      </c>
      <c r="F198" s="49">
        <f>E198/C198*100%</f>
        <v>0.5739155136469698</v>
      </c>
      <c r="G198" s="18" t="s">
        <v>0</v>
      </c>
      <c r="H198" s="48">
        <f>SUM(H199:H200)</f>
        <v>8969766623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0.57617672676573239</v>
      </c>
      <c r="E199" s="37">
        <f>SUM(E134:E140)</f>
        <v>8387607163</v>
      </c>
      <c r="F199" s="58">
        <f>E199/C199*100%</f>
        <v>0.57617672676573239</v>
      </c>
      <c r="G199" s="27" t="s">
        <v>32</v>
      </c>
      <c r="H199" s="37">
        <f>SUM(H134:H140)</f>
        <v>8387607163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0.54320107863994327</v>
      </c>
      <c r="E200" s="77">
        <f>SUM(E142)</f>
        <v>582159460</v>
      </c>
      <c r="F200" s="58">
        <f>E200/C200*100%</f>
        <v>0.54320107863994327</v>
      </c>
      <c r="G200" s="27" t="s">
        <v>32</v>
      </c>
      <c r="H200" s="77">
        <f>SUM(H142)</f>
        <v>582159460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0.45869962407161563</v>
      </c>
      <c r="E202" s="88">
        <f>SUM(E203:E204)</f>
        <v>2277260572</v>
      </c>
      <c r="F202" s="49">
        <f>E202/C202*100%</f>
        <v>0.45869962407161563</v>
      </c>
      <c r="G202" s="18" t="s">
        <v>0</v>
      </c>
      <c r="H202" s="43">
        <f>SUM(H203:H204)</f>
        <v>2277260572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0.58889924324324328</v>
      </c>
      <c r="E203" s="37">
        <f>SUM(E146)</f>
        <v>108946360</v>
      </c>
      <c r="F203" s="58">
        <f>E203/C203*100%</f>
        <v>0.58889924324324328</v>
      </c>
      <c r="G203" s="27" t="s">
        <v>32</v>
      </c>
      <c r="H203" s="37">
        <f>SUM(H146)</f>
        <v>108946360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0.45366009671562302</v>
      </c>
      <c r="E204" s="77">
        <f>SUM(E148:E148)</f>
        <v>2168314212</v>
      </c>
      <c r="F204" s="58">
        <f>E204/C204*100%</f>
        <v>0.45366009671562302</v>
      </c>
      <c r="G204" s="27" t="s">
        <v>32</v>
      </c>
      <c r="H204" s="77">
        <f>SUM(H148:H148)</f>
        <v>2168314212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0.37583704657800876</v>
      </c>
      <c r="E206" s="88">
        <f>SUM(E207:E209)</f>
        <v>1753557178</v>
      </c>
      <c r="F206" s="49">
        <f>E206/C206*100%</f>
        <v>0.37583704657800876</v>
      </c>
      <c r="G206" s="18" t="s">
        <v>0</v>
      </c>
      <c r="H206" s="43">
        <f>SUM(H207:H209)</f>
        <v>1753557178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0.66944958208955219</v>
      </c>
      <c r="E207" s="37">
        <f>SUM(E152)</f>
        <v>224265610</v>
      </c>
      <c r="F207" s="58">
        <f>E207/C207*100%</f>
        <v>0.66944958208955219</v>
      </c>
      <c r="G207" s="27" t="s">
        <v>32</v>
      </c>
      <c r="H207" s="37">
        <f>SUM(H152)</f>
        <v>224265610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0.35312493605016004</v>
      </c>
      <c r="E208" s="77">
        <f>SUM(E154:E154)</f>
        <v>1529291568</v>
      </c>
      <c r="F208" s="58">
        <f>E208/C208*100%</f>
        <v>0.35312493605016004</v>
      </c>
      <c r="G208" s="27" t="s">
        <v>32</v>
      </c>
      <c r="H208" s="77">
        <f>SUM(H154:H154)</f>
        <v>1529291568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0.11560415087707786</v>
      </c>
      <c r="E210" s="88">
        <f>SUM(E211:E212)</f>
        <v>560955868</v>
      </c>
      <c r="F210" s="49">
        <f>E210/C210*100%</f>
        <v>0.11560415087707786</v>
      </c>
      <c r="G210" s="18" t="s">
        <v>0</v>
      </c>
      <c r="H210" s="43">
        <f>SUM(H211:H212)</f>
        <v>560955868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0.62431297297297295</v>
      </c>
      <c r="E211" s="37">
        <f>SUM(E158)</f>
        <v>115497900</v>
      </c>
      <c r="F211" s="58">
        <f>E211/C211*100%</f>
        <v>0.62431297297297295</v>
      </c>
      <c r="G211" s="27" t="s">
        <v>32</v>
      </c>
      <c r="H211" s="37">
        <f>SUM(H158)</f>
        <v>115497900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9.5440584224883357E-2</v>
      </c>
      <c r="E212" s="77">
        <f>SUM(E160:E160)</f>
        <v>445457968</v>
      </c>
      <c r="F212" s="58">
        <f>E212/C212*100%</f>
        <v>9.5440584224883357E-2</v>
      </c>
      <c r="G212" s="27" t="s">
        <v>32</v>
      </c>
      <c r="H212" s="77">
        <f>SUM(H160:H160)</f>
        <v>445457968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0.5583316529921889</v>
      </c>
      <c r="E214" s="88">
        <f>SUM(E215:E216)</f>
        <v>2330672160</v>
      </c>
      <c r="F214" s="49">
        <f>E214/C214*100%</f>
        <v>0.5583316529921889</v>
      </c>
      <c r="G214" s="18" t="s">
        <v>0</v>
      </c>
      <c r="H214" s="43">
        <f>SUM(H215:H216)</f>
        <v>2330672160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0.64527762162162161</v>
      </c>
      <c r="E215" s="37">
        <f>SUM(E164)</f>
        <v>119376360</v>
      </c>
      <c r="F215" s="58">
        <f>E215/C215*100%</f>
        <v>0.64527762162162161</v>
      </c>
      <c r="G215" s="27" t="s">
        <v>32</v>
      </c>
      <c r="H215" s="37">
        <f>SUM(H164)</f>
        <v>119376360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0.55429966754790949</v>
      </c>
      <c r="E216" s="77">
        <f>SUM(E166:E166)</f>
        <v>2211295800</v>
      </c>
      <c r="F216" s="58">
        <f>E216/C216*100%</f>
        <v>0.55429966754790949</v>
      </c>
      <c r="G216" s="27" t="s">
        <v>32</v>
      </c>
      <c r="H216" s="77">
        <f>SUM(H166:H166)</f>
        <v>2211295800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9.6800310443791199E-2</v>
      </c>
      <c r="E218" s="88">
        <f>SUM(E219:E220)</f>
        <v>545750018</v>
      </c>
      <c r="F218" s="49">
        <f>E218/C218*100%</f>
        <v>9.6800310443791199E-2</v>
      </c>
      <c r="G218" s="18" t="s">
        <v>0</v>
      </c>
      <c r="H218" s="43">
        <f>SUM(H219:H220)</f>
        <v>545750018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0.65351005405405405</v>
      </c>
      <c r="E219" s="37">
        <f>SUM(E170)</f>
        <v>120899360</v>
      </c>
      <c r="F219" s="58">
        <f>E219/C219*100%</f>
        <v>0.65351005405405405</v>
      </c>
      <c r="G219" s="27" t="s">
        <v>32</v>
      </c>
      <c r="H219" s="37">
        <f>SUM(H170)</f>
        <v>120899360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7.7912857747046788E-2</v>
      </c>
      <c r="E220" s="77">
        <f>SUM(E172:E172)</f>
        <v>424850658</v>
      </c>
      <c r="F220" s="58">
        <f>E220/C220*100%</f>
        <v>7.7912857747046788E-2</v>
      </c>
      <c r="G220" s="27" t="s">
        <v>32</v>
      </c>
      <c r="H220" s="77">
        <f>SUM(H172:H172)</f>
        <v>424850658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0.2914114972983638</v>
      </c>
      <c r="E222" s="88">
        <f>SUM(E223:E224)</f>
        <v>724558180</v>
      </c>
      <c r="F222" s="49">
        <f>E222/C222*100%</f>
        <v>0.2914114972983638</v>
      </c>
      <c r="G222" s="18" t="s">
        <v>0</v>
      </c>
      <c r="H222" s="43">
        <f>SUM(H223:H224)</f>
        <v>724558180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0.80768843243243238</v>
      </c>
      <c r="E223" s="37">
        <f>SUM(E176)</f>
        <v>149422360</v>
      </c>
      <c r="F223" s="58">
        <f>E223/C223*100%</f>
        <v>0.80768843243243238</v>
      </c>
      <c r="G223" s="27" t="s">
        <v>32</v>
      </c>
      <c r="H223" s="37">
        <f>SUM(H176)</f>
        <v>149422360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0.24990968007157044</v>
      </c>
      <c r="E224" s="77">
        <f>SUM(E178:E178)</f>
        <v>575135820</v>
      </c>
      <c r="F224" s="58">
        <f>E224/C224*100%</f>
        <v>0.24990968007157044</v>
      </c>
      <c r="G224" s="27" t="s">
        <v>32</v>
      </c>
      <c r="H224" s="77">
        <f>SUM(H178:H178)</f>
        <v>575135820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0.30393460745047091</v>
      </c>
      <c r="E226" s="88">
        <f>SUM(E227:E228)</f>
        <v>2910169638</v>
      </c>
      <c r="F226" s="49">
        <f>E226/C226*100%</f>
        <v>0.30393460745047091</v>
      </c>
      <c r="G226" s="18" t="s">
        <v>0</v>
      </c>
      <c r="H226" s="43">
        <f>SUM(H227:H228)</f>
        <v>2910169638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0.53575432432432435</v>
      </c>
      <c r="E227" s="37">
        <f>SUM(E182)</f>
        <v>99114550</v>
      </c>
      <c r="F227" s="58">
        <f>E227/C227*100%</f>
        <v>0.53575432432432435</v>
      </c>
      <c r="G227" s="27" t="s">
        <v>32</v>
      </c>
      <c r="H227" s="37">
        <f>SUM(H182)</f>
        <v>99114550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0.29936733256638237</v>
      </c>
      <c r="E228" s="77">
        <f>SUM(E184:E184)</f>
        <v>2811055088</v>
      </c>
      <c r="F228" s="58">
        <f>E228/C228*100%</f>
        <v>0.29936733256638237</v>
      </c>
      <c r="G228" s="27" t="s">
        <v>32</v>
      </c>
      <c r="H228" s="77">
        <f>SUM(H184:H184)</f>
        <v>2811055088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Juli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27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27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0.38612166633786255</v>
      </c>
      <c r="E240" s="14">
        <f>SUM(E242:E244)</f>
        <v>20072690237</v>
      </c>
      <c r="F240" s="42">
        <f>E240/C240*100%</f>
        <v>0.38612166633786255</v>
      </c>
      <c r="G240" s="15" t="s">
        <v>1</v>
      </c>
      <c r="H240" s="14">
        <f>SUM(H242:H244)</f>
        <v>20072690237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0.57617672676573239</v>
      </c>
      <c r="E242" s="37">
        <f>E199</f>
        <v>8387607163</v>
      </c>
      <c r="F242" s="58">
        <f>E242/C242*100%</f>
        <v>0.57617672676573239</v>
      </c>
      <c r="G242" s="27" t="s">
        <v>32</v>
      </c>
      <c r="H242" s="37">
        <f>H199</f>
        <v>8387607163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17">H243/C243*100%</f>
        <v>0.60383433993451796</v>
      </c>
      <c r="E243" s="77">
        <f>E200+E203+E207+E211+E215+E219+E223+E227</f>
        <v>1519681960</v>
      </c>
      <c r="F243" s="58">
        <f t="shared" ref="F243:F244" si="18">E243/C243*100%</f>
        <v>0.60383433993451796</v>
      </c>
      <c r="G243" s="27" t="s">
        <v>32</v>
      </c>
      <c r="H243" s="77">
        <f>H200+H203+H207+H211+H215+H219+H223+H227</f>
        <v>1519681960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17"/>
        <v>0.29117770181768576</v>
      </c>
      <c r="E244" s="77">
        <f>E204+E208+E212+E216+E220+E224+E228</f>
        <v>10165401114</v>
      </c>
      <c r="F244" s="58">
        <f t="shared" si="18"/>
        <v>0.29117770181768576</v>
      </c>
      <c r="G244" s="27" t="s">
        <v>32</v>
      </c>
      <c r="H244" s="77">
        <f>H204+H208+H212+H216+H220+H224+H228</f>
        <v>10165401114</v>
      </c>
    </row>
  </sheetData>
  <mergeCells count="32">
    <mergeCell ref="A2:G2"/>
    <mergeCell ref="B5:G5"/>
    <mergeCell ref="A6:A8"/>
    <mergeCell ref="B6:B8"/>
    <mergeCell ref="C6:C8"/>
    <mergeCell ref="D6:F6"/>
    <mergeCell ref="G6:G8"/>
    <mergeCell ref="E7:F7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233:G233"/>
    <mergeCell ref="B236:G236"/>
    <mergeCell ref="A237:A239"/>
    <mergeCell ref="B237:B239"/>
    <mergeCell ref="C237:C238"/>
    <mergeCell ref="D237:F237"/>
    <mergeCell ref="G237:G239"/>
    <mergeCell ref="E238:F238"/>
  </mergeCells>
  <pageMargins left="0.7" right="0.7" top="0.75" bottom="0.75" header="0.3" footer="0.3"/>
  <pageSetup paperSize="1000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workbookViewId="0">
      <selection activeCell="H20" sqref="H20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140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28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E9/C9*100%</f>
        <v>0.61352339917833842</v>
      </c>
      <c r="E9" s="40">
        <f>E11+E53+E62+E71+E80+E89+E98+E107</f>
        <v>31894260847</v>
      </c>
      <c r="F9" s="42">
        <f>E9/C9*100%</f>
        <v>0.61352339917833842</v>
      </c>
      <c r="G9" s="15" t="s">
        <v>1</v>
      </c>
      <c r="H9" s="43">
        <f>H11+H53+H62+H71+H80+H89+H98+H107</f>
        <v>31894260847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15629071544</v>
      </c>
      <c r="D11" s="49">
        <f>E11/C11*100%</f>
        <v>0.66073615319551193</v>
      </c>
      <c r="E11" s="48">
        <f>SUM(E14:E51)</f>
        <v>10326692610</v>
      </c>
      <c r="F11" s="49">
        <f>E11/C11*100%</f>
        <v>0.66073615319551193</v>
      </c>
      <c r="G11" s="18" t="s">
        <v>0</v>
      </c>
      <c r="H11" s="48">
        <f>SUM(H14:H51)</f>
        <v>10326692610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0.74681302000000005</v>
      </c>
      <c r="E14" s="92">
        <f>37340651</f>
        <v>37340651</v>
      </c>
      <c r="F14" s="58">
        <f>E14/C14*100%</f>
        <v>0.74681302000000005</v>
      </c>
      <c r="G14" s="27" t="s">
        <v>33</v>
      </c>
      <c r="H14" s="46">
        <f>37340651</f>
        <v>37340651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ref="H15:H18" si="0">D15*C15</f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0.48966666666666664</v>
      </c>
      <c r="E19" s="92">
        <f>12720000+1970000</f>
        <v>14690000</v>
      </c>
      <c r="F19" s="58">
        <f>E19/C19*100%</f>
        <v>0.48966666666666664</v>
      </c>
      <c r="G19" s="27" t="s">
        <v>33</v>
      </c>
      <c r="H19" s="46">
        <f>14690000</f>
        <v>14690000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0.53825000000000001</v>
      </c>
      <c r="E20" s="92">
        <f>9180000+1585000</f>
        <v>10765000</v>
      </c>
      <c r="F20" s="58">
        <f>E20/C20*100%</f>
        <v>0.53825000000000001</v>
      </c>
      <c r="G20" s="27" t="s">
        <v>33</v>
      </c>
      <c r="H20" s="46">
        <f>10765000</f>
        <v>10765000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11713143962</v>
      </c>
      <c r="D22" s="97">
        <f>E22/C22*100%</f>
        <v>0.65988532900096186</v>
      </c>
      <c r="E22" s="100">
        <f>7729331857</f>
        <v>7729331857</v>
      </c>
      <c r="F22" s="58">
        <f>E22/C22*100%</f>
        <v>0.65988532900096186</v>
      </c>
      <c r="G22" s="27" t="s">
        <v>33</v>
      </c>
      <c r="H22" s="46">
        <f>7729331857</f>
        <v>7729331857</v>
      </c>
    </row>
    <row r="23" spans="1:8" ht="30" x14ac:dyDescent="0.25">
      <c r="A23" s="28" t="s">
        <v>78</v>
      </c>
      <c r="B23" s="28" t="s">
        <v>11</v>
      </c>
      <c r="C23" s="108">
        <v>1853928000</v>
      </c>
      <c r="D23" s="97">
        <f>E23/C23*100%</f>
        <v>0.70659206991857293</v>
      </c>
      <c r="E23" s="100">
        <f>1309970823</f>
        <v>1309970823</v>
      </c>
      <c r="F23" s="58">
        <f>E23/C23*100%</f>
        <v>0.70659206991857293</v>
      </c>
      <c r="G23" s="27" t="s">
        <v>33</v>
      </c>
      <c r="H23" s="46">
        <f>1309970823</f>
        <v>1309970823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0.5419735</v>
      </c>
      <c r="E24" s="100">
        <f>26352675+746000</f>
        <v>27098675</v>
      </c>
      <c r="F24" s="58">
        <f>E24/C24*100%</f>
        <v>0.5419735</v>
      </c>
      <c r="G24" s="27" t="s">
        <v>33</v>
      </c>
      <c r="H24" s="46">
        <f>27098675</f>
        <v>27098675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0.26472006826698324</v>
      </c>
      <c r="E30" s="92">
        <f>3567500</f>
        <v>3567500</v>
      </c>
      <c r="F30" s="58">
        <f>E30/C30*100%</f>
        <v>0.26472006826698324</v>
      </c>
      <c r="G30" s="27" t="s">
        <v>33</v>
      </c>
      <c r="H30" s="46">
        <f t="shared" ref="H30:H35" si="2">D30*C30</f>
        <v>3567499.9999999995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2"/>
        <v>0</v>
      </c>
    </row>
    <row r="32" spans="1:8" x14ac:dyDescent="0.25">
      <c r="A32" s="28" t="s">
        <v>86</v>
      </c>
      <c r="B32" s="28" t="s">
        <v>16</v>
      </c>
      <c r="C32" s="108">
        <v>6708000</v>
      </c>
      <c r="D32" s="97">
        <f t="shared" ref="D32:D36" si="3">E32/C32*100%</f>
        <v>0.54658616577221231</v>
      </c>
      <c r="E32" s="92">
        <f>3666500</f>
        <v>3666500</v>
      </c>
      <c r="F32" s="58">
        <f>E32/C32*100%</f>
        <v>0.54658616577221231</v>
      </c>
      <c r="G32" s="27" t="s">
        <v>33</v>
      </c>
      <c r="H32" s="46">
        <f>3666500</f>
        <v>3666500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0.82257394615940038</v>
      </c>
      <c r="E33" s="92">
        <f>36329500+15163300</f>
        <v>51492800</v>
      </c>
      <c r="F33" s="58">
        <f>E33/C33*100%</f>
        <v>0.82257394615940038</v>
      </c>
      <c r="G33" s="27" t="s">
        <v>33</v>
      </c>
      <c r="H33" s="46">
        <f>51492800</f>
        <v>51492800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</v>
      </c>
      <c r="E35" s="92"/>
      <c r="F35" s="58">
        <f>E35/C35*100%</f>
        <v>0</v>
      </c>
      <c r="G35" s="27" t="s">
        <v>33</v>
      </c>
      <c r="H35" s="46">
        <f t="shared" si="2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>
        <f t="shared" si="3"/>
        <v>0.98444024772381888</v>
      </c>
      <c r="E36" s="92">
        <f>89649136+56750911</f>
        <v>146400047</v>
      </c>
      <c r="F36" s="58">
        <f>E36/C36*100%</f>
        <v>0.98444024772381888</v>
      </c>
      <c r="G36" s="27" t="s">
        <v>33</v>
      </c>
      <c r="H36" s="46">
        <v>146400047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0.6340498551823649</v>
      </c>
      <c r="E42" s="100">
        <f>145860039+4642790</f>
        <v>150502829</v>
      </c>
      <c r="F42" s="58">
        <f>E42/C42*100%</f>
        <v>0.6340498551823649</v>
      </c>
      <c r="G42" s="27" t="s">
        <v>33</v>
      </c>
      <c r="H42" s="46">
        <f>150502829</f>
        <v>150502829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20000000</v>
      </c>
      <c r="D43" s="97">
        <f>E43/C43*100%</f>
        <v>0.42499999999999999</v>
      </c>
      <c r="E43" s="91">
        <f>8500000</f>
        <v>8500000</v>
      </c>
      <c r="F43" s="58">
        <f>E43/C43*100%</f>
        <v>0.42499999999999999</v>
      </c>
      <c r="G43" s="27" t="s">
        <v>33</v>
      </c>
      <c r="H43" s="46">
        <v>8500000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151843982</v>
      </c>
      <c r="D45" s="97">
        <f>E45/C45*100%</f>
        <v>0.68008452913201389</v>
      </c>
      <c r="E45" s="92">
        <f>20940000+82326743</f>
        <v>103266743</v>
      </c>
      <c r="F45" s="58">
        <f>E45/C45*100%</f>
        <v>0.68008452913201389</v>
      </c>
      <c r="G45" s="27" t="s">
        <v>33</v>
      </c>
      <c r="H45" s="46">
        <f>103266743</f>
        <v>103266743</v>
      </c>
    </row>
    <row r="46" spans="1:10" x14ac:dyDescent="0.25">
      <c r="A46" s="25" t="s">
        <v>95</v>
      </c>
      <c r="B46" s="106" t="s">
        <v>66</v>
      </c>
      <c r="C46" s="109">
        <v>30280000</v>
      </c>
      <c r="D46" s="97">
        <f t="shared" ref="D46:D48" si="4">E46/C46*100%</f>
        <v>0.61856010568031705</v>
      </c>
      <c r="E46" s="92">
        <f>18730000</f>
        <v>18730000</v>
      </c>
      <c r="F46" s="58">
        <f>E46/C46*100%</f>
        <v>0.61856010568031705</v>
      </c>
      <c r="G46" s="27" t="s">
        <v>33</v>
      </c>
      <c r="H46" s="46">
        <f>18730000</f>
        <v>18730000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0.11691834451901566</v>
      </c>
      <c r="E47" s="92">
        <f>11450000+1093000</f>
        <v>12543000</v>
      </c>
      <c r="F47" s="58">
        <f>E47/C47*100%</f>
        <v>0.11691834451901566</v>
      </c>
      <c r="G47" s="27" t="s">
        <v>33</v>
      </c>
      <c r="H47" s="46">
        <f>D47*C47</f>
        <v>12543000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0.60261061476281641</v>
      </c>
      <c r="E48" s="92">
        <f>19048825+9279900</f>
        <v>28328725</v>
      </c>
      <c r="F48" s="58">
        <f>E48/C48*100%</f>
        <v>0.60261061476281641</v>
      </c>
      <c r="G48" s="27" t="s">
        <v>33</v>
      </c>
      <c r="H48" s="46">
        <f>28328725</f>
        <v>28328725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>
        <f>E51/C51*100%</f>
        <v>0.62562745866457659</v>
      </c>
      <c r="E51" s="90">
        <f>670497460</f>
        <v>670497460</v>
      </c>
      <c r="F51" s="58">
        <f>E51/C51*100%</f>
        <v>0.62562745866457659</v>
      </c>
      <c r="G51" s="27" t="s">
        <v>33</v>
      </c>
      <c r="H51" s="46">
        <f>670497460</f>
        <v>670497460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E53/C53*100%</f>
        <v>0.88067916223272857</v>
      </c>
      <c r="E53" s="63">
        <f>SUM(E54:E60)</f>
        <v>4372220572</v>
      </c>
      <c r="F53" s="49">
        <f>E53/C53*100%</f>
        <v>0.88067916223272857</v>
      </c>
      <c r="G53" s="18" t="s">
        <v>0</v>
      </c>
      <c r="H53" s="63">
        <f>SUM(H56:H60)</f>
        <v>4372220572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>
        <f>E56/C56*100%</f>
        <v>0.83898572972972973</v>
      </c>
      <c r="E56" s="92">
        <f>155212360</f>
        <v>155212360</v>
      </c>
      <c r="F56" s="58">
        <f>E56/C56*100%</f>
        <v>0.83898572972972973</v>
      </c>
      <c r="G56" s="27" t="s">
        <v>33</v>
      </c>
      <c r="H56" s="46">
        <f>155212360</f>
        <v>155212360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0.9919308115228993</v>
      </c>
      <c r="E59" s="92">
        <f>2951629000</f>
        <v>2951629000</v>
      </c>
      <c r="F59" s="58">
        <f>E59/C59*100%</f>
        <v>0.9919308115228993</v>
      </c>
      <c r="G59" s="27" t="s">
        <v>33</v>
      </c>
      <c r="H59" s="46">
        <f>2951629000</f>
        <v>2951629000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0.70144491689518385</v>
      </c>
      <c r="E60" s="92">
        <f>898853212+366526000</f>
        <v>1265379212</v>
      </c>
      <c r="F60" s="58">
        <f>E60/C60*100%</f>
        <v>0.70144491689518385</v>
      </c>
      <c r="G60" s="27" t="s">
        <v>33</v>
      </c>
      <c r="H60" s="46">
        <f>1265379212</f>
        <v>1265379212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0.577209799708152</v>
      </c>
      <c r="E62" s="63">
        <f>SUM(E63:E69)</f>
        <v>2693109678</v>
      </c>
      <c r="F62" s="49">
        <f>E62/C62*100%</f>
        <v>0.577209799708152</v>
      </c>
      <c r="G62" s="18" t="s">
        <v>0</v>
      </c>
      <c r="H62" s="63">
        <f>SUM(H65:H69)</f>
        <v>2693109678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>
        <f>E65/C65*100%</f>
        <v>0.7274868955223881</v>
      </c>
      <c r="E65" s="92">
        <f>243708110</f>
        <v>243708110</v>
      </c>
      <c r="F65" s="58">
        <f>E65/C65*100%</f>
        <v>0.7274868955223881</v>
      </c>
      <c r="G65" s="27" t="s">
        <v>33</v>
      </c>
      <c r="H65" s="46">
        <f>243708110</f>
        <v>243708110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0.56324286625810571</v>
      </c>
      <c r="E68" s="92">
        <f>1518300000</f>
        <v>1518300000</v>
      </c>
      <c r="F68" s="58">
        <f>E68/C68*100%</f>
        <v>0.56324286625810571</v>
      </c>
      <c r="G68" s="27" t="s">
        <v>33</v>
      </c>
      <c r="H68" s="46">
        <f>1518300000</f>
        <v>1518300000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0.56944696050163524</v>
      </c>
      <c r="E69" s="92">
        <f>931101568</f>
        <v>931101568</v>
      </c>
      <c r="F69" s="58">
        <f>E69/C69*100%</f>
        <v>0.56944696050163524</v>
      </c>
      <c r="G69" s="27" t="s">
        <v>33</v>
      </c>
      <c r="H69" s="46">
        <f>931101568</f>
        <v>931101568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0.38424708681864955</v>
      </c>
      <c r="E71" s="63">
        <f>SUM(E72:E78)</f>
        <v>1864514868</v>
      </c>
      <c r="F71" s="49">
        <f>E71/C71*100%</f>
        <v>0.38424708681864955</v>
      </c>
      <c r="G71" s="18" t="s">
        <v>0</v>
      </c>
      <c r="H71" s="63">
        <f>SUM(H72:H78)</f>
        <v>1864514868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>
        <f>E74/C74*100%</f>
        <v>0.7335535135135135</v>
      </c>
      <c r="E74" s="92">
        <f>135707400</f>
        <v>135707400</v>
      </c>
      <c r="F74" s="58">
        <f>E74/C74*100%</f>
        <v>0.7335535135135135</v>
      </c>
      <c r="G74" s="27" t="s">
        <v>33</v>
      </c>
      <c r="H74" s="46">
        <f>135707400</f>
        <v>135707400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2905640000</v>
      </c>
      <c r="D77" s="97">
        <f t="shared" ref="D77:D78" si="7">E77/C77*100%</f>
        <v>0.37318700871408711</v>
      </c>
      <c r="E77" s="92">
        <f>1084347100</f>
        <v>1084347100</v>
      </c>
      <c r="F77" s="58">
        <f>E77/C77*100%</f>
        <v>0.37318700871408711</v>
      </c>
      <c r="G77" s="27" t="s">
        <v>33</v>
      </c>
      <c r="H77" s="46">
        <f>D77*C77</f>
        <v>1084347100</v>
      </c>
    </row>
    <row r="78" spans="1:8" x14ac:dyDescent="0.25">
      <c r="A78" s="28" t="s">
        <v>105</v>
      </c>
      <c r="B78" s="28" t="s">
        <v>41</v>
      </c>
      <c r="C78" s="108">
        <v>1761745176</v>
      </c>
      <c r="D78" s="97">
        <f t="shared" si="7"/>
        <v>0.36580793680004947</v>
      </c>
      <c r="E78" s="92">
        <f>644460368</f>
        <v>644460368</v>
      </c>
      <c r="F78" s="58">
        <f>E78/C78*100%</f>
        <v>0.36580793680004947</v>
      </c>
      <c r="G78" s="27" t="s">
        <v>33</v>
      </c>
      <c r="H78" s="46">
        <f>644460368</f>
        <v>644460368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0.66437458648060521</v>
      </c>
      <c r="E80" s="63">
        <f>SUM(E81:E87)</f>
        <v>2773332560</v>
      </c>
      <c r="F80" s="49">
        <f>E80/C80*100%</f>
        <v>0.66437458648060521</v>
      </c>
      <c r="G80" s="18" t="s">
        <v>0</v>
      </c>
      <c r="H80" s="63">
        <f>SUM(H83:H87)</f>
        <v>2773332560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>
        <f>E83/C83*100%</f>
        <v>0.76906140540540535</v>
      </c>
      <c r="E83" s="92">
        <f>142276360</f>
        <v>142276360</v>
      </c>
      <c r="F83" s="58">
        <f>E83/C83*100%</f>
        <v>0.76906140540540535</v>
      </c>
      <c r="G83" s="27" t="s">
        <v>33</v>
      </c>
      <c r="H83" s="46">
        <f>142276360</f>
        <v>142276360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0.71795517755653193</v>
      </c>
      <c r="E86" s="92">
        <f>1781175000</f>
        <v>1781175000</v>
      </c>
      <c r="F86" s="58">
        <f>E86/C86*100%</f>
        <v>0.71795517755653193</v>
      </c>
      <c r="G86" s="27" t="s">
        <v>33</v>
      </c>
      <c r="H86" s="46">
        <f>1781175000</f>
        <v>1781175000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0.56341328635745458</v>
      </c>
      <c r="E87" s="92">
        <f>849881200</f>
        <v>849881200</v>
      </c>
      <c r="F87" s="58">
        <f>E87/C87*100%</f>
        <v>0.56341328635745458</v>
      </c>
      <c r="G87" s="27" t="s">
        <v>33</v>
      </c>
      <c r="H87" s="46">
        <f>849881200</f>
        <v>849881200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0.52650002266945239</v>
      </c>
      <c r="E89" s="63">
        <f>SUM(E90:E96)</f>
        <v>2968352018</v>
      </c>
      <c r="F89" s="49">
        <f>E89/C89*100%</f>
        <v>0.52650002266945239</v>
      </c>
      <c r="G89" s="18" t="s">
        <v>0</v>
      </c>
      <c r="H89" s="63">
        <f>SUM(H92:H96)</f>
        <v>2968352018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>
        <f>E92/C92*100%</f>
        <v>0.65351005405405405</v>
      </c>
      <c r="E92" s="92">
        <f>120899360</f>
        <v>120899360</v>
      </c>
      <c r="F92" s="58">
        <f>E92/C92*100%</f>
        <v>0.65351005405405405</v>
      </c>
      <c r="G92" s="27" t="s">
        <v>33</v>
      </c>
      <c r="H92" s="46">
        <v>120899360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0.71869279428914723</v>
      </c>
      <c r="E95" s="92">
        <f>2440422000</f>
        <v>2440422000</v>
      </c>
      <c r="F95" s="58">
        <f>E95/C95*100%</f>
        <v>0.71869279428914723</v>
      </c>
      <c r="G95" s="27" t="s">
        <v>33</v>
      </c>
      <c r="H95" s="46">
        <f>2440422000</f>
        <v>2440422000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0.19785130822614158</v>
      </c>
      <c r="E96" s="92">
        <f>407030658</f>
        <v>407030658</v>
      </c>
      <c r="F96" s="58">
        <f>E96/C96*100%</f>
        <v>0.19785130822614158</v>
      </c>
      <c r="G96" s="27" t="s">
        <v>33</v>
      </c>
      <c r="H96" s="46">
        <v>407030658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0.45308799753240736</v>
      </c>
      <c r="E98" s="63">
        <f>SUM(E99:E105)</f>
        <v>1126546543</v>
      </c>
      <c r="F98" s="49">
        <f>E98/C98*100%</f>
        <v>0.45308799753240736</v>
      </c>
      <c r="G98" s="18" t="s">
        <v>0</v>
      </c>
      <c r="H98" s="63">
        <f>SUM(H99:H105)</f>
        <v>1126546543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>
        <f>E101/C101*100%</f>
        <v>0.80768843243243238</v>
      </c>
      <c r="E101" s="92">
        <f>149422360</f>
        <v>149422360</v>
      </c>
      <c r="F101" s="58">
        <f>E101/C101*100%</f>
        <v>0.80768843243243238</v>
      </c>
      <c r="G101" s="27" t="s">
        <v>33</v>
      </c>
      <c r="H101" s="46">
        <v>149422360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0.30820425117059191</v>
      </c>
      <c r="E104" s="92">
        <f>441009463</f>
        <v>441009463</v>
      </c>
      <c r="F104" s="58">
        <f>E104/C104*100%</f>
        <v>0.30820425117059191</v>
      </c>
      <c r="G104" s="27" t="s">
        <v>33</v>
      </c>
      <c r="H104" s="46">
        <f>441009463</f>
        <v>441009463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0.61588775375349214</v>
      </c>
      <c r="E105" s="92">
        <f>536114720</f>
        <v>536114720</v>
      </c>
      <c r="F105" s="58">
        <f>E105/C105*100%</f>
        <v>0.61588775375349214</v>
      </c>
      <c r="G105" s="27" t="s">
        <v>33</v>
      </c>
      <c r="H105" s="46">
        <f>536114720</f>
        <v>536114720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0.60255878650630157</v>
      </c>
      <c r="E107" s="63">
        <f>SUM(E108:E114)</f>
        <v>5769491998</v>
      </c>
      <c r="F107" s="49">
        <f>E107/C107*100%</f>
        <v>0.60255878650630157</v>
      </c>
      <c r="G107" s="18" t="s">
        <v>0</v>
      </c>
      <c r="H107" s="63">
        <f>SUM(H110:H114)</f>
        <v>5769491998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97">
        <f>E110/C110*100%</f>
        <v>0.75057789189189195</v>
      </c>
      <c r="E110" s="89">
        <f>138856910</f>
        <v>138856910</v>
      </c>
      <c r="F110" s="58">
        <f>E110/C110*100%</f>
        <v>0.75057789189189195</v>
      </c>
      <c r="G110" s="27" t="s">
        <v>33</v>
      </c>
      <c r="H110" s="46">
        <f>138856910</f>
        <v>138856910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0.56472675559445107</v>
      </c>
      <c r="E113" s="92">
        <f>3303900000</f>
        <v>3303900000</v>
      </c>
      <c r="F113" s="58">
        <f>E113/C113*100%</f>
        <v>0.56472675559445107</v>
      </c>
      <c r="G113" s="27" t="s">
        <v>33</v>
      </c>
      <c r="H113" s="46">
        <f>3303900000</f>
        <v>3303900000</v>
      </c>
    </row>
    <row r="114" spans="1:8" x14ac:dyDescent="0.25">
      <c r="A114" s="28" t="s">
        <v>105</v>
      </c>
      <c r="B114" s="28" t="s">
        <v>41</v>
      </c>
      <c r="C114" s="108">
        <v>3539546088</v>
      </c>
      <c r="D114" s="97">
        <f t="shared" si="11"/>
        <v>0.65735408726227607</v>
      </c>
      <c r="E114" s="89">
        <f>2326735088</f>
        <v>2326735088</v>
      </c>
      <c r="F114" s="58">
        <f>E114/C114*100%</f>
        <v>0.65735408726227607</v>
      </c>
      <c r="G114" s="27" t="s">
        <v>33</v>
      </c>
      <c r="H114" s="46">
        <f>2326735088</f>
        <v>2326735088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Agustus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28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28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E130/C130*100%</f>
        <v>0.61352339917833842</v>
      </c>
      <c r="E130" s="74">
        <f>E132+E144+E150+E156+E162+E168+E174+E180</f>
        <v>31894260847</v>
      </c>
      <c r="F130" s="42">
        <f>E130/C130*100%</f>
        <v>0.61352339917833842</v>
      </c>
      <c r="G130" s="15" t="s">
        <v>1</v>
      </c>
      <c r="H130" s="43">
        <f>29199779666</f>
        <v>29199779666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0.66029946698668718</v>
      </c>
      <c r="E132" s="48">
        <f>SUM(E133:E142)</f>
        <v>10326692610</v>
      </c>
      <c r="F132" s="49">
        <f>E132/C132*100%</f>
        <v>0.66073615319551193</v>
      </c>
      <c r="G132" s="18" t="s">
        <v>0</v>
      </c>
      <c r="H132" s="48">
        <f>10319867610</f>
        <v>10319867610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0.62795650999999997</v>
      </c>
      <c r="E134" s="37">
        <f>SUM(E14:E20)</f>
        <v>62795651</v>
      </c>
      <c r="F134" s="58">
        <f>E134/C134*100%</f>
        <v>0.62795650999999997</v>
      </c>
      <c r="G134" s="27" t="s">
        <v>61</v>
      </c>
      <c r="H134" s="37">
        <f>SUM(H14:H20)</f>
        <v>62795651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13">H135/C135*100%</f>
        <v>0.66581137121848455</v>
      </c>
      <c r="E135" s="77">
        <f>SUM(E22:E24)</f>
        <v>9066401355</v>
      </c>
      <c r="F135" s="58">
        <f t="shared" ref="F135:F142" si="14">E135/C135*100%</f>
        <v>0.66581137121848455</v>
      </c>
      <c r="G135" s="27" t="s">
        <v>61</v>
      </c>
      <c r="H135" s="77">
        <f>SUM(H22:H24)</f>
        <v>9066401355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13"/>
        <v>0.83216400856639461</v>
      </c>
      <c r="E137" s="77">
        <f>SUM(E30:E36)</f>
        <v>205126847</v>
      </c>
      <c r="F137" s="58">
        <f t="shared" si="14"/>
        <v>0.83216400856639461</v>
      </c>
      <c r="G137" s="27" t="s">
        <v>61</v>
      </c>
      <c r="H137" s="77">
        <f>205126847</f>
        <v>205126847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13"/>
        <v>0.61780461402469233</v>
      </c>
      <c r="E139" s="77">
        <f>SUM(E42:E43)</f>
        <v>159002829</v>
      </c>
      <c r="F139" s="58">
        <f t="shared" si="14"/>
        <v>0.61780461402469233</v>
      </c>
      <c r="G139" s="27" t="s">
        <v>61</v>
      </c>
      <c r="H139" s="77">
        <f>SUM(H42:H43)</f>
        <v>159002829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13"/>
        <v>0.47788878168565541</v>
      </c>
      <c r="E140" s="77">
        <f>SUM(E45:E48)</f>
        <v>162868468</v>
      </c>
      <c r="F140" s="58">
        <f t="shared" si="14"/>
        <v>0.48413109060371934</v>
      </c>
      <c r="G140" s="27" t="s">
        <v>61</v>
      </c>
      <c r="H140" s="77">
        <v>160768468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13"/>
        <v>0.62121865785839581</v>
      </c>
      <c r="E142" s="77">
        <f>SUM(E51)</f>
        <v>670497460</v>
      </c>
      <c r="F142" s="58">
        <f t="shared" si="14"/>
        <v>0.62562745866457659</v>
      </c>
      <c r="G142" s="27" t="s">
        <v>61</v>
      </c>
      <c r="H142" s="77">
        <f>665772460</f>
        <v>665772460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0.47768725302123538</v>
      </c>
      <c r="E144" s="48">
        <f>SUM(E145:E148)</f>
        <v>4372220572</v>
      </c>
      <c r="F144" s="49">
        <f>E144/C144*100%</f>
        <v>0.88067916223272857</v>
      </c>
      <c r="G144" s="18" t="s">
        <v>0</v>
      </c>
      <c r="H144" s="48">
        <f>2371526572</f>
        <v>2371526572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0.83898572972972973</v>
      </c>
      <c r="E146" s="37">
        <f>SUM(E56)</f>
        <v>155212360</v>
      </c>
      <c r="F146" s="58">
        <f>E146/C146*100%</f>
        <v>0.83898572972972973</v>
      </c>
      <c r="G146" s="27" t="s">
        <v>61</v>
      </c>
      <c r="H146" s="37">
        <f>155212360</f>
        <v>155212360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0.88229295492276028</v>
      </c>
      <c r="E148" s="77">
        <f>SUM(E59:E60)</f>
        <v>4217008212</v>
      </c>
      <c r="F148" s="58">
        <f>E148/C148*100%</f>
        <v>0.88229295492276028</v>
      </c>
      <c r="G148" s="27" t="s">
        <v>61</v>
      </c>
      <c r="H148" s="77">
        <f>SUM(H59:H60)</f>
        <v>4217008212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0.577209799708152</v>
      </c>
      <c r="E150" s="48">
        <f>SUM(E151:E154)</f>
        <v>2693109678</v>
      </c>
      <c r="F150" s="49">
        <f>E150/C150*100%</f>
        <v>0.577209799708152</v>
      </c>
      <c r="G150" s="18" t="s">
        <v>0</v>
      </c>
      <c r="H150" s="48">
        <f>SUM(H151:H154)</f>
        <v>2693109678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0.7274868955223881</v>
      </c>
      <c r="E152" s="37">
        <f>SUM(E65)</f>
        <v>243708110</v>
      </c>
      <c r="F152" s="58">
        <f>E152/C152*100%</f>
        <v>0.7274868955223881</v>
      </c>
      <c r="G152" s="27" t="s">
        <v>61</v>
      </c>
      <c r="H152" s="37">
        <f>SUM(H65)</f>
        <v>243708110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0.56558526193427738</v>
      </c>
      <c r="E154" s="77">
        <f>SUM(E68:E69)</f>
        <v>2449401568</v>
      </c>
      <c r="F154" s="58">
        <f>E154/C154*100%</f>
        <v>0.56558526193427738</v>
      </c>
      <c r="G154" s="27" t="s">
        <v>61</v>
      </c>
      <c r="H154" s="77">
        <f>SUM(H68:H69)</f>
        <v>2449401568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0.38424708681864955</v>
      </c>
      <c r="E156" s="48">
        <f>SUM(E157:E160)</f>
        <v>1864514868</v>
      </c>
      <c r="F156" s="49">
        <f>E156/C156*100%</f>
        <v>0.38424708681864955</v>
      </c>
      <c r="G156" s="18" t="s">
        <v>0</v>
      </c>
      <c r="H156" s="48">
        <f>SUM(H157:H160)</f>
        <v>1864514868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0.7335535135135135</v>
      </c>
      <c r="E158" s="37">
        <f>SUM(E74)</f>
        <v>135707400</v>
      </c>
      <c r="F158" s="58">
        <f>E158/C158*100%</f>
        <v>0.7335535135135135</v>
      </c>
      <c r="G158" s="27" t="s">
        <v>61</v>
      </c>
      <c r="H158" s="37">
        <f>SUM(H74)</f>
        <v>135707400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0.37040171376676628</v>
      </c>
      <c r="E160" s="77">
        <f>SUM(E77:E78)</f>
        <v>1728807468</v>
      </c>
      <c r="F160" s="58">
        <f>E160/C160*100%</f>
        <v>0.37040171376676628</v>
      </c>
      <c r="G160" s="27" t="s">
        <v>61</v>
      </c>
      <c r="H160" s="77">
        <f>SUM(H77:H78)</f>
        <v>1728807468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0.66437458648060521</v>
      </c>
      <c r="E162" s="48">
        <f>SUM(E163:E166)</f>
        <v>2773332560</v>
      </c>
      <c r="F162" s="49">
        <f>E162/C162*100%</f>
        <v>0.66437458648060521</v>
      </c>
      <c r="G162" s="18" t="s">
        <v>0</v>
      </c>
      <c r="H162" s="48">
        <f>SUM(H163:H166)</f>
        <v>2773332560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0.76906140540540535</v>
      </c>
      <c r="E164" s="37">
        <f>SUM(E83)</f>
        <v>142276360</v>
      </c>
      <c r="F164" s="58">
        <f>E164/C164*100%</f>
        <v>0.76906140540540535</v>
      </c>
      <c r="G164" s="27" t="s">
        <v>61</v>
      </c>
      <c r="H164" s="37">
        <f>SUM(H83)</f>
        <v>142276360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0.65951989641542574</v>
      </c>
      <c r="E166" s="77">
        <f>SUM(E86:E87)</f>
        <v>2631056200</v>
      </c>
      <c r="F166" s="58">
        <f>E166/C166*100%</f>
        <v>0.65951989641542574</v>
      </c>
      <c r="G166" s="27" t="s">
        <v>61</v>
      </c>
      <c r="H166" s="77">
        <f>SUM(H86:H87)</f>
        <v>2631056200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0.52650002266945239</v>
      </c>
      <c r="E168" s="48">
        <f>SUM(E169:E172)</f>
        <v>2968352018</v>
      </c>
      <c r="F168" s="49">
        <f>E168/C168*100%</f>
        <v>0.52650002266945239</v>
      </c>
      <c r="G168" s="18" t="s">
        <v>0</v>
      </c>
      <c r="H168" s="48">
        <f>SUM(H169:H172)</f>
        <v>2968352018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0.65351005405405405</v>
      </c>
      <c r="E170" s="37">
        <f>SUM(E92)</f>
        <v>120899360</v>
      </c>
      <c r="F170" s="58">
        <f>E170/C170*100%</f>
        <v>0.65351005405405405</v>
      </c>
      <c r="G170" s="27" t="s">
        <v>61</v>
      </c>
      <c r="H170" s="37">
        <f>SUM(H92)</f>
        <v>120899360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0.52219096218089001</v>
      </c>
      <c r="E172" s="77">
        <f>SUM(E95:E96)</f>
        <v>2847452658</v>
      </c>
      <c r="F172" s="58">
        <f>E172/C172*100%</f>
        <v>0.52219096218089001</v>
      </c>
      <c r="G172" s="27" t="s">
        <v>61</v>
      </c>
      <c r="H172" s="77">
        <f>SUM(H95:H96)</f>
        <v>2847452658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0.45308799753240736</v>
      </c>
      <c r="E174" s="48">
        <f>SUM(E175:E178)</f>
        <v>1126546543</v>
      </c>
      <c r="F174" s="49">
        <f>E174/C174*100%</f>
        <v>0.45308799753240736</v>
      </c>
      <c r="G174" s="18" t="s">
        <v>0</v>
      </c>
      <c r="H174" s="48">
        <f>SUM(H175:H178)</f>
        <v>1126546543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0.80768843243243238</v>
      </c>
      <c r="E176" s="37">
        <f>SUM(E101)</f>
        <v>149422360</v>
      </c>
      <c r="F176" s="58">
        <f>E176/C176*100%</f>
        <v>0.80768843243243238</v>
      </c>
      <c r="G176" s="27" t="s">
        <v>61</v>
      </c>
      <c r="H176" s="37">
        <f>SUM(H101)</f>
        <v>149422360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0.42458282630305422</v>
      </c>
      <c r="E178" s="77">
        <f>SUM(E104:E105)</f>
        <v>977124183</v>
      </c>
      <c r="F178" s="58">
        <f>E178/C178*100%</f>
        <v>0.42458282630305422</v>
      </c>
      <c r="G178" s="27" t="s">
        <v>61</v>
      </c>
      <c r="H178" s="77">
        <f>SUM(H104:H105)</f>
        <v>977124183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0.60255878650630157</v>
      </c>
      <c r="E180" s="48">
        <f>SUM(E181:E184)</f>
        <v>5769491998</v>
      </c>
      <c r="F180" s="49">
        <f>E180/C180*100%</f>
        <v>0.60255878650630157</v>
      </c>
      <c r="G180" s="18" t="s">
        <v>0</v>
      </c>
      <c r="H180" s="48">
        <f>SUM(H181:H184)</f>
        <v>5769491998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0.75057789189189195</v>
      </c>
      <c r="E182" s="37">
        <f>SUM(E110)</f>
        <v>138856910</v>
      </c>
      <c r="F182" s="58">
        <f>E182/C182*100%</f>
        <v>0.75057789189189195</v>
      </c>
      <c r="G182" s="27" t="s">
        <v>61</v>
      </c>
      <c r="H182" s="37">
        <f>SUM(H110)</f>
        <v>138856910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0.59964253783034993</v>
      </c>
      <c r="E184" s="77">
        <f>SUM(E112:E114)</f>
        <v>5630635088</v>
      </c>
      <c r="F184" s="58">
        <f>E184/C184*100%</f>
        <v>0.59964253783034993</v>
      </c>
      <c r="G184" s="27" t="s">
        <v>61</v>
      </c>
      <c r="H184" s="77">
        <f>SUM(H112:H114)</f>
        <v>5630635088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Agustus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28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28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0.61339211232333091</v>
      </c>
      <c r="E196" s="74">
        <f>E198+E202+E206+E210+E214+E218+E222+E226</f>
        <v>31894260847</v>
      </c>
      <c r="F196" s="42">
        <f>E196/C196*100%</f>
        <v>0.61352339917833842</v>
      </c>
      <c r="G196" s="15" t="s">
        <v>1</v>
      </c>
      <c r="H196" s="43">
        <f>H198+H202+H206+H210+H214+H218+H222+H226</f>
        <v>31887435847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-1.3128685500751747E-4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0.66029946698668718</v>
      </c>
      <c r="E198" s="48">
        <f>SUM(E199:E200)</f>
        <v>10326692610</v>
      </c>
      <c r="F198" s="49">
        <f>E198/C198*100%</f>
        <v>0.66073615319551193</v>
      </c>
      <c r="G198" s="18" t="s">
        <v>0</v>
      </c>
      <c r="H198" s="48">
        <f>SUM(H199:H200)</f>
        <v>10319867610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0.66317661703917974</v>
      </c>
      <c r="E199" s="37">
        <f>SUM(E134:E140)</f>
        <v>9656195150</v>
      </c>
      <c r="F199" s="58">
        <f>E199/C199*100%</f>
        <v>0.66332087404868123</v>
      </c>
      <c r="G199" s="27" t="s">
        <v>32</v>
      </c>
      <c r="H199" s="37">
        <f>SUM(H134:H140)</f>
        <v>9654095150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0.62121865785839581</v>
      </c>
      <c r="E200" s="77">
        <f>SUM(E142)</f>
        <v>670497460</v>
      </c>
      <c r="F200" s="58">
        <f>E200/C200*100%</f>
        <v>0.62562745866457659</v>
      </c>
      <c r="G200" s="27" t="s">
        <v>32</v>
      </c>
      <c r="H200" s="77">
        <f>SUM(H142)</f>
        <v>665772460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0.88067916223272857</v>
      </c>
      <c r="E202" s="88">
        <f>SUM(E203:E204)</f>
        <v>4372220572</v>
      </c>
      <c r="F202" s="49">
        <f>E202/C202*100%</f>
        <v>0.88067916223272857</v>
      </c>
      <c r="G202" s="18" t="s">
        <v>0</v>
      </c>
      <c r="H202" s="43">
        <f>SUM(H203:H204)</f>
        <v>4372220572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0.83898572972972973</v>
      </c>
      <c r="E203" s="37">
        <f>SUM(E146)</f>
        <v>155212360</v>
      </c>
      <c r="F203" s="58">
        <f>E203/C203*100%</f>
        <v>0.83898572972972973</v>
      </c>
      <c r="G203" s="27" t="s">
        <v>32</v>
      </c>
      <c r="H203" s="37">
        <f>SUM(H146)</f>
        <v>155212360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0.88229295492276028</v>
      </c>
      <c r="E204" s="77">
        <f>SUM(E148:E148)</f>
        <v>4217008212</v>
      </c>
      <c r="F204" s="58">
        <f>E204/C204*100%</f>
        <v>0.88229295492276028</v>
      </c>
      <c r="G204" s="27" t="s">
        <v>32</v>
      </c>
      <c r="H204" s="77">
        <f>SUM(H148:H148)</f>
        <v>4217008212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0.577209799708152</v>
      </c>
      <c r="E206" s="88">
        <f>SUM(E207:E209)</f>
        <v>2693109678</v>
      </c>
      <c r="F206" s="49">
        <f>E206/C206*100%</f>
        <v>0.577209799708152</v>
      </c>
      <c r="G206" s="18" t="s">
        <v>0</v>
      </c>
      <c r="H206" s="43">
        <f>SUM(H207:H209)</f>
        <v>2693109678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0.7274868955223881</v>
      </c>
      <c r="E207" s="37">
        <f>SUM(E152)</f>
        <v>243708110</v>
      </c>
      <c r="F207" s="58">
        <f>E207/C207*100%</f>
        <v>0.7274868955223881</v>
      </c>
      <c r="G207" s="27" t="s">
        <v>32</v>
      </c>
      <c r="H207" s="37">
        <f>SUM(H152)</f>
        <v>243708110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0.56558526193427738</v>
      </c>
      <c r="E208" s="77">
        <f>SUM(E154:E154)</f>
        <v>2449401568</v>
      </c>
      <c r="F208" s="58">
        <f>E208/C208*100%</f>
        <v>0.56558526193427738</v>
      </c>
      <c r="G208" s="27" t="s">
        <v>32</v>
      </c>
      <c r="H208" s="77">
        <f>SUM(H154:H154)</f>
        <v>2449401568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0.38424708681864955</v>
      </c>
      <c r="E210" s="88">
        <f>SUM(E211:E212)</f>
        <v>1864514868</v>
      </c>
      <c r="F210" s="49">
        <f>E210/C210*100%</f>
        <v>0.38424708681864955</v>
      </c>
      <c r="G210" s="18" t="s">
        <v>0</v>
      </c>
      <c r="H210" s="43">
        <f>SUM(H211:H212)</f>
        <v>1864514868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0.7335535135135135</v>
      </c>
      <c r="E211" s="37">
        <f>SUM(E158)</f>
        <v>135707400</v>
      </c>
      <c r="F211" s="58">
        <f>E211/C211*100%</f>
        <v>0.7335535135135135</v>
      </c>
      <c r="G211" s="27" t="s">
        <v>32</v>
      </c>
      <c r="H211" s="37">
        <f>SUM(H158)</f>
        <v>135707400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0.37040171376676628</v>
      </c>
      <c r="E212" s="77">
        <f>SUM(E160:E160)</f>
        <v>1728807468</v>
      </c>
      <c r="F212" s="58">
        <f>E212/C212*100%</f>
        <v>0.37040171376676628</v>
      </c>
      <c r="G212" s="27" t="s">
        <v>32</v>
      </c>
      <c r="H212" s="77">
        <f>SUM(H160:H160)</f>
        <v>1728807468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0.66437458648060521</v>
      </c>
      <c r="E214" s="88">
        <f>SUM(E215:E216)</f>
        <v>2773332560</v>
      </c>
      <c r="F214" s="49">
        <f>E214/C214*100%</f>
        <v>0.66437458648060521</v>
      </c>
      <c r="G214" s="18" t="s">
        <v>0</v>
      </c>
      <c r="H214" s="43">
        <f>SUM(H215:H216)</f>
        <v>2773332560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0.76906140540540535</v>
      </c>
      <c r="E215" s="37">
        <f>SUM(E164)</f>
        <v>142276360</v>
      </c>
      <c r="F215" s="58">
        <f>E215/C215*100%</f>
        <v>0.76906140540540535</v>
      </c>
      <c r="G215" s="27" t="s">
        <v>32</v>
      </c>
      <c r="H215" s="37">
        <f>SUM(H164)</f>
        <v>142276360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0.65951989641542574</v>
      </c>
      <c r="E216" s="77">
        <f>SUM(E166:E166)</f>
        <v>2631056200</v>
      </c>
      <c r="F216" s="58">
        <f>E216/C216*100%</f>
        <v>0.65951989641542574</v>
      </c>
      <c r="G216" s="27" t="s">
        <v>32</v>
      </c>
      <c r="H216" s="77">
        <f>SUM(H166:H166)</f>
        <v>2631056200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0.52650002266945239</v>
      </c>
      <c r="E218" s="88">
        <f>SUM(E219:E220)</f>
        <v>2968352018</v>
      </c>
      <c r="F218" s="49">
        <f>E218/C218*100%</f>
        <v>0.52650002266945239</v>
      </c>
      <c r="G218" s="18" t="s">
        <v>0</v>
      </c>
      <c r="H218" s="43">
        <f>SUM(H219:H220)</f>
        <v>2968352018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0.65351005405405405</v>
      </c>
      <c r="E219" s="37">
        <f>SUM(E170)</f>
        <v>120899360</v>
      </c>
      <c r="F219" s="58">
        <f>E219/C219*100%</f>
        <v>0.65351005405405405</v>
      </c>
      <c r="G219" s="27" t="s">
        <v>32</v>
      </c>
      <c r="H219" s="37">
        <f>SUM(H170)</f>
        <v>120899360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0.52219096218089001</v>
      </c>
      <c r="E220" s="77">
        <f>SUM(E172:E172)</f>
        <v>2847452658</v>
      </c>
      <c r="F220" s="58">
        <f>E220/C220*100%</f>
        <v>0.52219096218089001</v>
      </c>
      <c r="G220" s="27" t="s">
        <v>32</v>
      </c>
      <c r="H220" s="77">
        <f>SUM(H172:H172)</f>
        <v>2847452658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0.45308799753240736</v>
      </c>
      <c r="E222" s="88">
        <f>SUM(E223:E224)</f>
        <v>1126546543</v>
      </c>
      <c r="F222" s="49">
        <f>E222/C222*100%</f>
        <v>0.45308799753240736</v>
      </c>
      <c r="G222" s="18" t="s">
        <v>0</v>
      </c>
      <c r="H222" s="43">
        <f>SUM(H223:H224)</f>
        <v>1126546543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0.80768843243243238</v>
      </c>
      <c r="E223" s="37">
        <f>SUM(E176)</f>
        <v>149422360</v>
      </c>
      <c r="F223" s="58">
        <f>E223/C223*100%</f>
        <v>0.80768843243243238</v>
      </c>
      <c r="G223" s="27" t="s">
        <v>32</v>
      </c>
      <c r="H223" s="37">
        <f>SUM(H176)</f>
        <v>149422360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0.42458282630305422</v>
      </c>
      <c r="E224" s="77">
        <f>SUM(E178:E178)</f>
        <v>977124183</v>
      </c>
      <c r="F224" s="58">
        <f>E224/C224*100%</f>
        <v>0.42458282630305422</v>
      </c>
      <c r="G224" s="27" t="s">
        <v>32</v>
      </c>
      <c r="H224" s="77">
        <f>SUM(H178:H178)</f>
        <v>977124183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0.60255878650630157</v>
      </c>
      <c r="E226" s="88">
        <f>SUM(E227:E228)</f>
        <v>5769491998</v>
      </c>
      <c r="F226" s="49">
        <f>E226/C226*100%</f>
        <v>0.60255878650630157</v>
      </c>
      <c r="G226" s="18" t="s">
        <v>0</v>
      </c>
      <c r="H226" s="43">
        <f>SUM(H227:H228)</f>
        <v>5769491998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0.75057789189189195</v>
      </c>
      <c r="E227" s="37">
        <f>SUM(E182)</f>
        <v>138856910</v>
      </c>
      <c r="F227" s="58">
        <f>E227/C227*100%</f>
        <v>0.75057789189189195</v>
      </c>
      <c r="G227" s="27" t="s">
        <v>32</v>
      </c>
      <c r="H227" s="37">
        <f>SUM(H182)</f>
        <v>138856910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0.59964253783034993</v>
      </c>
      <c r="E228" s="77">
        <f>SUM(E184:E184)</f>
        <v>5630635088</v>
      </c>
      <c r="F228" s="58">
        <f>E228/C228*100%</f>
        <v>0.59964253783034993</v>
      </c>
      <c r="G228" s="27" t="s">
        <v>32</v>
      </c>
      <c r="H228" s="77">
        <f>SUM(H184:H184)</f>
        <v>5630635088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Agustus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28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28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0.61339211232333091</v>
      </c>
      <c r="E240" s="14">
        <f>SUM(E242:E244)</f>
        <v>31894260847</v>
      </c>
      <c r="F240" s="42">
        <f>E240/C240*100%</f>
        <v>0.61352339917833842</v>
      </c>
      <c r="G240" s="15" t="s">
        <v>1</v>
      </c>
      <c r="H240" s="14">
        <f>SUM(H242:H244)</f>
        <v>31887435847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0.66317661703917974</v>
      </c>
      <c r="E242" s="37">
        <f>E199</f>
        <v>9656195150</v>
      </c>
      <c r="F242" s="58">
        <f>E242/C242*100%</f>
        <v>0.66332087404868123</v>
      </c>
      <c r="G242" s="27" t="s">
        <v>32</v>
      </c>
      <c r="H242" s="37">
        <f>H199</f>
        <v>9654095150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17">H243/C243*100%</f>
        <v>0.69608670014940077</v>
      </c>
      <c r="E243" s="77">
        <f>E200+E203+E207+E211+E215+E219+E223+E227</f>
        <v>1756580320</v>
      </c>
      <c r="F243" s="58">
        <f t="shared" ref="F243:F244" si="18">E243/C243*100%</f>
        <v>0.69796414380622396</v>
      </c>
      <c r="G243" s="27" t="s">
        <v>32</v>
      </c>
      <c r="H243" s="77">
        <f>H200+H203+H207+H211+H215+H219+H223+H227</f>
        <v>1751855320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17"/>
        <v>0.58667157104838641</v>
      </c>
      <c r="E244" s="77">
        <f>E204+E208+E212+E216+E220+E224+E228</f>
        <v>20481485377</v>
      </c>
      <c r="F244" s="58">
        <f t="shared" si="18"/>
        <v>0.58667157104838641</v>
      </c>
      <c r="G244" s="27" t="s">
        <v>32</v>
      </c>
      <c r="H244" s="77">
        <f>H204+H208+H212+H216+H220+H224+H228</f>
        <v>20481485377</v>
      </c>
    </row>
  </sheetData>
  <mergeCells count="32">
    <mergeCell ref="A233:G233"/>
    <mergeCell ref="B236:G236"/>
    <mergeCell ref="A237:A239"/>
    <mergeCell ref="B237:B239"/>
    <mergeCell ref="C237:C238"/>
    <mergeCell ref="D237:F237"/>
    <mergeCell ref="G237:G239"/>
    <mergeCell ref="E238:F23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2:G2"/>
    <mergeCell ref="B5:G5"/>
    <mergeCell ref="A6:A8"/>
    <mergeCell ref="B6:B8"/>
    <mergeCell ref="C6:C8"/>
    <mergeCell ref="D6:F6"/>
    <mergeCell ref="G6:G8"/>
    <mergeCell ref="E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44"/>
  <sheetViews>
    <sheetView workbookViewId="0">
      <selection activeCell="D4" sqref="D4"/>
    </sheetView>
  </sheetViews>
  <sheetFormatPr defaultColWidth="9.140625" defaultRowHeight="15" x14ac:dyDescent="0.25"/>
  <cols>
    <col min="1" max="1" width="20.85546875" style="8" customWidth="1"/>
    <col min="2" max="2" width="44" style="30" customWidth="1"/>
    <col min="3" max="3" width="19.28515625" style="31" customWidth="1"/>
    <col min="4" max="4" width="9.140625" style="8"/>
    <col min="5" max="5" width="19.140625" style="8" customWidth="1"/>
    <col min="6" max="6" width="9.140625" style="8" customWidth="1"/>
    <col min="7" max="7" width="16.140625" style="8" customWidth="1"/>
    <col min="8" max="8" width="24.140625" style="8" customWidth="1"/>
    <col min="9" max="9" width="9.140625" style="8"/>
    <col min="10" max="10" width="17.42578125" style="8" customWidth="1"/>
    <col min="11" max="11" width="14.28515625" style="8" bestFit="1" customWidth="1"/>
    <col min="12" max="13" width="9.140625" style="8"/>
    <col min="14" max="14" width="14" style="8" bestFit="1" customWidth="1"/>
    <col min="15" max="16384" width="9.140625" style="8"/>
  </cols>
  <sheetData>
    <row r="1" spans="1:10" x14ac:dyDescent="0.25">
      <c r="A1" s="41"/>
      <c r="B1" s="6"/>
      <c r="C1" s="7"/>
      <c r="D1" s="41"/>
      <c r="E1" s="41"/>
      <c r="F1" s="41"/>
      <c r="G1" s="41"/>
      <c r="H1" s="41"/>
    </row>
    <row r="2" spans="1:10" ht="23.25" x14ac:dyDescent="0.25">
      <c r="A2" s="134" t="s">
        <v>50</v>
      </c>
      <c r="B2" s="134"/>
      <c r="C2" s="134"/>
      <c r="D2" s="134"/>
      <c r="E2" s="134"/>
      <c r="F2" s="134"/>
      <c r="G2" s="134"/>
      <c r="H2" s="41"/>
    </row>
    <row r="3" spans="1:10" x14ac:dyDescent="0.25">
      <c r="A3" s="9"/>
      <c r="B3" s="10"/>
      <c r="C3" s="11"/>
      <c r="D3" s="11"/>
      <c r="E3" s="9"/>
      <c r="F3" s="11"/>
      <c r="G3" s="11"/>
      <c r="H3" s="41"/>
    </row>
    <row r="4" spans="1:10" x14ac:dyDescent="0.25">
      <c r="A4" s="12" t="s">
        <v>48</v>
      </c>
      <c r="B4" s="3" t="s">
        <v>141</v>
      </c>
      <c r="C4" s="11"/>
      <c r="D4" s="11"/>
      <c r="E4" s="9"/>
      <c r="F4" s="11"/>
      <c r="G4" s="11"/>
      <c r="H4" s="41"/>
    </row>
    <row r="5" spans="1:10" x14ac:dyDescent="0.25">
      <c r="A5" s="4" t="s">
        <v>49</v>
      </c>
      <c r="B5" s="135" t="s">
        <v>108</v>
      </c>
      <c r="C5" s="135"/>
      <c r="D5" s="135"/>
      <c r="E5" s="135"/>
      <c r="F5" s="135"/>
      <c r="G5" s="135"/>
      <c r="H5" s="41"/>
    </row>
    <row r="6" spans="1:10" x14ac:dyDescent="0.25">
      <c r="A6" s="136" t="s">
        <v>31</v>
      </c>
      <c r="B6" s="136" t="s">
        <v>47</v>
      </c>
      <c r="C6" s="142" t="s">
        <v>51</v>
      </c>
      <c r="D6" s="139" t="s">
        <v>42</v>
      </c>
      <c r="E6" s="140"/>
      <c r="F6" s="141"/>
      <c r="G6" s="136" t="s">
        <v>2</v>
      </c>
      <c r="H6" s="41"/>
    </row>
    <row r="7" spans="1:10" x14ac:dyDescent="0.25">
      <c r="A7" s="137"/>
      <c r="B7" s="137"/>
      <c r="C7" s="137"/>
      <c r="D7" s="129" t="s">
        <v>43</v>
      </c>
      <c r="E7" s="139" t="s">
        <v>44</v>
      </c>
      <c r="F7" s="141"/>
      <c r="G7" s="137"/>
      <c r="H7" s="41"/>
    </row>
    <row r="8" spans="1:10" x14ac:dyDescent="0.25">
      <c r="A8" s="138"/>
      <c r="B8" s="138"/>
      <c r="C8" s="138"/>
      <c r="D8" s="1" t="s">
        <v>45</v>
      </c>
      <c r="E8" s="1" t="s">
        <v>46</v>
      </c>
      <c r="F8" s="1" t="s">
        <v>45</v>
      </c>
      <c r="G8" s="138"/>
      <c r="H8" s="41"/>
    </row>
    <row r="9" spans="1:10" x14ac:dyDescent="0.25">
      <c r="A9" s="13" t="s">
        <v>110</v>
      </c>
      <c r="B9" s="32" t="s">
        <v>3</v>
      </c>
      <c r="C9" s="14">
        <f>C11+C53+C62+C71+C80+C89+C98+C107</f>
        <v>51985402496</v>
      </c>
      <c r="D9" s="42">
        <f>E9/C9*100%</f>
        <v>0.74987115500355095</v>
      </c>
      <c r="E9" s="40">
        <f>E11+E53+E62+E71+E80+E89+E98+E107</f>
        <v>38982353813</v>
      </c>
      <c r="F9" s="42">
        <f>E9/C9*100%</f>
        <v>0.74987115500355095</v>
      </c>
      <c r="G9" s="15" t="s">
        <v>1</v>
      </c>
      <c r="H9" s="43">
        <f>H11+H53+H62+H71+H80+H89+H98+H107</f>
        <v>38982353813</v>
      </c>
    </row>
    <row r="10" spans="1:10" ht="16.5" x14ac:dyDescent="0.25">
      <c r="A10" s="13"/>
      <c r="B10" s="32"/>
      <c r="C10" s="14"/>
      <c r="D10" s="42"/>
      <c r="E10" s="84"/>
      <c r="F10" s="42"/>
      <c r="G10" s="15"/>
      <c r="H10" s="46"/>
    </row>
    <row r="11" spans="1:10" ht="16.5" x14ac:dyDescent="0.25">
      <c r="A11" s="16" t="s">
        <v>110</v>
      </c>
      <c r="B11" s="17" t="s">
        <v>3</v>
      </c>
      <c r="C11" s="48">
        <f>SUM(C12:C51)</f>
        <v>15629071544</v>
      </c>
      <c r="D11" s="49">
        <f>E11/C11*100%</f>
        <v>0.72526618405247478</v>
      </c>
      <c r="E11" s="48">
        <f>SUM(E14:E51)</f>
        <v>11335237079</v>
      </c>
      <c r="F11" s="49">
        <f>E11/C11*100%</f>
        <v>0.72526618405247478</v>
      </c>
      <c r="G11" s="18" t="s">
        <v>0</v>
      </c>
      <c r="H11" s="48">
        <f>SUM(H14:H51)</f>
        <v>11335237079</v>
      </c>
      <c r="J11" s="44"/>
    </row>
    <row r="12" spans="1:10" ht="30" x14ac:dyDescent="0.25">
      <c r="A12" s="19" t="s">
        <v>37</v>
      </c>
      <c r="B12" s="50" t="s">
        <v>24</v>
      </c>
      <c r="C12" s="20"/>
      <c r="D12" s="51"/>
      <c r="E12" s="52"/>
      <c r="F12" s="53"/>
      <c r="G12" s="21" t="s">
        <v>32</v>
      </c>
      <c r="H12" s="123" t="s">
        <v>135</v>
      </c>
      <c r="J12" s="47"/>
    </row>
    <row r="13" spans="1:10" ht="30" x14ac:dyDescent="0.25">
      <c r="A13" s="22" t="s">
        <v>73</v>
      </c>
      <c r="B13" s="22" t="s">
        <v>25</v>
      </c>
      <c r="C13" s="23"/>
      <c r="D13" s="54"/>
      <c r="E13" s="55"/>
      <c r="F13" s="56"/>
      <c r="G13" s="24" t="s">
        <v>61</v>
      </c>
      <c r="H13" s="46"/>
    </row>
    <row r="14" spans="1:10" ht="30" x14ac:dyDescent="0.25">
      <c r="A14" s="25" t="s">
        <v>74</v>
      </c>
      <c r="B14" s="118" t="s">
        <v>59</v>
      </c>
      <c r="C14" s="108">
        <v>50000000</v>
      </c>
      <c r="D14" s="97">
        <f>E14/C14*100%</f>
        <v>0.79983302000000001</v>
      </c>
      <c r="E14" s="92">
        <f>39991651</f>
        <v>39991651</v>
      </c>
      <c r="F14" s="58">
        <f>E14/C14*100%</f>
        <v>0.79983302000000001</v>
      </c>
      <c r="G14" s="27" t="s">
        <v>33</v>
      </c>
      <c r="H14" s="46">
        <f>39991651</f>
        <v>39991651</v>
      </c>
    </row>
    <row r="15" spans="1:10" ht="30" x14ac:dyDescent="0.25">
      <c r="A15" s="25" t="s">
        <v>126</v>
      </c>
      <c r="B15" s="107" t="s">
        <v>70</v>
      </c>
      <c r="C15" s="110"/>
      <c r="D15" s="111"/>
      <c r="E15" s="112"/>
      <c r="F15" s="113"/>
      <c r="G15" s="27" t="s">
        <v>33</v>
      </c>
      <c r="H15" s="46">
        <f t="shared" ref="H15:H18" si="0">D15*C15</f>
        <v>0</v>
      </c>
    </row>
    <row r="16" spans="1:10" ht="30" x14ac:dyDescent="0.25">
      <c r="A16" s="25" t="s">
        <v>127</v>
      </c>
      <c r="B16" s="107" t="s">
        <v>129</v>
      </c>
      <c r="C16" s="110"/>
      <c r="D16" s="111"/>
      <c r="E16" s="112"/>
      <c r="F16" s="113"/>
      <c r="G16" s="27" t="s">
        <v>33</v>
      </c>
      <c r="H16" s="46">
        <f t="shared" si="0"/>
        <v>0</v>
      </c>
    </row>
    <row r="17" spans="1:8" x14ac:dyDescent="0.25">
      <c r="A17" s="25" t="s">
        <v>128</v>
      </c>
      <c r="B17" s="107" t="s">
        <v>71</v>
      </c>
      <c r="C17" s="110"/>
      <c r="D17" s="111"/>
      <c r="E17" s="112"/>
      <c r="F17" s="113"/>
      <c r="G17" s="27" t="s">
        <v>33</v>
      </c>
      <c r="H17" s="46">
        <f t="shared" si="0"/>
        <v>0</v>
      </c>
    </row>
    <row r="18" spans="1:8" ht="30" x14ac:dyDescent="0.25">
      <c r="A18" s="25" t="s">
        <v>130</v>
      </c>
      <c r="B18" s="107" t="s">
        <v>131</v>
      </c>
      <c r="C18" s="110"/>
      <c r="D18" s="111"/>
      <c r="E18" s="112"/>
      <c r="F18" s="113"/>
      <c r="G18" s="27" t="s">
        <v>33</v>
      </c>
      <c r="H18" s="46">
        <f t="shared" si="0"/>
        <v>0</v>
      </c>
    </row>
    <row r="19" spans="1:8" ht="30" x14ac:dyDescent="0.25">
      <c r="A19" s="28" t="s">
        <v>75</v>
      </c>
      <c r="B19" s="119" t="s">
        <v>22</v>
      </c>
      <c r="C19" s="108">
        <v>30000000</v>
      </c>
      <c r="D19" s="97">
        <f t="shared" ref="D19:D20" si="1">E19/C19*100%</f>
        <v>0.77300000000000002</v>
      </c>
      <c r="E19" s="92">
        <f>21220000+1970000</f>
        <v>23190000</v>
      </c>
      <c r="F19" s="58">
        <f>E19/C19*100%</f>
        <v>0.77300000000000002</v>
      </c>
      <c r="G19" s="27" t="s">
        <v>33</v>
      </c>
      <c r="H19" s="46">
        <f>23190000</f>
        <v>23190000</v>
      </c>
    </row>
    <row r="20" spans="1:8" x14ac:dyDescent="0.25">
      <c r="A20" s="28" t="s">
        <v>123</v>
      </c>
      <c r="B20" s="120" t="s">
        <v>72</v>
      </c>
      <c r="C20" s="109">
        <v>20000000</v>
      </c>
      <c r="D20" s="97">
        <f t="shared" si="1"/>
        <v>0.53825000000000001</v>
      </c>
      <c r="E20" s="92">
        <f>9180000+1585000</f>
        <v>10765000</v>
      </c>
      <c r="F20" s="58">
        <f>E20/C20*100%</f>
        <v>0.53825000000000001</v>
      </c>
      <c r="G20" s="27" t="s">
        <v>33</v>
      </c>
      <c r="H20" s="46">
        <f>10765000</f>
        <v>10765000</v>
      </c>
    </row>
    <row r="21" spans="1:8" ht="16.5" x14ac:dyDescent="0.25">
      <c r="A21" s="22" t="s">
        <v>76</v>
      </c>
      <c r="B21" s="22" t="s">
        <v>26</v>
      </c>
      <c r="C21" s="59"/>
      <c r="D21" s="98"/>
      <c r="E21" s="96"/>
      <c r="F21" s="96"/>
      <c r="G21" s="24" t="s">
        <v>61</v>
      </c>
      <c r="H21" s="46"/>
    </row>
    <row r="22" spans="1:8" x14ac:dyDescent="0.25">
      <c r="A22" s="28" t="s">
        <v>77</v>
      </c>
      <c r="B22" s="28" t="s">
        <v>10</v>
      </c>
      <c r="C22" s="108">
        <v>11713143962</v>
      </c>
      <c r="D22" s="97">
        <f>E22/C22*100%</f>
        <v>0.73112137038378522</v>
      </c>
      <c r="E22" s="100">
        <f>8563729865</f>
        <v>8563729865</v>
      </c>
      <c r="F22" s="58">
        <f>E22/C22*100%</f>
        <v>0.73112137038378522</v>
      </c>
      <c r="G22" s="27" t="s">
        <v>33</v>
      </c>
      <c r="H22" s="46">
        <f>8563729865</f>
        <v>8563729865</v>
      </c>
    </row>
    <row r="23" spans="1:8" ht="30" x14ac:dyDescent="0.25">
      <c r="A23" s="28" t="s">
        <v>78</v>
      </c>
      <c r="B23" s="28" t="s">
        <v>11</v>
      </c>
      <c r="C23" s="108">
        <v>1853928000</v>
      </c>
      <c r="D23" s="97">
        <f>E23/C23*100%</f>
        <v>0.77548633118438259</v>
      </c>
      <c r="E23" s="100">
        <f>1437695823</f>
        <v>1437695823</v>
      </c>
      <c r="F23" s="58">
        <f>E23/C23*100%</f>
        <v>0.77548633118438259</v>
      </c>
      <c r="G23" s="27" t="s">
        <v>33</v>
      </c>
      <c r="H23" s="46">
        <f>1437695823</f>
        <v>1437695823</v>
      </c>
    </row>
    <row r="24" spans="1:8" ht="30" x14ac:dyDescent="0.25">
      <c r="A24" s="28" t="s">
        <v>79</v>
      </c>
      <c r="B24" s="28" t="s">
        <v>60</v>
      </c>
      <c r="C24" s="108">
        <v>50000000</v>
      </c>
      <c r="D24" s="97">
        <f>E24/C24*100%</f>
        <v>0.5419735</v>
      </c>
      <c r="E24" s="100">
        <f>26352675+746000</f>
        <v>27098675</v>
      </c>
      <c r="F24" s="58">
        <f>E24/C24*100%</f>
        <v>0.5419735</v>
      </c>
      <c r="G24" s="27" t="s">
        <v>33</v>
      </c>
      <c r="H24" s="46">
        <f>27098675</f>
        <v>27098675</v>
      </c>
    </row>
    <row r="25" spans="1:8" ht="16.5" x14ac:dyDescent="0.25">
      <c r="A25" s="22" t="s">
        <v>80</v>
      </c>
      <c r="B25" s="22" t="s">
        <v>27</v>
      </c>
      <c r="C25" s="59"/>
      <c r="D25" s="98"/>
      <c r="E25" s="96"/>
      <c r="F25" s="96"/>
      <c r="G25" s="24" t="s">
        <v>61</v>
      </c>
      <c r="H25" s="46"/>
    </row>
    <row r="26" spans="1:8" ht="30" x14ac:dyDescent="0.25">
      <c r="A26" s="28" t="s">
        <v>81</v>
      </c>
      <c r="B26" s="28" t="s">
        <v>12</v>
      </c>
      <c r="C26" s="114"/>
      <c r="D26" s="111"/>
      <c r="E26" s="115"/>
      <c r="F26" s="115"/>
      <c r="G26" s="27" t="s">
        <v>33</v>
      </c>
      <c r="H26" s="46">
        <f>D26*C26</f>
        <v>0</v>
      </c>
    </row>
    <row r="27" spans="1:8" ht="30" x14ac:dyDescent="0.25">
      <c r="A27" s="28" t="s">
        <v>106</v>
      </c>
      <c r="B27" s="28" t="s">
        <v>13</v>
      </c>
      <c r="C27" s="114"/>
      <c r="D27" s="111"/>
      <c r="E27" s="115"/>
      <c r="F27" s="115"/>
      <c r="G27" s="27" t="s">
        <v>33</v>
      </c>
      <c r="H27" s="46">
        <f>D27*C27</f>
        <v>0</v>
      </c>
    </row>
    <row r="28" spans="1:8" ht="30" x14ac:dyDescent="0.25">
      <c r="A28" s="25" t="s">
        <v>82</v>
      </c>
      <c r="B28" s="106" t="s">
        <v>34</v>
      </c>
      <c r="C28" s="110"/>
      <c r="D28" s="111"/>
      <c r="E28" s="115"/>
      <c r="F28" s="115"/>
      <c r="G28" s="27" t="s">
        <v>33</v>
      </c>
      <c r="H28" s="46">
        <f>D28*C28</f>
        <v>0</v>
      </c>
    </row>
    <row r="29" spans="1:8" ht="16.5" x14ac:dyDescent="0.25">
      <c r="A29" s="22" t="s">
        <v>83</v>
      </c>
      <c r="B29" s="22" t="s">
        <v>28</v>
      </c>
      <c r="C29" s="59"/>
      <c r="D29" s="98"/>
      <c r="E29" s="96"/>
      <c r="F29" s="96"/>
      <c r="G29" s="24" t="s">
        <v>61</v>
      </c>
      <c r="H29" s="46"/>
    </row>
    <row r="30" spans="1:8" ht="30" x14ac:dyDescent="0.25">
      <c r="A30" s="28" t="s">
        <v>84</v>
      </c>
      <c r="B30" s="28" t="s">
        <v>14</v>
      </c>
      <c r="C30" s="26">
        <v>13476500</v>
      </c>
      <c r="D30" s="97">
        <f>E30/C30*100%</f>
        <v>0.60178829814862911</v>
      </c>
      <c r="E30" s="92">
        <f>4432500+3677500</f>
        <v>8110000</v>
      </c>
      <c r="F30" s="58">
        <f>E30/C30*100%</f>
        <v>0.60178829814862911</v>
      </c>
      <c r="G30" s="27" t="s">
        <v>33</v>
      </c>
      <c r="H30" s="46">
        <f t="shared" ref="H30:H35" si="2">D30*C30</f>
        <v>8110000</v>
      </c>
    </row>
    <row r="31" spans="1:8" x14ac:dyDescent="0.25">
      <c r="A31" s="28" t="s">
        <v>85</v>
      </c>
      <c r="B31" s="28" t="s">
        <v>15</v>
      </c>
      <c r="C31" s="114"/>
      <c r="D31" s="111"/>
      <c r="E31" s="112"/>
      <c r="F31" s="113"/>
      <c r="G31" s="27" t="s">
        <v>33</v>
      </c>
      <c r="H31" s="46">
        <f t="shared" si="2"/>
        <v>0</v>
      </c>
    </row>
    <row r="32" spans="1:8" x14ac:dyDescent="0.25">
      <c r="A32" s="28" t="s">
        <v>86</v>
      </c>
      <c r="B32" s="28" t="s">
        <v>16</v>
      </c>
      <c r="C32" s="108">
        <v>6708000</v>
      </c>
      <c r="D32" s="97">
        <f t="shared" ref="D32:D36" si="3">E32/C32*100%</f>
        <v>0.54658616577221231</v>
      </c>
      <c r="E32" s="92">
        <f>3666500</f>
        <v>3666500</v>
      </c>
      <c r="F32" s="58">
        <f>E32/C32*100%</f>
        <v>0.54658616577221231</v>
      </c>
      <c r="G32" s="27" t="s">
        <v>33</v>
      </c>
      <c r="H32" s="46">
        <f>3666500</f>
        <v>3666500</v>
      </c>
    </row>
    <row r="33" spans="1:10" x14ac:dyDescent="0.25">
      <c r="A33" s="28" t="s">
        <v>87</v>
      </c>
      <c r="B33" s="28" t="s">
        <v>17</v>
      </c>
      <c r="C33" s="108">
        <v>62599600</v>
      </c>
      <c r="D33" s="97">
        <f>E33/C33*100%</f>
        <v>0.82257394615940038</v>
      </c>
      <c r="E33" s="92">
        <f>36329500+15163300</f>
        <v>51492800</v>
      </c>
      <c r="F33" s="58">
        <f>E33/C33*100%</f>
        <v>0.82257394615940038</v>
      </c>
      <c r="G33" s="27" t="s">
        <v>33</v>
      </c>
      <c r="H33" s="46">
        <f>51492800</f>
        <v>51492800</v>
      </c>
    </row>
    <row r="34" spans="1:10" ht="30" x14ac:dyDescent="0.25">
      <c r="A34" s="28" t="s">
        <v>122</v>
      </c>
      <c r="B34" s="106" t="s">
        <v>62</v>
      </c>
      <c r="C34" s="109">
        <v>3000000</v>
      </c>
      <c r="D34" s="97">
        <f t="shared" si="3"/>
        <v>0</v>
      </c>
      <c r="E34" s="92"/>
      <c r="F34" s="58">
        <f>E34/C34*100%</f>
        <v>0</v>
      </c>
      <c r="G34" s="27" t="s">
        <v>33</v>
      </c>
      <c r="H34" s="46">
        <f t="shared" si="2"/>
        <v>0</v>
      </c>
    </row>
    <row r="35" spans="1:10" x14ac:dyDescent="0.25">
      <c r="A35" s="25" t="s">
        <v>125</v>
      </c>
      <c r="B35" s="106" t="s">
        <v>69</v>
      </c>
      <c r="C35" s="109">
        <v>12000000</v>
      </c>
      <c r="D35" s="97">
        <f t="shared" si="3"/>
        <v>0</v>
      </c>
      <c r="E35" s="92"/>
      <c r="F35" s="58">
        <f>E35/C35*100%</f>
        <v>0</v>
      </c>
      <c r="G35" s="27" t="s">
        <v>33</v>
      </c>
      <c r="H35" s="46">
        <f t="shared" si="2"/>
        <v>0</v>
      </c>
    </row>
    <row r="36" spans="1:10" ht="30" x14ac:dyDescent="0.25">
      <c r="A36" s="28" t="s">
        <v>88</v>
      </c>
      <c r="B36" s="28" t="s">
        <v>18</v>
      </c>
      <c r="C36" s="108">
        <v>148714000</v>
      </c>
      <c r="D36" s="97">
        <f t="shared" si="3"/>
        <v>0.98444024772381888</v>
      </c>
      <c r="E36" s="92">
        <f>89649136+56750911</f>
        <v>146400047</v>
      </c>
      <c r="F36" s="58">
        <f>E36/C36*100%</f>
        <v>0.98444024772381888</v>
      </c>
      <c r="G36" s="27" t="s">
        <v>33</v>
      </c>
      <c r="H36" s="46">
        <v>146400047</v>
      </c>
    </row>
    <row r="37" spans="1:10" ht="30" x14ac:dyDescent="0.25">
      <c r="A37" s="22" t="s">
        <v>89</v>
      </c>
      <c r="B37" s="22" t="s">
        <v>63</v>
      </c>
      <c r="C37" s="59"/>
      <c r="D37" s="54"/>
      <c r="E37" s="55"/>
      <c r="F37" s="55"/>
      <c r="G37" s="24" t="s">
        <v>61</v>
      </c>
      <c r="H37" s="46"/>
    </row>
    <row r="38" spans="1:10" ht="30" x14ac:dyDescent="0.25">
      <c r="A38" s="25" t="s">
        <v>121</v>
      </c>
      <c r="B38" s="118" t="s">
        <v>64</v>
      </c>
      <c r="C38" s="114"/>
      <c r="D38" s="116"/>
      <c r="E38" s="114"/>
      <c r="F38" s="114"/>
      <c r="G38" s="27" t="s">
        <v>33</v>
      </c>
      <c r="H38" s="46">
        <f>D38*C38</f>
        <v>0</v>
      </c>
    </row>
    <row r="39" spans="1:10" ht="30" x14ac:dyDescent="0.25">
      <c r="A39" s="25" t="s">
        <v>111</v>
      </c>
      <c r="B39" s="118" t="s">
        <v>64</v>
      </c>
      <c r="C39" s="110"/>
      <c r="D39" s="117"/>
      <c r="E39" s="110"/>
      <c r="F39" s="110"/>
      <c r="G39" s="27" t="s">
        <v>33</v>
      </c>
      <c r="H39" s="46">
        <f>D39*C39</f>
        <v>0</v>
      </c>
    </row>
    <row r="40" spans="1:10" x14ac:dyDescent="0.25">
      <c r="A40" s="25" t="s">
        <v>90</v>
      </c>
      <c r="B40" s="107" t="s">
        <v>65</v>
      </c>
      <c r="C40" s="110"/>
      <c r="D40" s="117"/>
      <c r="E40" s="110"/>
      <c r="F40" s="110"/>
      <c r="G40" s="27" t="s">
        <v>33</v>
      </c>
      <c r="H40" s="46">
        <f>D40*C40</f>
        <v>0</v>
      </c>
    </row>
    <row r="41" spans="1:10" ht="30" x14ac:dyDescent="0.25">
      <c r="A41" s="22" t="s">
        <v>91</v>
      </c>
      <c r="B41" s="22" t="s">
        <v>29</v>
      </c>
      <c r="C41" s="59"/>
      <c r="D41" s="54"/>
      <c r="E41" s="55"/>
      <c r="F41" s="55"/>
      <c r="G41" s="24" t="s">
        <v>61</v>
      </c>
      <c r="H41" s="46"/>
    </row>
    <row r="42" spans="1:10" ht="30" x14ac:dyDescent="0.25">
      <c r="A42" s="28" t="s">
        <v>92</v>
      </c>
      <c r="B42" s="28" t="s">
        <v>19</v>
      </c>
      <c r="C42" s="108">
        <v>237367500</v>
      </c>
      <c r="D42" s="97">
        <f>E42/C42*100%</f>
        <v>0.70869751334955289</v>
      </c>
      <c r="E42" s="100">
        <f>163578967+4642790</f>
        <v>168221757</v>
      </c>
      <c r="F42" s="58">
        <f>E42/C42*100%</f>
        <v>0.70869751334955289</v>
      </c>
      <c r="G42" s="27" t="s">
        <v>33</v>
      </c>
      <c r="H42" s="46">
        <f>168221757</f>
        <v>168221757</v>
      </c>
      <c r="J42" s="85" t="s">
        <v>112</v>
      </c>
    </row>
    <row r="43" spans="1:10" x14ac:dyDescent="0.25">
      <c r="A43" s="28" t="s">
        <v>93</v>
      </c>
      <c r="B43" s="28" t="s">
        <v>20</v>
      </c>
      <c r="C43" s="108">
        <v>20000000</v>
      </c>
      <c r="D43" s="97">
        <f>E43/C43*100%</f>
        <v>0.42499999999999999</v>
      </c>
      <c r="E43" s="91">
        <f>8500000</f>
        <v>8500000</v>
      </c>
      <c r="F43" s="58">
        <f>E43/C43*100%</f>
        <v>0.42499999999999999</v>
      </c>
      <c r="G43" s="27" t="s">
        <v>33</v>
      </c>
      <c r="H43" s="46">
        <v>8500000</v>
      </c>
    </row>
    <row r="44" spans="1:10" ht="30" x14ac:dyDescent="0.25">
      <c r="A44" s="22" t="s">
        <v>94</v>
      </c>
      <c r="B44" s="22" t="s">
        <v>30</v>
      </c>
      <c r="C44" s="59"/>
      <c r="D44" s="98"/>
      <c r="E44" s="96"/>
      <c r="F44" s="96"/>
      <c r="G44" s="24" t="s">
        <v>61</v>
      </c>
      <c r="H44" s="46"/>
    </row>
    <row r="45" spans="1:10" ht="60" x14ac:dyDescent="0.25">
      <c r="A45" s="25" t="s">
        <v>107</v>
      </c>
      <c r="B45" s="28" t="s">
        <v>132</v>
      </c>
      <c r="C45" s="108">
        <v>151843982</v>
      </c>
      <c r="D45" s="97">
        <f>E45/C45*100%</f>
        <v>0.20063142179714438</v>
      </c>
      <c r="E45" s="92">
        <f>20940000+9524674</f>
        <v>30464674</v>
      </c>
      <c r="F45" s="58">
        <f>E45/C45*100%</f>
        <v>0.20063142179714438</v>
      </c>
      <c r="G45" s="27" t="s">
        <v>33</v>
      </c>
      <c r="H45" s="46">
        <f>30464674</f>
        <v>30464674</v>
      </c>
    </row>
    <row r="46" spans="1:10" x14ac:dyDescent="0.25">
      <c r="A46" s="25" t="s">
        <v>95</v>
      </c>
      <c r="B46" s="106" t="s">
        <v>66</v>
      </c>
      <c r="C46" s="109">
        <v>30280000</v>
      </c>
      <c r="D46" s="97">
        <f t="shared" ref="D46:D48" si="4">E46/C46*100%</f>
        <v>0.62780713342140027</v>
      </c>
      <c r="E46" s="92">
        <f>19010000</f>
        <v>19010000</v>
      </c>
      <c r="F46" s="58">
        <f>E46/C46*100%</f>
        <v>0.62780713342140027</v>
      </c>
      <c r="G46" s="27" t="s">
        <v>33</v>
      </c>
      <c r="H46" s="46">
        <f>19010000</f>
        <v>19010000</v>
      </c>
    </row>
    <row r="47" spans="1:10" ht="30" x14ac:dyDescent="0.25">
      <c r="A47" s="28" t="s">
        <v>96</v>
      </c>
      <c r="B47" s="28" t="s">
        <v>21</v>
      </c>
      <c r="C47" s="108">
        <v>107280000</v>
      </c>
      <c r="D47" s="97">
        <f t="shared" si="4"/>
        <v>0.11691834451901566</v>
      </c>
      <c r="E47" s="92">
        <f>11450000+1093000</f>
        <v>12543000</v>
      </c>
      <c r="F47" s="58">
        <f>E47/C47*100%</f>
        <v>0.11691834451901566</v>
      </c>
      <c r="G47" s="27" t="s">
        <v>33</v>
      </c>
      <c r="H47" s="46">
        <f>D47*C47</f>
        <v>12543000</v>
      </c>
    </row>
    <row r="48" spans="1:10" ht="45" x14ac:dyDescent="0.25">
      <c r="A48" s="28" t="s">
        <v>97</v>
      </c>
      <c r="B48" s="28" t="s">
        <v>23</v>
      </c>
      <c r="C48" s="108">
        <v>47010000</v>
      </c>
      <c r="D48" s="97">
        <f t="shared" si="4"/>
        <v>0.64145554137417571</v>
      </c>
      <c r="E48" s="92">
        <f>19048825+11106000</f>
        <v>30154825</v>
      </c>
      <c r="F48" s="58">
        <f>E48/C48*100%</f>
        <v>0.64145554137417571</v>
      </c>
      <c r="G48" s="27" t="s">
        <v>33</v>
      </c>
      <c r="H48" s="46">
        <f>30154825</f>
        <v>30154825</v>
      </c>
    </row>
    <row r="49" spans="1:10" ht="30" x14ac:dyDescent="0.25">
      <c r="A49" s="19" t="s">
        <v>38</v>
      </c>
      <c r="B49" s="50" t="s">
        <v>35</v>
      </c>
      <c r="C49" s="60"/>
      <c r="D49" s="99"/>
      <c r="E49" s="95"/>
      <c r="F49" s="95"/>
      <c r="G49" s="21" t="s">
        <v>32</v>
      </c>
      <c r="H49" s="46"/>
    </row>
    <row r="50" spans="1:10" ht="30" x14ac:dyDescent="0.25">
      <c r="A50" s="22" t="s">
        <v>98</v>
      </c>
      <c r="B50" s="22" t="s">
        <v>99</v>
      </c>
      <c r="C50" s="59"/>
      <c r="D50" s="98"/>
      <c r="E50" s="96"/>
      <c r="F50" s="96"/>
      <c r="G50" s="24" t="s">
        <v>61</v>
      </c>
      <c r="H50" s="46"/>
    </row>
    <row r="51" spans="1:10" ht="30" x14ac:dyDescent="0.25">
      <c r="A51" s="28" t="s">
        <v>100</v>
      </c>
      <c r="B51" s="28" t="s">
        <v>101</v>
      </c>
      <c r="C51" s="108">
        <v>1071720000</v>
      </c>
      <c r="D51" s="97">
        <f>E51/C51*100%</f>
        <v>0.70373088306647258</v>
      </c>
      <c r="E51" s="90">
        <f>754202462</f>
        <v>754202462</v>
      </c>
      <c r="F51" s="58">
        <f>E51/C51*100%</f>
        <v>0.70373088306647258</v>
      </c>
      <c r="G51" s="27" t="s">
        <v>33</v>
      </c>
      <c r="H51" s="46">
        <f>754202462</f>
        <v>754202462</v>
      </c>
    </row>
    <row r="52" spans="1:10" x14ac:dyDescent="0.25">
      <c r="A52" s="62"/>
      <c r="B52" s="62"/>
      <c r="C52" s="63"/>
      <c r="D52" s="66"/>
      <c r="E52" s="67"/>
      <c r="F52" s="49"/>
      <c r="G52" s="18"/>
      <c r="H52" s="46"/>
      <c r="J52" s="80">
        <f>25152246132-150000000-149999300</f>
        <v>24852246832</v>
      </c>
    </row>
    <row r="53" spans="1:10" x14ac:dyDescent="0.25">
      <c r="A53" s="61" t="s">
        <v>113</v>
      </c>
      <c r="B53" s="62" t="s">
        <v>114</v>
      </c>
      <c r="C53" s="63">
        <f>SUM(C54:C60)</f>
        <v>4964600912</v>
      </c>
      <c r="D53" s="49">
        <f>E53/C53*100%</f>
        <v>0.88529000616676357</v>
      </c>
      <c r="E53" s="63">
        <f>SUM(E54:E60)</f>
        <v>4395111572</v>
      </c>
      <c r="F53" s="49">
        <f>E53/C53*100%</f>
        <v>0.88529000616676357</v>
      </c>
      <c r="G53" s="18" t="s">
        <v>0</v>
      </c>
      <c r="H53" s="63">
        <f>SUM(H56:H60)</f>
        <v>4395111572</v>
      </c>
    </row>
    <row r="54" spans="1:10" ht="30" x14ac:dyDescent="0.25">
      <c r="A54" s="19" t="s">
        <v>38</v>
      </c>
      <c r="B54" s="50" t="s">
        <v>35</v>
      </c>
      <c r="C54" s="20"/>
      <c r="D54" s="51"/>
      <c r="E54" s="64"/>
      <c r="F54" s="53"/>
      <c r="G54" s="21" t="s">
        <v>32</v>
      </c>
      <c r="H54" s="46"/>
    </row>
    <row r="55" spans="1:10" ht="30" x14ac:dyDescent="0.25">
      <c r="A55" s="22" t="s">
        <v>98</v>
      </c>
      <c r="B55" s="22" t="s">
        <v>99</v>
      </c>
      <c r="C55" s="23"/>
      <c r="D55" s="54"/>
      <c r="E55" s="65"/>
      <c r="F55" s="56"/>
      <c r="G55" s="24" t="s">
        <v>61</v>
      </c>
      <c r="H55" s="46"/>
    </row>
    <row r="56" spans="1:10" ht="30" x14ac:dyDescent="0.25">
      <c r="A56" s="28" t="s">
        <v>100</v>
      </c>
      <c r="B56" s="28" t="s">
        <v>101</v>
      </c>
      <c r="C56" s="108">
        <v>185000000</v>
      </c>
      <c r="D56" s="97">
        <f>E56/C56*100%</f>
        <v>0.83898572972972973</v>
      </c>
      <c r="E56" s="92">
        <f>155212360</f>
        <v>155212360</v>
      </c>
      <c r="F56" s="58">
        <f>E56/C56*100%</f>
        <v>0.83898572972972973</v>
      </c>
      <c r="G56" s="27" t="s">
        <v>33</v>
      </c>
      <c r="H56" s="46">
        <f>155212360</f>
        <v>155212360</v>
      </c>
    </row>
    <row r="57" spans="1:10" ht="30" x14ac:dyDescent="0.25">
      <c r="A57" s="19" t="s">
        <v>39</v>
      </c>
      <c r="B57" s="50" t="s">
        <v>36</v>
      </c>
      <c r="C57" s="60"/>
      <c r="D57" s="99"/>
      <c r="E57" s="93"/>
      <c r="F57" s="53"/>
      <c r="G57" s="21" t="s">
        <v>32</v>
      </c>
      <c r="H57" s="46"/>
    </row>
    <row r="58" spans="1:10" x14ac:dyDescent="0.25">
      <c r="A58" s="22" t="s">
        <v>102</v>
      </c>
      <c r="B58" s="22" t="s">
        <v>103</v>
      </c>
      <c r="C58" s="59"/>
      <c r="D58" s="98"/>
      <c r="E58" s="94"/>
      <c r="F58" s="56"/>
      <c r="G58" s="24" t="s">
        <v>61</v>
      </c>
      <c r="H58" s="46"/>
    </row>
    <row r="59" spans="1:10" x14ac:dyDescent="0.25">
      <c r="A59" s="28" t="s">
        <v>104</v>
      </c>
      <c r="B59" s="28" t="s">
        <v>40</v>
      </c>
      <c r="C59" s="108">
        <v>2975640000</v>
      </c>
      <c r="D59" s="97">
        <f t="shared" ref="D59:D60" si="5">E59/C59*100%</f>
        <v>0.99600758156228575</v>
      </c>
      <c r="E59" s="92">
        <f>962815000+2000945000</f>
        <v>2963760000</v>
      </c>
      <c r="F59" s="58">
        <f>E59/C59*100%</f>
        <v>0.99600758156228575</v>
      </c>
      <c r="G59" s="27" t="s">
        <v>33</v>
      </c>
      <c r="H59" s="46">
        <f>2963760000</f>
        <v>2963760000</v>
      </c>
    </row>
    <row r="60" spans="1:10" x14ac:dyDescent="0.25">
      <c r="A60" s="28" t="s">
        <v>105</v>
      </c>
      <c r="B60" s="28" t="s">
        <v>41</v>
      </c>
      <c r="C60" s="108">
        <v>1803960912</v>
      </c>
      <c r="D60" s="97">
        <f t="shared" si="5"/>
        <v>0.70740956941532662</v>
      </c>
      <c r="E60" s="92">
        <f>909613212+366526000</f>
        <v>1276139212</v>
      </c>
      <c r="F60" s="58">
        <f>E60/C60*100%</f>
        <v>0.70740956941532662</v>
      </c>
      <c r="G60" s="27" t="s">
        <v>33</v>
      </c>
      <c r="H60" s="46">
        <f>1276139212</f>
        <v>1276139212</v>
      </c>
    </row>
    <row r="61" spans="1:10" x14ac:dyDescent="0.25">
      <c r="A61" s="62"/>
      <c r="B61" s="62"/>
      <c r="C61" s="63"/>
      <c r="D61" s="66"/>
      <c r="E61" s="67"/>
      <c r="F61" s="49"/>
      <c r="G61" s="18"/>
      <c r="H61" s="46"/>
    </row>
    <row r="62" spans="1:10" x14ac:dyDescent="0.25">
      <c r="A62" s="61" t="s">
        <v>115</v>
      </c>
      <c r="B62" s="62" t="s">
        <v>4</v>
      </c>
      <c r="C62" s="63">
        <f>SUM(C63:C69)</f>
        <v>4665737968</v>
      </c>
      <c r="D62" s="49">
        <f>H62/C62</f>
        <v>0.74172962599600489</v>
      </c>
      <c r="E62" s="63">
        <f>SUM(E63:E69)</f>
        <v>3460716078</v>
      </c>
      <c r="F62" s="49">
        <f>E62/C62*100%</f>
        <v>0.74172962599600489</v>
      </c>
      <c r="G62" s="18" t="s">
        <v>0</v>
      </c>
      <c r="H62" s="63">
        <f>SUM(H65:H69)</f>
        <v>3460716078</v>
      </c>
    </row>
    <row r="63" spans="1:10" ht="30" x14ac:dyDescent="0.25">
      <c r="A63" s="19" t="s">
        <v>38</v>
      </c>
      <c r="B63" s="50" t="s">
        <v>35</v>
      </c>
      <c r="C63" s="20"/>
      <c r="D63" s="51"/>
      <c r="E63" s="64"/>
      <c r="F63" s="53"/>
      <c r="G63" s="21" t="s">
        <v>32</v>
      </c>
      <c r="H63" s="46"/>
    </row>
    <row r="64" spans="1:10" ht="30" x14ac:dyDescent="0.25">
      <c r="A64" s="22" t="s">
        <v>98</v>
      </c>
      <c r="B64" s="22" t="s">
        <v>99</v>
      </c>
      <c r="C64" s="23"/>
      <c r="D64" s="54"/>
      <c r="E64" s="65"/>
      <c r="F64" s="56"/>
      <c r="G64" s="24" t="s">
        <v>61</v>
      </c>
      <c r="H64" s="46"/>
    </row>
    <row r="65" spans="1:8" ht="30" x14ac:dyDescent="0.25">
      <c r="A65" s="28" t="s">
        <v>100</v>
      </c>
      <c r="B65" s="28" t="s">
        <v>101</v>
      </c>
      <c r="C65" s="108">
        <v>335000000</v>
      </c>
      <c r="D65" s="97">
        <f>E65/C65*100%</f>
        <v>0.75796450746268662</v>
      </c>
      <c r="E65" s="92">
        <f>253918110</f>
        <v>253918110</v>
      </c>
      <c r="F65" s="58">
        <f>E65/C65*100%</f>
        <v>0.75796450746268662</v>
      </c>
      <c r="G65" s="27" t="s">
        <v>33</v>
      </c>
      <c r="H65" s="46">
        <f>253918110</f>
        <v>253918110</v>
      </c>
    </row>
    <row r="66" spans="1:8" ht="30" x14ac:dyDescent="0.25">
      <c r="A66" s="19" t="s">
        <v>39</v>
      </c>
      <c r="B66" s="50" t="s">
        <v>36</v>
      </c>
      <c r="C66" s="60"/>
      <c r="D66" s="99"/>
      <c r="E66" s="93"/>
      <c r="F66" s="53"/>
      <c r="G66" s="21" t="s">
        <v>32</v>
      </c>
      <c r="H66" s="46"/>
    </row>
    <row r="67" spans="1:8" x14ac:dyDescent="0.25">
      <c r="A67" s="22" t="s">
        <v>102</v>
      </c>
      <c r="B67" s="22" t="s">
        <v>103</v>
      </c>
      <c r="C67" s="59"/>
      <c r="D67" s="98"/>
      <c r="E67" s="94"/>
      <c r="F67" s="56"/>
      <c r="G67" s="24" t="s">
        <v>61</v>
      </c>
      <c r="H67" s="46"/>
    </row>
    <row r="68" spans="1:8" x14ac:dyDescent="0.25">
      <c r="A68" s="28" t="s">
        <v>104</v>
      </c>
      <c r="B68" s="28" t="s">
        <v>40</v>
      </c>
      <c r="C68" s="108">
        <v>2695640000</v>
      </c>
      <c r="D68" s="97">
        <f t="shared" ref="D68:D69" si="6">E68/C68*100%</f>
        <v>0.81182947277826412</v>
      </c>
      <c r="E68" s="92">
        <f>244500000+1943900000</f>
        <v>2188400000</v>
      </c>
      <c r="F68" s="58">
        <f>E68/C68*100%</f>
        <v>0.81182947277826412</v>
      </c>
      <c r="G68" s="27" t="s">
        <v>33</v>
      </c>
      <c r="H68" s="46">
        <f>2188400000</f>
        <v>2188400000</v>
      </c>
    </row>
    <row r="69" spans="1:8" x14ac:dyDescent="0.25">
      <c r="A69" s="28" t="s">
        <v>105</v>
      </c>
      <c r="B69" s="28" t="s">
        <v>41</v>
      </c>
      <c r="C69" s="108">
        <v>1635097968</v>
      </c>
      <c r="D69" s="97">
        <f t="shared" si="6"/>
        <v>0.62283605504425654</v>
      </c>
      <c r="E69" s="92">
        <f>810071568+208326400</f>
        <v>1018397968</v>
      </c>
      <c r="F69" s="58">
        <f>E69/C69*100%</f>
        <v>0.62283605504425654</v>
      </c>
      <c r="G69" s="27" t="s">
        <v>33</v>
      </c>
      <c r="H69" s="46">
        <f>1018397968</f>
        <v>1018397968</v>
      </c>
    </row>
    <row r="70" spans="1:8" x14ac:dyDescent="0.25">
      <c r="A70" s="62"/>
      <c r="B70" s="62"/>
      <c r="C70" s="63"/>
      <c r="D70" s="66"/>
      <c r="E70" s="67"/>
      <c r="F70" s="49"/>
      <c r="G70" s="18"/>
      <c r="H70" s="46"/>
    </row>
    <row r="71" spans="1:8" x14ac:dyDescent="0.25">
      <c r="A71" s="61" t="s">
        <v>116</v>
      </c>
      <c r="B71" s="62" t="s">
        <v>5</v>
      </c>
      <c r="C71" s="63">
        <f>SUM(C72:C78)</f>
        <v>4852385176</v>
      </c>
      <c r="D71" s="49">
        <f>H71/C71</f>
        <v>0.40869691833383837</v>
      </c>
      <c r="E71" s="63">
        <f>SUM(E72:E78)</f>
        <v>1983154868</v>
      </c>
      <c r="F71" s="49">
        <f>E71/C71*100%</f>
        <v>0.40869691833383837</v>
      </c>
      <c r="G71" s="18" t="s">
        <v>0</v>
      </c>
      <c r="H71" s="63">
        <f>SUM(H72:H78)</f>
        <v>1983154868</v>
      </c>
    </row>
    <row r="72" spans="1:8" ht="30" x14ac:dyDescent="0.25">
      <c r="A72" s="19" t="s">
        <v>38</v>
      </c>
      <c r="B72" s="50" t="s">
        <v>35</v>
      </c>
      <c r="C72" s="20"/>
      <c r="D72" s="68"/>
      <c r="E72" s="64"/>
      <c r="F72" s="53"/>
      <c r="G72" s="21" t="s">
        <v>32</v>
      </c>
      <c r="H72" s="46"/>
    </row>
    <row r="73" spans="1:8" ht="30" x14ac:dyDescent="0.25">
      <c r="A73" s="22" t="s">
        <v>98</v>
      </c>
      <c r="B73" s="22" t="s">
        <v>99</v>
      </c>
      <c r="C73" s="23"/>
      <c r="D73" s="69"/>
      <c r="E73" s="65"/>
      <c r="F73" s="56"/>
      <c r="G73" s="24" t="s">
        <v>61</v>
      </c>
      <c r="H73" s="46"/>
    </row>
    <row r="74" spans="1:8" ht="30" x14ac:dyDescent="0.25">
      <c r="A74" s="28" t="s">
        <v>100</v>
      </c>
      <c r="B74" s="28" t="s">
        <v>101</v>
      </c>
      <c r="C74" s="108">
        <v>185000000</v>
      </c>
      <c r="D74" s="97">
        <f>E74/C74*100%</f>
        <v>0.7335535135135135</v>
      </c>
      <c r="E74" s="92">
        <f>135707400</f>
        <v>135707400</v>
      </c>
      <c r="F74" s="58">
        <f>E74/C74*100%</f>
        <v>0.7335535135135135</v>
      </c>
      <c r="G74" s="27" t="s">
        <v>33</v>
      </c>
      <c r="H74" s="46">
        <f>135707400</f>
        <v>135707400</v>
      </c>
    </row>
    <row r="75" spans="1:8" ht="30" x14ac:dyDescent="0.25">
      <c r="A75" s="19" t="s">
        <v>39</v>
      </c>
      <c r="B75" s="50" t="s">
        <v>36</v>
      </c>
      <c r="C75" s="60"/>
      <c r="D75" s="99"/>
      <c r="E75" s="93"/>
      <c r="F75" s="53"/>
      <c r="G75" s="21" t="s">
        <v>32</v>
      </c>
      <c r="H75" s="46"/>
    </row>
    <row r="76" spans="1:8" x14ac:dyDescent="0.25">
      <c r="A76" s="22" t="s">
        <v>102</v>
      </c>
      <c r="B76" s="22" t="s">
        <v>103</v>
      </c>
      <c r="C76" s="59"/>
      <c r="D76" s="98"/>
      <c r="E76" s="94"/>
      <c r="F76" s="56"/>
      <c r="G76" s="24" t="s">
        <v>61</v>
      </c>
      <c r="H76" s="46"/>
    </row>
    <row r="77" spans="1:8" x14ac:dyDescent="0.25">
      <c r="A77" s="28" t="s">
        <v>104</v>
      </c>
      <c r="B77" s="28" t="s">
        <v>40</v>
      </c>
      <c r="C77" s="108">
        <v>2905640000</v>
      </c>
      <c r="D77" s="97">
        <f t="shared" ref="D77:D78" si="7">E77/C77*100%</f>
        <v>0.37318700871408711</v>
      </c>
      <c r="E77" s="92">
        <f>1084347100</f>
        <v>1084347100</v>
      </c>
      <c r="F77" s="58">
        <f>E77/C77*100%</f>
        <v>0.37318700871408711</v>
      </c>
      <c r="G77" s="27" t="s">
        <v>33</v>
      </c>
      <c r="H77" s="46">
        <f>1084347100</f>
        <v>1084347100</v>
      </c>
    </row>
    <row r="78" spans="1:8" x14ac:dyDescent="0.25">
      <c r="A78" s="28" t="s">
        <v>105</v>
      </c>
      <c r="B78" s="28" t="s">
        <v>41</v>
      </c>
      <c r="C78" s="108">
        <v>1761745176</v>
      </c>
      <c r="D78" s="97">
        <f t="shared" si="7"/>
        <v>0.43315025259930101</v>
      </c>
      <c r="E78" s="92">
        <f>759100368+4000000</f>
        <v>763100368</v>
      </c>
      <c r="F78" s="58">
        <f>E78/C78*100%</f>
        <v>0.43315025259930101</v>
      </c>
      <c r="G78" s="27" t="s">
        <v>33</v>
      </c>
      <c r="H78" s="46">
        <f>763100368</f>
        <v>763100368</v>
      </c>
    </row>
    <row r="79" spans="1:8" x14ac:dyDescent="0.25">
      <c r="A79" s="62"/>
      <c r="B79" s="62"/>
      <c r="C79" s="63"/>
      <c r="D79" s="101"/>
      <c r="E79" s="102"/>
      <c r="F79" s="49"/>
      <c r="G79" s="18"/>
      <c r="H79" s="46"/>
    </row>
    <row r="80" spans="1:8" x14ac:dyDescent="0.25">
      <c r="A80" s="61" t="s">
        <v>117</v>
      </c>
      <c r="B80" s="62" t="s">
        <v>6</v>
      </c>
      <c r="C80" s="63">
        <f>SUM(C81:C87)</f>
        <v>4174350760</v>
      </c>
      <c r="D80" s="49">
        <f>H80/C80</f>
        <v>0.90015505069823121</v>
      </c>
      <c r="E80" s="63">
        <f>SUM(E81:E87)</f>
        <v>3757562920</v>
      </c>
      <c r="F80" s="49">
        <f>E80/C80*100%</f>
        <v>0.90015505069823121</v>
      </c>
      <c r="G80" s="18" t="s">
        <v>0</v>
      </c>
      <c r="H80" s="63">
        <f>SUM(H83:H87)</f>
        <v>3757562920</v>
      </c>
    </row>
    <row r="81" spans="1:10" ht="30" x14ac:dyDescent="0.25">
      <c r="A81" s="19" t="s">
        <v>38</v>
      </c>
      <c r="B81" s="50" t="s">
        <v>35</v>
      </c>
      <c r="C81" s="20"/>
      <c r="D81" s="99"/>
      <c r="E81" s="93"/>
      <c r="F81" s="53"/>
      <c r="G81" s="21" t="s">
        <v>32</v>
      </c>
      <c r="H81" s="46"/>
    </row>
    <row r="82" spans="1:10" ht="30" x14ac:dyDescent="0.25">
      <c r="A82" s="22" t="s">
        <v>98</v>
      </c>
      <c r="B82" s="22" t="s">
        <v>99</v>
      </c>
      <c r="C82" s="23"/>
      <c r="D82" s="98"/>
      <c r="E82" s="94"/>
      <c r="F82" s="56"/>
      <c r="G82" s="24" t="s">
        <v>61</v>
      </c>
      <c r="H82" s="46"/>
    </row>
    <row r="83" spans="1:10" ht="30" x14ac:dyDescent="0.25">
      <c r="A83" s="28" t="s">
        <v>100</v>
      </c>
      <c r="B83" s="28" t="s">
        <v>101</v>
      </c>
      <c r="C83" s="108">
        <v>185000000</v>
      </c>
      <c r="D83" s="97">
        <f>E83/C83*100%</f>
        <v>0.79030464864864869</v>
      </c>
      <c r="E83" s="92">
        <f>146206360</f>
        <v>146206360</v>
      </c>
      <c r="F83" s="58">
        <f>E83/C83*100%</f>
        <v>0.79030464864864869</v>
      </c>
      <c r="G83" s="27" t="s">
        <v>33</v>
      </c>
      <c r="H83" s="46">
        <f>146206360</f>
        <v>146206360</v>
      </c>
    </row>
    <row r="84" spans="1:10" ht="30" x14ac:dyDescent="0.25">
      <c r="A84" s="19" t="s">
        <v>39</v>
      </c>
      <c r="B84" s="50" t="s">
        <v>36</v>
      </c>
      <c r="C84" s="60"/>
      <c r="D84" s="99"/>
      <c r="E84" s="93"/>
      <c r="F84" s="53"/>
      <c r="G84" s="21" t="s">
        <v>32</v>
      </c>
      <c r="H84" s="46"/>
    </row>
    <row r="85" spans="1:10" x14ac:dyDescent="0.25">
      <c r="A85" s="22" t="s">
        <v>102</v>
      </c>
      <c r="B85" s="22" t="s">
        <v>103</v>
      </c>
      <c r="C85" s="59"/>
      <c r="D85" s="98"/>
      <c r="E85" s="94"/>
      <c r="F85" s="56"/>
      <c r="G85" s="24" t="s">
        <v>61</v>
      </c>
      <c r="H85" s="46"/>
    </row>
    <row r="86" spans="1:10" x14ac:dyDescent="0.25">
      <c r="A86" s="28" t="s">
        <v>104</v>
      </c>
      <c r="B86" s="28" t="s">
        <v>40</v>
      </c>
      <c r="C86" s="108">
        <v>2480900000</v>
      </c>
      <c r="D86" s="97">
        <f t="shared" ref="D86:D87" si="8">E86/C86*100%</f>
        <v>0.94033415292837275</v>
      </c>
      <c r="E86" s="92">
        <f>708125000+1624750000</f>
        <v>2332875000</v>
      </c>
      <c r="F86" s="58">
        <f>E86/C86*100%</f>
        <v>0.94033415292837275</v>
      </c>
      <c r="G86" s="27" t="s">
        <v>33</v>
      </c>
      <c r="H86" s="46">
        <f>2332875000</f>
        <v>2332875000</v>
      </c>
    </row>
    <row r="87" spans="1:10" x14ac:dyDescent="0.25">
      <c r="A87" s="28" t="s">
        <v>105</v>
      </c>
      <c r="B87" s="28" t="s">
        <v>41</v>
      </c>
      <c r="C87" s="108">
        <v>1508450760</v>
      </c>
      <c r="D87" s="97">
        <f t="shared" si="8"/>
        <v>0.84754610087504612</v>
      </c>
      <c r="E87" s="92">
        <f>1241231560+37250000</f>
        <v>1278481560</v>
      </c>
      <c r="F87" s="58">
        <f>E87/C87*100%</f>
        <v>0.84754610087504612</v>
      </c>
      <c r="G87" s="27" t="s">
        <v>33</v>
      </c>
      <c r="H87" s="46">
        <f>1278481560</f>
        <v>1278481560</v>
      </c>
    </row>
    <row r="88" spans="1:10" x14ac:dyDescent="0.25">
      <c r="A88" s="62"/>
      <c r="B88" s="62"/>
      <c r="C88" s="63"/>
      <c r="D88" s="66"/>
      <c r="E88" s="67"/>
      <c r="F88" s="49"/>
      <c r="G88" s="18"/>
      <c r="H88" s="46"/>
    </row>
    <row r="89" spans="1:10" x14ac:dyDescent="0.25">
      <c r="A89" s="61" t="s">
        <v>118</v>
      </c>
      <c r="B89" s="62" t="s">
        <v>7</v>
      </c>
      <c r="C89" s="63">
        <f>SUM(C90:C96)</f>
        <v>5637895328</v>
      </c>
      <c r="D89" s="49">
        <f>H89/C89</f>
        <v>0.76588509839038998</v>
      </c>
      <c r="E89" s="63">
        <f>SUM(E90:E96)</f>
        <v>4317980018</v>
      </c>
      <c r="F89" s="49">
        <f>E89/C89*100%</f>
        <v>0.76588509839038998</v>
      </c>
      <c r="G89" s="18" t="s">
        <v>0</v>
      </c>
      <c r="H89" s="63">
        <f>SUM(H92:H96)</f>
        <v>4317980018</v>
      </c>
    </row>
    <row r="90" spans="1:10" ht="30" x14ac:dyDescent="0.25">
      <c r="A90" s="19" t="s">
        <v>38</v>
      </c>
      <c r="B90" s="50" t="s">
        <v>35</v>
      </c>
      <c r="C90" s="20"/>
      <c r="D90" s="51"/>
      <c r="E90" s="52"/>
      <c r="F90" s="53"/>
      <c r="G90" s="21" t="s">
        <v>32</v>
      </c>
      <c r="H90" s="46"/>
    </row>
    <row r="91" spans="1:10" ht="30" x14ac:dyDescent="0.25">
      <c r="A91" s="22" t="s">
        <v>98</v>
      </c>
      <c r="B91" s="22" t="s">
        <v>99</v>
      </c>
      <c r="C91" s="23"/>
      <c r="D91" s="54"/>
      <c r="E91" s="55"/>
      <c r="F91" s="56"/>
      <c r="G91" s="24" t="s">
        <v>61</v>
      </c>
      <c r="H91" s="46"/>
    </row>
    <row r="92" spans="1:10" ht="30" x14ac:dyDescent="0.25">
      <c r="A92" s="28" t="s">
        <v>100</v>
      </c>
      <c r="B92" s="28" t="s">
        <v>101</v>
      </c>
      <c r="C92" s="108">
        <v>185000000</v>
      </c>
      <c r="D92" s="97">
        <f>E92/C92*100%</f>
        <v>0.74972627027027028</v>
      </c>
      <c r="E92" s="92">
        <f>138699360</f>
        <v>138699360</v>
      </c>
      <c r="F92" s="58">
        <f>E92/C92*100%</f>
        <v>0.74972627027027028</v>
      </c>
      <c r="G92" s="27" t="s">
        <v>33</v>
      </c>
      <c r="H92" s="46">
        <f>138699360</f>
        <v>138699360</v>
      </c>
      <c r="J92" s="86">
        <v>65420875</v>
      </c>
    </row>
    <row r="93" spans="1:10" ht="30" x14ac:dyDescent="0.25">
      <c r="A93" s="19" t="s">
        <v>39</v>
      </c>
      <c r="B93" s="50" t="s">
        <v>36</v>
      </c>
      <c r="C93" s="60"/>
      <c r="D93" s="99"/>
      <c r="E93" s="95"/>
      <c r="F93" s="53"/>
      <c r="G93" s="21" t="s">
        <v>32</v>
      </c>
      <c r="H93" s="46"/>
    </row>
    <row r="94" spans="1:10" ht="16.5" x14ac:dyDescent="0.25">
      <c r="A94" s="22" t="s">
        <v>102</v>
      </c>
      <c r="B94" s="22" t="s">
        <v>103</v>
      </c>
      <c r="C94" s="59"/>
      <c r="D94" s="98"/>
      <c r="E94" s="96"/>
      <c r="F94" s="56"/>
      <c r="G94" s="24" t="s">
        <v>61</v>
      </c>
      <c r="H94" s="46"/>
    </row>
    <row r="95" spans="1:10" x14ac:dyDescent="0.25">
      <c r="A95" s="28" t="s">
        <v>104</v>
      </c>
      <c r="B95" s="28" t="s">
        <v>40</v>
      </c>
      <c r="C95" s="108">
        <v>3395640000</v>
      </c>
      <c r="D95" s="97">
        <f t="shared" ref="D95:D96" si="9">E95/C95*100%</f>
        <v>0.99650139590769338</v>
      </c>
      <c r="E95" s="92">
        <f>2244317000+1139443000</f>
        <v>3383760000</v>
      </c>
      <c r="F95" s="58">
        <f>E95/C95*100%</f>
        <v>0.99650139590769338</v>
      </c>
      <c r="G95" s="27" t="s">
        <v>33</v>
      </c>
      <c r="H95" s="46">
        <f>3383760000</f>
        <v>3383760000</v>
      </c>
    </row>
    <row r="96" spans="1:10" x14ac:dyDescent="0.25">
      <c r="A96" s="28" t="s">
        <v>105</v>
      </c>
      <c r="B96" s="28" t="s">
        <v>41</v>
      </c>
      <c r="C96" s="108">
        <v>2057255328</v>
      </c>
      <c r="D96" s="97">
        <f t="shared" si="9"/>
        <v>0.38669028932513716</v>
      </c>
      <c r="E96" s="92">
        <f>683520658+112000000</f>
        <v>795520658</v>
      </c>
      <c r="F96" s="58">
        <f>E96/C96*100%</f>
        <v>0.38669028932513716</v>
      </c>
      <c r="G96" s="27" t="s">
        <v>33</v>
      </c>
      <c r="H96" s="46">
        <f>795520658</f>
        <v>795520658</v>
      </c>
    </row>
    <row r="97" spans="1:8" ht="16.5" x14ac:dyDescent="0.25">
      <c r="A97" s="62"/>
      <c r="B97" s="62"/>
      <c r="C97" s="63"/>
      <c r="D97" s="101"/>
      <c r="E97" s="103"/>
      <c r="F97" s="49"/>
      <c r="G97" s="18"/>
      <c r="H97" s="46"/>
    </row>
    <row r="98" spans="1:8" x14ac:dyDescent="0.25">
      <c r="A98" s="61" t="s">
        <v>119</v>
      </c>
      <c r="B98" s="62" t="s">
        <v>8</v>
      </c>
      <c r="C98" s="63">
        <f>SUM(C99:C105)</f>
        <v>2486374720</v>
      </c>
      <c r="D98" s="49">
        <f>H98/C98</f>
        <v>0.88483415725848436</v>
      </c>
      <c r="E98" s="63">
        <f>SUM(E99:E105)</f>
        <v>2200029280</v>
      </c>
      <c r="F98" s="49">
        <f>E98/C98*100%</f>
        <v>0.88483415725848436</v>
      </c>
      <c r="G98" s="18" t="s">
        <v>0</v>
      </c>
      <c r="H98" s="63">
        <f>SUM(H99:H105)</f>
        <v>2200029280</v>
      </c>
    </row>
    <row r="99" spans="1:8" ht="30" x14ac:dyDescent="0.25">
      <c r="A99" s="19" t="s">
        <v>38</v>
      </c>
      <c r="B99" s="50" t="s">
        <v>35</v>
      </c>
      <c r="C99" s="20"/>
      <c r="D99" s="99"/>
      <c r="E99" s="95"/>
      <c r="F99" s="53"/>
      <c r="G99" s="21" t="s">
        <v>32</v>
      </c>
      <c r="H99" s="46"/>
    </row>
    <row r="100" spans="1:8" ht="30" x14ac:dyDescent="0.25">
      <c r="A100" s="22" t="s">
        <v>98</v>
      </c>
      <c r="B100" s="22" t="s">
        <v>99</v>
      </c>
      <c r="C100" s="23"/>
      <c r="D100" s="98"/>
      <c r="E100" s="96"/>
      <c r="F100" s="56"/>
      <c r="G100" s="24" t="s">
        <v>61</v>
      </c>
      <c r="H100" s="46"/>
    </row>
    <row r="101" spans="1:8" ht="30" x14ac:dyDescent="0.25">
      <c r="A101" s="28" t="s">
        <v>100</v>
      </c>
      <c r="B101" s="28" t="s">
        <v>101</v>
      </c>
      <c r="C101" s="108">
        <v>185000000</v>
      </c>
      <c r="D101" s="97">
        <f>E101/C101*100%</f>
        <v>0.80768843243243238</v>
      </c>
      <c r="E101" s="92">
        <f>149422360</f>
        <v>149422360</v>
      </c>
      <c r="F101" s="58">
        <f>E101/C101*100%</f>
        <v>0.80768843243243238</v>
      </c>
      <c r="G101" s="27" t="s">
        <v>33</v>
      </c>
      <c r="H101" s="46">
        <v>149422360</v>
      </c>
    </row>
    <row r="102" spans="1:8" ht="30" x14ac:dyDescent="0.25">
      <c r="A102" s="19" t="s">
        <v>39</v>
      </c>
      <c r="B102" s="50" t="s">
        <v>36</v>
      </c>
      <c r="C102" s="60"/>
      <c r="D102" s="99"/>
      <c r="E102" s="104"/>
      <c r="F102" s="53"/>
      <c r="G102" s="21" t="s">
        <v>32</v>
      </c>
      <c r="H102" s="46"/>
    </row>
    <row r="103" spans="1:8" x14ac:dyDescent="0.25">
      <c r="A103" s="22" t="s">
        <v>102</v>
      </c>
      <c r="B103" s="22" t="s">
        <v>103</v>
      </c>
      <c r="C103" s="59"/>
      <c r="D103" s="98"/>
      <c r="E103" s="105"/>
      <c r="F103" s="56"/>
      <c r="G103" s="24" t="s">
        <v>61</v>
      </c>
      <c r="H103" s="46"/>
    </row>
    <row r="104" spans="1:8" x14ac:dyDescent="0.25">
      <c r="A104" s="28" t="s">
        <v>104</v>
      </c>
      <c r="B104" s="28" t="s">
        <v>40</v>
      </c>
      <c r="C104" s="108">
        <v>1430900000</v>
      </c>
      <c r="D104" s="97">
        <f t="shared" ref="D104:D105" si="10">E104/C104*100%</f>
        <v>0.98484869662450203</v>
      </c>
      <c r="E104" s="92">
        <f>441009463+968210537</f>
        <v>1409220000</v>
      </c>
      <c r="F104" s="58">
        <f>E104/C104*100%</f>
        <v>0.98484869662450203</v>
      </c>
      <c r="G104" s="27" t="s">
        <v>33</v>
      </c>
      <c r="H104" s="46">
        <f>1409220000</f>
        <v>1409220000</v>
      </c>
    </row>
    <row r="105" spans="1:8" x14ac:dyDescent="0.25">
      <c r="A105" s="28" t="s">
        <v>105</v>
      </c>
      <c r="B105" s="28" t="s">
        <v>41</v>
      </c>
      <c r="C105" s="108">
        <v>870474720</v>
      </c>
      <c r="D105" s="97">
        <f t="shared" si="10"/>
        <v>0.73682429284103734</v>
      </c>
      <c r="E105" s="92">
        <f>629136920+12250000</f>
        <v>641386920</v>
      </c>
      <c r="F105" s="58">
        <f>E105/C105*100%</f>
        <v>0.73682429284103734</v>
      </c>
      <c r="G105" s="27" t="s">
        <v>33</v>
      </c>
      <c r="H105" s="46">
        <f>641386920</f>
        <v>641386920</v>
      </c>
    </row>
    <row r="106" spans="1:8" ht="16.5" x14ac:dyDescent="0.25">
      <c r="A106" s="62"/>
      <c r="B106" s="62"/>
      <c r="C106" s="63"/>
      <c r="D106" s="66"/>
      <c r="E106" s="70"/>
      <c r="F106" s="49"/>
      <c r="G106" s="18"/>
      <c r="H106" s="46"/>
    </row>
    <row r="107" spans="1:8" x14ac:dyDescent="0.25">
      <c r="A107" s="61" t="s">
        <v>120</v>
      </c>
      <c r="B107" s="62" t="s">
        <v>9</v>
      </c>
      <c r="C107" s="63">
        <f>SUM(C108:C114)</f>
        <v>9574986088</v>
      </c>
      <c r="D107" s="49">
        <f>H107/C107</f>
        <v>0.78669169111799553</v>
      </c>
      <c r="E107" s="63">
        <f>SUM(E108:E114)</f>
        <v>7532561998</v>
      </c>
      <c r="F107" s="49">
        <f>E107/C107*100%</f>
        <v>0.78669169111799553</v>
      </c>
      <c r="G107" s="18" t="s">
        <v>0</v>
      </c>
      <c r="H107" s="63">
        <f>SUM(H110:H114)</f>
        <v>7532561998</v>
      </c>
    </row>
    <row r="108" spans="1:8" ht="30" x14ac:dyDescent="0.25">
      <c r="A108" s="19" t="s">
        <v>38</v>
      </c>
      <c r="B108" s="50" t="s">
        <v>35</v>
      </c>
      <c r="C108" s="20"/>
      <c r="D108" s="51"/>
      <c r="E108" s="64"/>
      <c r="F108" s="53"/>
      <c r="G108" s="21" t="s">
        <v>32</v>
      </c>
      <c r="H108" s="46"/>
    </row>
    <row r="109" spans="1:8" ht="30" x14ac:dyDescent="0.25">
      <c r="A109" s="22" t="s">
        <v>98</v>
      </c>
      <c r="B109" s="22" t="s">
        <v>99</v>
      </c>
      <c r="C109" s="23"/>
      <c r="D109" s="54"/>
      <c r="E109" s="55"/>
      <c r="F109" s="56"/>
      <c r="G109" s="24" t="s">
        <v>61</v>
      </c>
      <c r="H109" s="46"/>
    </row>
    <row r="110" spans="1:8" ht="30" x14ac:dyDescent="0.25">
      <c r="A110" s="28" t="s">
        <v>100</v>
      </c>
      <c r="B110" s="28" t="s">
        <v>101</v>
      </c>
      <c r="C110" s="108">
        <v>185000000</v>
      </c>
      <c r="D110" s="97">
        <f>E110/C110*100%</f>
        <v>0.75057789189189195</v>
      </c>
      <c r="E110" s="89">
        <f>138856910</f>
        <v>138856910</v>
      </c>
      <c r="F110" s="58">
        <f>E110/C110*100%</f>
        <v>0.75057789189189195</v>
      </c>
      <c r="G110" s="27" t="s">
        <v>33</v>
      </c>
      <c r="H110" s="46">
        <f>138856910</f>
        <v>138856910</v>
      </c>
    </row>
    <row r="111" spans="1:8" ht="30" x14ac:dyDescent="0.25">
      <c r="A111" s="19" t="s">
        <v>39</v>
      </c>
      <c r="B111" s="50" t="s">
        <v>36</v>
      </c>
      <c r="C111" s="60"/>
      <c r="D111" s="51"/>
      <c r="E111" s="64"/>
      <c r="F111" s="53"/>
      <c r="G111" s="21" t="s">
        <v>32</v>
      </c>
      <c r="H111" s="46"/>
    </row>
    <row r="112" spans="1:8" x14ac:dyDescent="0.25">
      <c r="A112" s="22" t="s">
        <v>102</v>
      </c>
      <c r="B112" s="22" t="s">
        <v>103</v>
      </c>
      <c r="C112" s="59"/>
      <c r="D112" s="54"/>
      <c r="E112" s="65"/>
      <c r="F112" s="56"/>
      <c r="G112" s="24" t="s">
        <v>61</v>
      </c>
      <c r="H112" s="46"/>
    </row>
    <row r="113" spans="1:8" x14ac:dyDescent="0.25">
      <c r="A113" s="28" t="s">
        <v>104</v>
      </c>
      <c r="B113" s="28" t="s">
        <v>40</v>
      </c>
      <c r="C113" s="108">
        <v>5850440000</v>
      </c>
      <c r="D113" s="97">
        <f t="shared" ref="D113:D114" si="11">E113/C113*100%</f>
        <v>0.82826590820519486</v>
      </c>
      <c r="E113" s="92">
        <f>1348650000+3497070000</f>
        <v>4845720000</v>
      </c>
      <c r="F113" s="58">
        <f>E113/C113*100%</f>
        <v>0.82826590820519486</v>
      </c>
      <c r="G113" s="27" t="s">
        <v>33</v>
      </c>
      <c r="H113" s="123">
        <f>4845720000</f>
        <v>4845720000</v>
      </c>
    </row>
    <row r="114" spans="1:8" x14ac:dyDescent="0.25">
      <c r="A114" s="28" t="s">
        <v>105</v>
      </c>
      <c r="B114" s="28" t="s">
        <v>41</v>
      </c>
      <c r="C114" s="108">
        <v>3539546088</v>
      </c>
      <c r="D114" s="97">
        <f t="shared" si="11"/>
        <v>0.71986210227304148</v>
      </c>
      <c r="E114" s="89">
        <f>1583115888+964869200</f>
        <v>2547985088</v>
      </c>
      <c r="F114" s="58">
        <f>E114/C114*100%</f>
        <v>0.71986210227304148</v>
      </c>
      <c r="G114" s="27" t="s">
        <v>33</v>
      </c>
      <c r="H114" s="46">
        <f>2547985088</f>
        <v>2547985088</v>
      </c>
    </row>
    <row r="115" spans="1:8" ht="16.5" x14ac:dyDescent="0.25">
      <c r="A115" s="71" t="s">
        <v>54</v>
      </c>
      <c r="E115" s="87"/>
    </row>
    <row r="116" spans="1:8" x14ac:dyDescent="0.25">
      <c r="A116" s="29" t="s">
        <v>67</v>
      </c>
    </row>
    <row r="117" spans="1:8" ht="16.5" x14ac:dyDescent="0.25">
      <c r="A117" s="29" t="s">
        <v>55</v>
      </c>
      <c r="E117" s="72"/>
    </row>
    <row r="118" spans="1:8" ht="16.5" x14ac:dyDescent="0.25">
      <c r="A118" s="29" t="s">
        <v>56</v>
      </c>
      <c r="E118" s="72"/>
    </row>
    <row r="119" spans="1:8" x14ac:dyDescent="0.25">
      <c r="A119" s="29" t="s">
        <v>57</v>
      </c>
    </row>
    <row r="120" spans="1:8" ht="15.75" thickBot="1" x14ac:dyDescent="0.3"/>
    <row r="121" spans="1:8" ht="17.25" thickBot="1" x14ac:dyDescent="0.3">
      <c r="E121" s="73"/>
    </row>
    <row r="122" spans="1:8" ht="17.25" thickBot="1" x14ac:dyDescent="0.3">
      <c r="E122" s="73"/>
    </row>
    <row r="123" spans="1:8" ht="23.25" x14ac:dyDescent="0.25">
      <c r="A123" s="134" t="s">
        <v>52</v>
      </c>
      <c r="B123" s="134"/>
      <c r="C123" s="134"/>
      <c r="D123" s="134"/>
      <c r="E123" s="134"/>
      <c r="F123" s="134"/>
      <c r="G123" s="134"/>
      <c r="H123" s="41"/>
    </row>
    <row r="124" spans="1:8" x14ac:dyDescent="0.25">
      <c r="A124" s="9"/>
      <c r="B124" s="10"/>
      <c r="C124" s="11"/>
      <c r="D124" s="11"/>
      <c r="E124" s="9"/>
      <c r="F124" s="11"/>
      <c r="G124" s="11"/>
      <c r="H124" s="41"/>
    </row>
    <row r="125" spans="1:8" x14ac:dyDescent="0.25">
      <c r="A125" s="12" t="s">
        <v>48</v>
      </c>
      <c r="B125" s="5" t="str">
        <f>B4</f>
        <v>: September 2023</v>
      </c>
      <c r="C125" s="11"/>
      <c r="D125" s="11"/>
      <c r="E125" s="9"/>
      <c r="F125" s="11"/>
      <c r="G125" s="11"/>
      <c r="H125" s="41"/>
    </row>
    <row r="126" spans="1:8" x14ac:dyDescent="0.25">
      <c r="A126" s="4" t="s">
        <v>49</v>
      </c>
      <c r="B126" s="135" t="s">
        <v>108</v>
      </c>
      <c r="C126" s="135"/>
      <c r="D126" s="135"/>
      <c r="E126" s="135"/>
      <c r="F126" s="135"/>
      <c r="G126" s="135"/>
      <c r="H126" s="41"/>
    </row>
    <row r="127" spans="1:8" x14ac:dyDescent="0.25">
      <c r="A127" s="136" t="s">
        <v>31</v>
      </c>
      <c r="B127" s="136" t="s">
        <v>47</v>
      </c>
      <c r="C127" s="143" t="s">
        <v>51</v>
      </c>
      <c r="D127" s="139" t="s">
        <v>42</v>
      </c>
      <c r="E127" s="140"/>
      <c r="F127" s="141"/>
      <c r="G127" s="136" t="s">
        <v>2</v>
      </c>
      <c r="H127" s="41"/>
    </row>
    <row r="128" spans="1:8" x14ac:dyDescent="0.25">
      <c r="A128" s="137"/>
      <c r="B128" s="137"/>
      <c r="C128" s="143"/>
      <c r="D128" s="129" t="s">
        <v>43</v>
      </c>
      <c r="E128" s="139" t="s">
        <v>44</v>
      </c>
      <c r="F128" s="141"/>
      <c r="G128" s="137"/>
      <c r="H128" s="41"/>
    </row>
    <row r="129" spans="1:14" x14ac:dyDescent="0.25">
      <c r="A129" s="138"/>
      <c r="B129" s="138"/>
      <c r="C129" s="129" t="s">
        <v>58</v>
      </c>
      <c r="D129" s="1" t="s">
        <v>45</v>
      </c>
      <c r="E129" s="1" t="s">
        <v>46</v>
      </c>
      <c r="F129" s="1" t="s">
        <v>45</v>
      </c>
      <c r="G129" s="138"/>
      <c r="H129" s="41"/>
    </row>
    <row r="130" spans="1:14" x14ac:dyDescent="0.25">
      <c r="A130" s="13" t="s">
        <v>109</v>
      </c>
      <c r="B130" s="32" t="s">
        <v>3</v>
      </c>
      <c r="C130" s="14">
        <f>C132+C144+C150+C156+C162+C168+C174+C180</f>
        <v>51985402496</v>
      </c>
      <c r="D130" s="42">
        <f>E130/C130*100%</f>
        <v>0.74987115500355095</v>
      </c>
      <c r="E130" s="74">
        <f>E132+E144+E150+E156+E162+E168+E174+E180</f>
        <v>38982353813</v>
      </c>
      <c r="F130" s="42">
        <f>E130/C130*100%</f>
        <v>0.74987115500355095</v>
      </c>
      <c r="G130" s="15" t="s">
        <v>1</v>
      </c>
      <c r="H130" s="43">
        <f>H132+H144+H150+H156+H162+H168+H174+H180</f>
        <v>39057605882</v>
      </c>
      <c r="K130" s="47">
        <f>C130-C9</f>
        <v>0</v>
      </c>
      <c r="L130" s="47" t="e">
        <f>#REF!-#REF!</f>
        <v>#REF!</v>
      </c>
      <c r="M130" s="47">
        <f t="shared" ref="M130" si="12">D130-D9</f>
        <v>0</v>
      </c>
      <c r="N130" s="47">
        <f>E130-E9</f>
        <v>0</v>
      </c>
    </row>
    <row r="131" spans="1:14" ht="16.5" x14ac:dyDescent="0.25">
      <c r="A131" s="13"/>
      <c r="B131" s="32"/>
      <c r="C131" s="14"/>
      <c r="D131" s="42"/>
      <c r="E131" s="45"/>
      <c r="F131" s="42"/>
      <c r="G131" s="15"/>
      <c r="H131" s="46"/>
    </row>
    <row r="132" spans="1:14" x14ac:dyDescent="0.25">
      <c r="A132" s="16" t="s">
        <v>110</v>
      </c>
      <c r="B132" s="17" t="s">
        <v>3</v>
      </c>
      <c r="C132" s="48">
        <f>SUM(C133:C142)</f>
        <v>15629071544</v>
      </c>
      <c r="D132" s="49">
        <f>H132/C132*100%</f>
        <v>0.73008106181332866</v>
      </c>
      <c r="E132" s="48">
        <f>SUM(E133:E142)</f>
        <v>11335237079</v>
      </c>
      <c r="F132" s="49">
        <f>E132/C132*100%</f>
        <v>0.72526618405247478</v>
      </c>
      <c r="G132" s="18" t="s">
        <v>0</v>
      </c>
      <c r="H132" s="48">
        <f>SUM(H134:H142)</f>
        <v>11410489148</v>
      </c>
    </row>
    <row r="133" spans="1:14" ht="30" x14ac:dyDescent="0.25">
      <c r="A133" s="33" t="s">
        <v>37</v>
      </c>
      <c r="B133" s="34" t="s">
        <v>24</v>
      </c>
      <c r="C133" s="35"/>
      <c r="D133" s="53"/>
      <c r="E133" s="75"/>
      <c r="F133" s="53"/>
      <c r="G133" s="21" t="s">
        <v>32</v>
      </c>
      <c r="H133" s="46"/>
    </row>
    <row r="134" spans="1:14" ht="30" x14ac:dyDescent="0.25">
      <c r="A134" s="36" t="s">
        <v>73</v>
      </c>
      <c r="B134" s="36" t="s">
        <v>25</v>
      </c>
      <c r="C134" s="37">
        <f>SUM(C14:C20)</f>
        <v>100000000</v>
      </c>
      <c r="D134" s="76">
        <f>H134/C134*100%</f>
        <v>0.73946650999999997</v>
      </c>
      <c r="E134" s="37">
        <f>SUM(E14:E20)</f>
        <v>73946651</v>
      </c>
      <c r="F134" s="58">
        <f>E134/C134*100%</f>
        <v>0.73946650999999997</v>
      </c>
      <c r="G134" s="27" t="s">
        <v>61</v>
      </c>
      <c r="H134" s="37">
        <f>SUM(H14:H20)</f>
        <v>73946651</v>
      </c>
    </row>
    <row r="135" spans="1:14" x14ac:dyDescent="0.25">
      <c r="A135" s="36" t="s">
        <v>76</v>
      </c>
      <c r="B135" s="36" t="s">
        <v>26</v>
      </c>
      <c r="C135" s="77">
        <f>SUM(C22:C24)</f>
        <v>13617071962</v>
      </c>
      <c r="D135" s="76">
        <f t="shared" ref="D135:D142" si="13">H135/C135*100%</f>
        <v>0.73646701662337888</v>
      </c>
      <c r="E135" s="77">
        <f>SUM(E22:E24)</f>
        <v>10028524363</v>
      </c>
      <c r="F135" s="58">
        <f t="shared" ref="F135:F142" si="14">E135/C135*100%</f>
        <v>0.73646701662337888</v>
      </c>
      <c r="G135" s="27" t="s">
        <v>61</v>
      </c>
      <c r="H135" s="77">
        <f>SUM(H22:H24)</f>
        <v>10028524363</v>
      </c>
    </row>
    <row r="136" spans="1:14" x14ac:dyDescent="0.25">
      <c r="A136" s="36" t="s">
        <v>80</v>
      </c>
      <c r="B136" s="36" t="s">
        <v>27</v>
      </c>
      <c r="C136" s="77"/>
      <c r="D136" s="76"/>
      <c r="E136" s="77"/>
      <c r="F136" s="58"/>
      <c r="G136" s="27" t="s">
        <v>61</v>
      </c>
      <c r="H136" s="77"/>
    </row>
    <row r="137" spans="1:14" x14ac:dyDescent="0.25">
      <c r="A137" s="36" t="s">
        <v>83</v>
      </c>
      <c r="B137" s="36" t="s">
        <v>28</v>
      </c>
      <c r="C137" s="77">
        <f>SUM(C30:C36)</f>
        <v>246498100</v>
      </c>
      <c r="D137" s="76">
        <f t="shared" si="13"/>
        <v>0.85059214249521597</v>
      </c>
      <c r="E137" s="77">
        <f>SUM(E30:E36)</f>
        <v>209669347</v>
      </c>
      <c r="F137" s="58">
        <f t="shared" si="14"/>
        <v>0.85059214249521597</v>
      </c>
      <c r="G137" s="27" t="s">
        <v>61</v>
      </c>
      <c r="H137" s="77">
        <f>209669347</f>
        <v>209669347</v>
      </c>
    </row>
    <row r="138" spans="1:14" ht="30" x14ac:dyDescent="0.25">
      <c r="A138" s="38" t="s">
        <v>89</v>
      </c>
      <c r="B138" s="38" t="s">
        <v>63</v>
      </c>
      <c r="C138" s="79"/>
      <c r="D138" s="76"/>
      <c r="E138" s="79"/>
      <c r="F138" s="58"/>
      <c r="G138" s="24" t="s">
        <v>61</v>
      </c>
      <c r="H138" s="79"/>
    </row>
    <row r="139" spans="1:14" ht="30" x14ac:dyDescent="0.25">
      <c r="A139" s="36" t="s">
        <v>91</v>
      </c>
      <c r="B139" s="36" t="s">
        <v>29</v>
      </c>
      <c r="C139" s="77">
        <f>SUM(C42:C43)</f>
        <v>257367500</v>
      </c>
      <c r="D139" s="76">
        <f t="shared" si="13"/>
        <v>0.68665141092018223</v>
      </c>
      <c r="E139" s="77">
        <f>SUM(E42:E43)</f>
        <v>176721757</v>
      </c>
      <c r="F139" s="58">
        <f t="shared" si="14"/>
        <v>0.68665141092018223</v>
      </c>
      <c r="G139" s="27" t="s">
        <v>61</v>
      </c>
      <c r="H139" s="77">
        <f>SUM(H42:H43)</f>
        <v>176721757</v>
      </c>
    </row>
    <row r="140" spans="1:14" ht="30" x14ac:dyDescent="0.25">
      <c r="A140" s="36" t="s">
        <v>94</v>
      </c>
      <c r="B140" s="36" t="s">
        <v>30</v>
      </c>
      <c r="C140" s="77">
        <f>SUM(C45:C48)</f>
        <v>336413982</v>
      </c>
      <c r="D140" s="76">
        <f t="shared" si="13"/>
        <v>0.49767422568066744</v>
      </c>
      <c r="E140" s="77">
        <f>SUM(E45:E48)</f>
        <v>92172499</v>
      </c>
      <c r="F140" s="58">
        <f t="shared" si="14"/>
        <v>0.27398533928949481</v>
      </c>
      <c r="G140" s="27" t="s">
        <v>61</v>
      </c>
      <c r="H140" s="77">
        <f>167424568</f>
        <v>167424568</v>
      </c>
    </row>
    <row r="141" spans="1:14" ht="30" x14ac:dyDescent="0.25">
      <c r="A141" s="33" t="s">
        <v>38</v>
      </c>
      <c r="B141" s="34" t="s">
        <v>35</v>
      </c>
      <c r="C141" s="78"/>
      <c r="D141" s="76"/>
      <c r="E141" s="78"/>
      <c r="F141" s="58"/>
      <c r="G141" s="21" t="s">
        <v>32</v>
      </c>
      <c r="H141" s="78"/>
    </row>
    <row r="142" spans="1:14" ht="30" x14ac:dyDescent="0.25">
      <c r="A142" s="36" t="s">
        <v>98</v>
      </c>
      <c r="B142" s="36" t="s">
        <v>99</v>
      </c>
      <c r="C142" s="77">
        <f>SUM(C51)</f>
        <v>1071720000</v>
      </c>
      <c r="D142" s="76">
        <f t="shared" si="13"/>
        <v>0.70373088306647258</v>
      </c>
      <c r="E142" s="77">
        <f>SUM(E51)</f>
        <v>754202462</v>
      </c>
      <c r="F142" s="58">
        <f t="shared" si="14"/>
        <v>0.70373088306647258</v>
      </c>
      <c r="G142" s="27" t="s">
        <v>61</v>
      </c>
      <c r="H142" s="77">
        <f>754202462</f>
        <v>754202462</v>
      </c>
    </row>
    <row r="143" spans="1:14" x14ac:dyDescent="0.25">
      <c r="A143" s="17"/>
      <c r="B143" s="17"/>
      <c r="C143" s="48"/>
      <c r="D143" s="49"/>
      <c r="E143" s="82"/>
      <c r="F143" s="49"/>
      <c r="G143" s="18"/>
      <c r="H143" s="46"/>
    </row>
    <row r="144" spans="1:14" x14ac:dyDescent="0.25">
      <c r="A144" s="16" t="s">
        <v>113</v>
      </c>
      <c r="B144" s="17" t="s">
        <v>114</v>
      </c>
      <c r="C144" s="48">
        <f>SUM(C145:C148)</f>
        <v>4964600912</v>
      </c>
      <c r="D144" s="49">
        <f>H144/C144*100%</f>
        <v>0.88529000616676357</v>
      </c>
      <c r="E144" s="48">
        <f>SUM(E145:E148)</f>
        <v>4395111572</v>
      </c>
      <c r="F144" s="49">
        <f>E144/C144*100%</f>
        <v>0.88529000616676357</v>
      </c>
      <c r="G144" s="18" t="s">
        <v>0</v>
      </c>
      <c r="H144" s="48">
        <f>H146+H148</f>
        <v>4395111572</v>
      </c>
    </row>
    <row r="145" spans="1:8" ht="30" x14ac:dyDescent="0.25">
      <c r="A145" s="33" t="s">
        <v>38</v>
      </c>
      <c r="B145" s="34" t="s">
        <v>35</v>
      </c>
      <c r="C145" s="35"/>
      <c r="D145" s="53"/>
      <c r="E145" s="81"/>
      <c r="F145" s="53"/>
      <c r="G145" s="21" t="s">
        <v>32</v>
      </c>
      <c r="H145" s="46"/>
    </row>
    <row r="146" spans="1:8" ht="30" x14ac:dyDescent="0.25">
      <c r="A146" s="36" t="s">
        <v>98</v>
      </c>
      <c r="B146" s="36" t="s">
        <v>99</v>
      </c>
      <c r="C146" s="37">
        <f>SUM(C56)</f>
        <v>185000000</v>
      </c>
      <c r="D146" s="76">
        <f>H146/C146*100%</f>
        <v>0.83898572972972973</v>
      </c>
      <c r="E146" s="37">
        <f>SUM(E56)</f>
        <v>155212360</v>
      </c>
      <c r="F146" s="58">
        <f>E146/C146*100%</f>
        <v>0.83898572972972973</v>
      </c>
      <c r="G146" s="27" t="s">
        <v>61</v>
      </c>
      <c r="H146" s="37">
        <f>155212360</f>
        <v>155212360</v>
      </c>
    </row>
    <row r="147" spans="1:8" ht="30" x14ac:dyDescent="0.25">
      <c r="A147" s="33" t="s">
        <v>39</v>
      </c>
      <c r="B147" s="34" t="s">
        <v>36</v>
      </c>
      <c r="C147" s="78"/>
      <c r="D147" s="76"/>
      <c r="E147" s="81"/>
      <c r="F147" s="58"/>
      <c r="G147" s="21" t="s">
        <v>32</v>
      </c>
      <c r="H147" s="46"/>
    </row>
    <row r="148" spans="1:8" x14ac:dyDescent="0.25">
      <c r="A148" s="36" t="s">
        <v>102</v>
      </c>
      <c r="B148" s="36" t="s">
        <v>103</v>
      </c>
      <c r="C148" s="77">
        <f>SUM(C59:C60)</f>
        <v>4779600912</v>
      </c>
      <c r="D148" s="76">
        <f>H148/C148*100%</f>
        <v>0.88708226692212166</v>
      </c>
      <c r="E148" s="77">
        <f>SUM(E59:E60)</f>
        <v>4239899212</v>
      </c>
      <c r="F148" s="58">
        <f>E148/C148*100%</f>
        <v>0.88708226692212166</v>
      </c>
      <c r="G148" s="27" t="s">
        <v>61</v>
      </c>
      <c r="H148" s="77">
        <f>SUM(H59:H60)</f>
        <v>4239899212</v>
      </c>
    </row>
    <row r="149" spans="1:8" x14ac:dyDescent="0.25">
      <c r="A149" s="17"/>
      <c r="B149" s="17"/>
      <c r="C149" s="48"/>
      <c r="D149" s="49"/>
      <c r="E149" s="82"/>
      <c r="F149" s="49"/>
      <c r="G149" s="18"/>
      <c r="H149" s="46"/>
    </row>
    <row r="150" spans="1:8" x14ac:dyDescent="0.25">
      <c r="A150" s="16" t="s">
        <v>115</v>
      </c>
      <c r="B150" s="17" t="s">
        <v>4</v>
      </c>
      <c r="C150" s="48">
        <f>SUM(C151:C154)</f>
        <v>4665737968</v>
      </c>
      <c r="D150" s="49">
        <f>H150/C150*100%</f>
        <v>0.74172962599600489</v>
      </c>
      <c r="E150" s="48">
        <f>SUM(E151:E154)</f>
        <v>3460716078</v>
      </c>
      <c r="F150" s="49">
        <f>E150/C150*100%</f>
        <v>0.74172962599600489</v>
      </c>
      <c r="G150" s="18" t="s">
        <v>0</v>
      </c>
      <c r="H150" s="48">
        <f>SUM(H151:H154)</f>
        <v>3460716078</v>
      </c>
    </row>
    <row r="151" spans="1:8" ht="30" x14ac:dyDescent="0.25">
      <c r="A151" s="33" t="s">
        <v>38</v>
      </c>
      <c r="B151" s="34" t="s">
        <v>35</v>
      </c>
      <c r="C151" s="35"/>
      <c r="D151" s="53"/>
      <c r="E151" s="81"/>
      <c r="F151" s="53"/>
      <c r="G151" s="21" t="s">
        <v>32</v>
      </c>
      <c r="H151" s="46"/>
    </row>
    <row r="152" spans="1:8" ht="30" x14ac:dyDescent="0.25">
      <c r="A152" s="36" t="s">
        <v>98</v>
      </c>
      <c r="B152" s="36" t="s">
        <v>99</v>
      </c>
      <c r="C152" s="37">
        <f>SUM(C65)</f>
        <v>335000000</v>
      </c>
      <c r="D152" s="76">
        <f>H152/C152*100%</f>
        <v>0.75796450746268662</v>
      </c>
      <c r="E152" s="37">
        <f>SUM(E65)</f>
        <v>253918110</v>
      </c>
      <c r="F152" s="58">
        <f>E152/C152*100%</f>
        <v>0.75796450746268662</v>
      </c>
      <c r="G152" s="27" t="s">
        <v>61</v>
      </c>
      <c r="H152" s="37">
        <f>SUM(H65)</f>
        <v>253918110</v>
      </c>
    </row>
    <row r="153" spans="1:8" ht="30" x14ac:dyDescent="0.25">
      <c r="A153" s="33" t="s">
        <v>39</v>
      </c>
      <c r="B153" s="34" t="s">
        <v>36</v>
      </c>
      <c r="C153" s="78"/>
      <c r="D153" s="76"/>
      <c r="E153" s="81"/>
      <c r="F153" s="58"/>
      <c r="G153" s="21" t="s">
        <v>32</v>
      </c>
      <c r="H153" s="46"/>
    </row>
    <row r="154" spans="1:8" x14ac:dyDescent="0.25">
      <c r="A154" s="36" t="s">
        <v>102</v>
      </c>
      <c r="B154" s="36" t="s">
        <v>103</v>
      </c>
      <c r="C154" s="77">
        <f>SUM(C68:C69)</f>
        <v>4330737968</v>
      </c>
      <c r="D154" s="76">
        <f>H154/C154*100%</f>
        <v>0.74047379261806223</v>
      </c>
      <c r="E154" s="77">
        <f>SUM(E68:E69)</f>
        <v>3206797968</v>
      </c>
      <c r="F154" s="58">
        <f>E154/C154*100%</f>
        <v>0.74047379261806223</v>
      </c>
      <c r="G154" s="27" t="s">
        <v>61</v>
      </c>
      <c r="H154" s="77">
        <f>SUM(H68:H69)</f>
        <v>3206797968</v>
      </c>
    </row>
    <row r="155" spans="1:8" x14ac:dyDescent="0.25">
      <c r="A155" s="17"/>
      <c r="B155" s="17"/>
      <c r="C155" s="48"/>
      <c r="D155" s="49"/>
      <c r="E155" s="82"/>
      <c r="F155" s="49"/>
      <c r="G155" s="18"/>
      <c r="H155" s="46"/>
    </row>
    <row r="156" spans="1:8" x14ac:dyDescent="0.25">
      <c r="A156" s="16" t="s">
        <v>116</v>
      </c>
      <c r="B156" s="17" t="s">
        <v>5</v>
      </c>
      <c r="C156" s="48">
        <f>SUM(C157:C160)</f>
        <v>4852385176</v>
      </c>
      <c r="D156" s="49">
        <f>H156/C156*100%</f>
        <v>0.40869691833383837</v>
      </c>
      <c r="E156" s="48">
        <f>SUM(E157:E160)</f>
        <v>1983154868</v>
      </c>
      <c r="F156" s="49">
        <f>E156/C156*100%</f>
        <v>0.40869691833383837</v>
      </c>
      <c r="G156" s="18" t="s">
        <v>0</v>
      </c>
      <c r="H156" s="48">
        <f>SUM(H157:H160)</f>
        <v>1983154868</v>
      </c>
    </row>
    <row r="157" spans="1:8" ht="30" x14ac:dyDescent="0.25">
      <c r="A157" s="33" t="s">
        <v>38</v>
      </c>
      <c r="B157" s="34" t="s">
        <v>35</v>
      </c>
      <c r="C157" s="35"/>
      <c r="D157" s="53"/>
      <c r="E157" s="81"/>
      <c r="F157" s="53"/>
      <c r="G157" s="21" t="s">
        <v>32</v>
      </c>
      <c r="H157" s="46"/>
    </row>
    <row r="158" spans="1:8" ht="30" x14ac:dyDescent="0.25">
      <c r="A158" s="36" t="s">
        <v>98</v>
      </c>
      <c r="B158" s="36" t="s">
        <v>99</v>
      </c>
      <c r="C158" s="37">
        <f>SUM(C74)</f>
        <v>185000000</v>
      </c>
      <c r="D158" s="76">
        <f>H158/C158*100%</f>
        <v>0.7335535135135135</v>
      </c>
      <c r="E158" s="37">
        <f>SUM(E74)</f>
        <v>135707400</v>
      </c>
      <c r="F158" s="58">
        <f>E158/C158*100%</f>
        <v>0.7335535135135135</v>
      </c>
      <c r="G158" s="27" t="s">
        <v>61</v>
      </c>
      <c r="H158" s="37">
        <f>SUM(H74)</f>
        <v>135707400</v>
      </c>
    </row>
    <row r="159" spans="1:8" ht="30" x14ac:dyDescent="0.25">
      <c r="A159" s="33" t="s">
        <v>39</v>
      </c>
      <c r="B159" s="34" t="s">
        <v>36</v>
      </c>
      <c r="C159" s="78"/>
      <c r="D159" s="76"/>
      <c r="E159" s="81"/>
      <c r="F159" s="58"/>
      <c r="G159" s="21" t="s">
        <v>32</v>
      </c>
      <c r="H159" s="46"/>
    </row>
    <row r="160" spans="1:8" x14ac:dyDescent="0.25">
      <c r="A160" s="36" t="s">
        <v>102</v>
      </c>
      <c r="B160" s="36" t="s">
        <v>103</v>
      </c>
      <c r="C160" s="77">
        <f>SUM(C77:C78)</f>
        <v>4667385176</v>
      </c>
      <c r="D160" s="76">
        <f>H160/C160*100%</f>
        <v>0.39582065724930865</v>
      </c>
      <c r="E160" s="77">
        <f>SUM(E77:E78)</f>
        <v>1847447468</v>
      </c>
      <c r="F160" s="58">
        <f>E160/C160*100%</f>
        <v>0.39582065724930865</v>
      </c>
      <c r="G160" s="27" t="s">
        <v>61</v>
      </c>
      <c r="H160" s="77">
        <f>SUM(H77:H78)</f>
        <v>1847447468</v>
      </c>
    </row>
    <row r="161" spans="1:8" x14ac:dyDescent="0.25">
      <c r="A161" s="17"/>
      <c r="B161" s="17"/>
      <c r="C161" s="48"/>
      <c r="D161" s="49"/>
      <c r="E161" s="82"/>
      <c r="F161" s="49"/>
      <c r="G161" s="18"/>
      <c r="H161" s="46"/>
    </row>
    <row r="162" spans="1:8" x14ac:dyDescent="0.25">
      <c r="A162" s="16" t="s">
        <v>117</v>
      </c>
      <c r="B162" s="17" t="s">
        <v>6</v>
      </c>
      <c r="C162" s="48">
        <f>SUM(C163:C166)</f>
        <v>4174350760</v>
      </c>
      <c r="D162" s="49">
        <f>H162/C162*100%</f>
        <v>0.90015505069823121</v>
      </c>
      <c r="E162" s="48">
        <f>SUM(E163:E166)</f>
        <v>3757562920</v>
      </c>
      <c r="F162" s="49">
        <f>E162/C162*100%</f>
        <v>0.90015505069823121</v>
      </c>
      <c r="G162" s="18" t="s">
        <v>0</v>
      </c>
      <c r="H162" s="48">
        <f>SUM(H163:H166)</f>
        <v>3757562920</v>
      </c>
    </row>
    <row r="163" spans="1:8" ht="30" x14ac:dyDescent="0.25">
      <c r="A163" s="33" t="s">
        <v>38</v>
      </c>
      <c r="B163" s="34" t="s">
        <v>35</v>
      </c>
      <c r="C163" s="35"/>
      <c r="D163" s="53"/>
      <c r="E163" s="81"/>
      <c r="F163" s="53"/>
      <c r="G163" s="21" t="s">
        <v>32</v>
      </c>
      <c r="H163" s="46"/>
    </row>
    <row r="164" spans="1:8" ht="30" x14ac:dyDescent="0.25">
      <c r="A164" s="36" t="s">
        <v>98</v>
      </c>
      <c r="B164" s="36" t="s">
        <v>99</v>
      </c>
      <c r="C164" s="37">
        <f>SUM(C83)</f>
        <v>185000000</v>
      </c>
      <c r="D164" s="76">
        <f>H164/C164*100%</f>
        <v>0.79030464864864869</v>
      </c>
      <c r="E164" s="37">
        <f>SUM(E83)</f>
        <v>146206360</v>
      </c>
      <c r="F164" s="58">
        <f>E164/C164*100%</f>
        <v>0.79030464864864869</v>
      </c>
      <c r="G164" s="27" t="s">
        <v>61</v>
      </c>
      <c r="H164" s="37">
        <f>SUM(H83)</f>
        <v>146206360</v>
      </c>
    </row>
    <row r="165" spans="1:8" ht="30" x14ac:dyDescent="0.25">
      <c r="A165" s="33" t="s">
        <v>39</v>
      </c>
      <c r="B165" s="34" t="s">
        <v>36</v>
      </c>
      <c r="C165" s="78"/>
      <c r="D165" s="76"/>
      <c r="E165" s="81"/>
      <c r="F165" s="58"/>
      <c r="G165" s="21" t="s">
        <v>32</v>
      </c>
      <c r="H165" s="46"/>
    </row>
    <row r="166" spans="1:8" x14ac:dyDescent="0.25">
      <c r="A166" s="36" t="s">
        <v>102</v>
      </c>
      <c r="B166" s="36" t="s">
        <v>103</v>
      </c>
      <c r="C166" s="77">
        <f>SUM(C86:C87)</f>
        <v>3989350760</v>
      </c>
      <c r="D166" s="76">
        <f>H166/C166*100%</f>
        <v>0.90524919398162929</v>
      </c>
      <c r="E166" s="77">
        <f>SUM(E86:E87)</f>
        <v>3611356560</v>
      </c>
      <c r="F166" s="58">
        <f>E166/C166*100%</f>
        <v>0.90524919398162929</v>
      </c>
      <c r="G166" s="27" t="s">
        <v>61</v>
      </c>
      <c r="H166" s="77">
        <f>SUM(H86:H87)</f>
        <v>3611356560</v>
      </c>
    </row>
    <row r="167" spans="1:8" x14ac:dyDescent="0.25">
      <c r="A167" s="17"/>
      <c r="B167" s="17"/>
      <c r="C167" s="48"/>
      <c r="D167" s="49"/>
      <c r="E167" s="82"/>
      <c r="F167" s="49"/>
      <c r="G167" s="18"/>
      <c r="H167" s="46"/>
    </row>
    <row r="168" spans="1:8" x14ac:dyDescent="0.25">
      <c r="A168" s="16" t="s">
        <v>118</v>
      </c>
      <c r="B168" s="17" t="s">
        <v>7</v>
      </c>
      <c r="C168" s="48">
        <f>SUM(C169:C172)</f>
        <v>5637895328</v>
      </c>
      <c r="D168" s="49">
        <f>H168/C168*100%</f>
        <v>0.76588509839038998</v>
      </c>
      <c r="E168" s="48">
        <f>SUM(E169:E172)</f>
        <v>4317980018</v>
      </c>
      <c r="F168" s="49">
        <f>E168/C168*100%</f>
        <v>0.76588509839038998</v>
      </c>
      <c r="G168" s="18" t="s">
        <v>0</v>
      </c>
      <c r="H168" s="48">
        <f>SUM(H169:H172)</f>
        <v>4317980018</v>
      </c>
    </row>
    <row r="169" spans="1:8" ht="30" x14ac:dyDescent="0.25">
      <c r="A169" s="33" t="s">
        <v>38</v>
      </c>
      <c r="B169" s="34" t="s">
        <v>35</v>
      </c>
      <c r="C169" s="35"/>
      <c r="D169" s="53"/>
      <c r="E169" s="75"/>
      <c r="F169" s="53"/>
      <c r="G169" s="21" t="s">
        <v>32</v>
      </c>
      <c r="H169" s="46"/>
    </row>
    <row r="170" spans="1:8" ht="30" x14ac:dyDescent="0.25">
      <c r="A170" s="36" t="s">
        <v>98</v>
      </c>
      <c r="B170" s="36" t="s">
        <v>99</v>
      </c>
      <c r="C170" s="37">
        <f>SUM(C92)</f>
        <v>185000000</v>
      </c>
      <c r="D170" s="76">
        <f>H170/C170*100%</f>
        <v>0.74972627027027028</v>
      </c>
      <c r="E170" s="37">
        <f>SUM(E92)</f>
        <v>138699360</v>
      </c>
      <c r="F170" s="58">
        <f>E170/C170*100%</f>
        <v>0.74972627027027028</v>
      </c>
      <c r="G170" s="27" t="s">
        <v>61</v>
      </c>
      <c r="H170" s="37">
        <f>SUM(H92)</f>
        <v>138699360</v>
      </c>
    </row>
    <row r="171" spans="1:8" ht="30" x14ac:dyDescent="0.25">
      <c r="A171" s="33" t="s">
        <v>39</v>
      </c>
      <c r="B171" s="34" t="s">
        <v>36</v>
      </c>
      <c r="C171" s="78"/>
      <c r="D171" s="76"/>
      <c r="E171" s="75"/>
      <c r="F171" s="58"/>
      <c r="G171" s="21" t="s">
        <v>32</v>
      </c>
      <c r="H171" s="46"/>
    </row>
    <row r="172" spans="1:8" x14ac:dyDescent="0.25">
      <c r="A172" s="36" t="s">
        <v>102</v>
      </c>
      <c r="B172" s="36" t="s">
        <v>103</v>
      </c>
      <c r="C172" s="77">
        <f>SUM(C95:C96)</f>
        <v>5452895328</v>
      </c>
      <c r="D172" s="76">
        <f>H172/C172*100%</f>
        <v>0.76643331782656221</v>
      </c>
      <c r="E172" s="77">
        <f>SUM(E95:E96)</f>
        <v>4179280658</v>
      </c>
      <c r="F172" s="58">
        <f>E172/C172*100%</f>
        <v>0.76643331782656221</v>
      </c>
      <c r="G172" s="27" t="s">
        <v>61</v>
      </c>
      <c r="H172" s="77">
        <f>SUM(H95:H96)</f>
        <v>4179280658</v>
      </c>
    </row>
    <row r="173" spans="1:8" ht="16.5" x14ac:dyDescent="0.25">
      <c r="A173" s="17"/>
      <c r="B173" s="17"/>
      <c r="C173" s="48"/>
      <c r="D173" s="49"/>
      <c r="E173" s="83"/>
      <c r="F173" s="49"/>
      <c r="G173" s="18"/>
      <c r="H173" s="46"/>
    </row>
    <row r="174" spans="1:8" x14ac:dyDescent="0.25">
      <c r="A174" s="16" t="s">
        <v>119</v>
      </c>
      <c r="B174" s="17" t="s">
        <v>8</v>
      </c>
      <c r="C174" s="48">
        <f>SUM(C175:C178)</f>
        <v>2486374720</v>
      </c>
      <c r="D174" s="49">
        <f>H174/C174*100%</f>
        <v>0.88483415725848436</v>
      </c>
      <c r="E174" s="48">
        <f>SUM(E175:E178)</f>
        <v>2200029280</v>
      </c>
      <c r="F174" s="49">
        <f>E174/C174*100%</f>
        <v>0.88483415725848436</v>
      </c>
      <c r="G174" s="18" t="s">
        <v>0</v>
      </c>
      <c r="H174" s="48">
        <f>SUM(H175:H178)</f>
        <v>2200029280</v>
      </c>
    </row>
    <row r="175" spans="1:8" ht="30" x14ac:dyDescent="0.25">
      <c r="A175" s="33" t="s">
        <v>38</v>
      </c>
      <c r="B175" s="34" t="s">
        <v>35</v>
      </c>
      <c r="C175" s="35"/>
      <c r="D175" s="53"/>
      <c r="E175" s="75"/>
      <c r="F175" s="53"/>
      <c r="G175" s="21" t="s">
        <v>32</v>
      </c>
      <c r="H175" s="46"/>
    </row>
    <row r="176" spans="1:8" ht="30" x14ac:dyDescent="0.25">
      <c r="A176" s="36" t="s">
        <v>98</v>
      </c>
      <c r="B176" s="36" t="s">
        <v>99</v>
      </c>
      <c r="C176" s="37">
        <f>SUM(C101)</f>
        <v>185000000</v>
      </c>
      <c r="D176" s="76">
        <f>H176/C176*100%</f>
        <v>0.80768843243243238</v>
      </c>
      <c r="E176" s="37">
        <f>SUM(E101)</f>
        <v>149422360</v>
      </c>
      <c r="F176" s="58">
        <f>E176/C176*100%</f>
        <v>0.80768843243243238</v>
      </c>
      <c r="G176" s="27" t="s">
        <v>61</v>
      </c>
      <c r="H176" s="37">
        <f>SUM(H101)</f>
        <v>149422360</v>
      </c>
    </row>
    <row r="177" spans="1:8" ht="30" x14ac:dyDescent="0.25">
      <c r="A177" s="33" t="s">
        <v>39</v>
      </c>
      <c r="B177" s="34" t="s">
        <v>36</v>
      </c>
      <c r="C177" s="78"/>
      <c r="D177" s="76"/>
      <c r="E177" s="75"/>
      <c r="F177" s="58"/>
      <c r="G177" s="21" t="s">
        <v>32</v>
      </c>
      <c r="H177" s="46"/>
    </row>
    <row r="178" spans="1:8" x14ac:dyDescent="0.25">
      <c r="A178" s="36" t="s">
        <v>102</v>
      </c>
      <c r="B178" s="36" t="s">
        <v>103</v>
      </c>
      <c r="C178" s="77">
        <f>SUM(C104:C105)</f>
        <v>2301374720</v>
      </c>
      <c r="D178" s="76">
        <f>H178/C178*100%</f>
        <v>0.89103565020476105</v>
      </c>
      <c r="E178" s="77">
        <f>SUM(E104:E105)</f>
        <v>2050606920</v>
      </c>
      <c r="F178" s="58">
        <f>E178/C178*100%</f>
        <v>0.89103565020476105</v>
      </c>
      <c r="G178" s="27" t="s">
        <v>61</v>
      </c>
      <c r="H178" s="77">
        <f>SUM(H104:H105)</f>
        <v>2050606920</v>
      </c>
    </row>
    <row r="179" spans="1:8" ht="16.5" x14ac:dyDescent="0.25">
      <c r="A179" s="17"/>
      <c r="B179" s="17"/>
      <c r="C179" s="48"/>
      <c r="D179" s="49"/>
      <c r="E179" s="83"/>
      <c r="F179" s="49"/>
      <c r="G179" s="18"/>
      <c r="H179" s="46"/>
    </row>
    <row r="180" spans="1:8" x14ac:dyDescent="0.25">
      <c r="A180" s="16" t="s">
        <v>120</v>
      </c>
      <c r="B180" s="17" t="s">
        <v>9</v>
      </c>
      <c r="C180" s="48">
        <f>SUM(C181:C184)</f>
        <v>9574986088</v>
      </c>
      <c r="D180" s="49">
        <f>H180/C180*100%</f>
        <v>0.78669169111799553</v>
      </c>
      <c r="E180" s="48">
        <f>SUM(E181:E184)</f>
        <v>7532561998</v>
      </c>
      <c r="F180" s="49">
        <f>E180/C180*100%</f>
        <v>0.78669169111799553</v>
      </c>
      <c r="G180" s="18" t="s">
        <v>0</v>
      </c>
      <c r="H180" s="48">
        <f>SUM(H181:H184)</f>
        <v>7532561998</v>
      </c>
    </row>
    <row r="181" spans="1:8" ht="30" x14ac:dyDescent="0.25">
      <c r="A181" s="33" t="s">
        <v>38</v>
      </c>
      <c r="B181" s="34" t="s">
        <v>35</v>
      </c>
      <c r="C181" s="35"/>
      <c r="D181" s="53"/>
      <c r="E181" s="81"/>
      <c r="F181" s="53"/>
      <c r="G181" s="21" t="s">
        <v>32</v>
      </c>
      <c r="H181" s="46"/>
    </row>
    <row r="182" spans="1:8" ht="30" x14ac:dyDescent="0.25">
      <c r="A182" s="36" t="s">
        <v>98</v>
      </c>
      <c r="B182" s="36" t="s">
        <v>99</v>
      </c>
      <c r="C182" s="37">
        <f>SUM(C110)</f>
        <v>185000000</v>
      </c>
      <c r="D182" s="76">
        <f>H182/C182*100%</f>
        <v>0.75057789189189195</v>
      </c>
      <c r="E182" s="37">
        <f>SUM(E110)</f>
        <v>138856910</v>
      </c>
      <c r="F182" s="58">
        <f>E182/C182*100%</f>
        <v>0.75057789189189195</v>
      </c>
      <c r="G182" s="27" t="s">
        <v>61</v>
      </c>
      <c r="H182" s="37">
        <f>SUM(H110)</f>
        <v>138856910</v>
      </c>
    </row>
    <row r="183" spans="1:8" ht="30" x14ac:dyDescent="0.25">
      <c r="A183" s="33" t="s">
        <v>39</v>
      </c>
      <c r="B183" s="34" t="s">
        <v>36</v>
      </c>
      <c r="C183" s="78"/>
      <c r="D183" s="76"/>
      <c r="E183" s="81"/>
      <c r="F183" s="58"/>
      <c r="G183" s="21" t="s">
        <v>32</v>
      </c>
      <c r="H183" s="46"/>
    </row>
    <row r="184" spans="1:8" x14ac:dyDescent="0.25">
      <c r="A184" s="36" t="s">
        <v>102</v>
      </c>
      <c r="B184" s="36" t="s">
        <v>103</v>
      </c>
      <c r="C184" s="77">
        <f>SUM(C112:C114)</f>
        <v>9389986088</v>
      </c>
      <c r="D184" s="76">
        <f>H184/C184*100%</f>
        <v>0.78740319939864856</v>
      </c>
      <c r="E184" s="77">
        <f>SUM(E112:E114)</f>
        <v>7393705088</v>
      </c>
      <c r="F184" s="58">
        <f>E184/C184*100%</f>
        <v>0.78740319939864856</v>
      </c>
      <c r="G184" s="27" t="s">
        <v>61</v>
      </c>
      <c r="H184" s="77">
        <f>SUM(H112:H114)</f>
        <v>7393705088</v>
      </c>
    </row>
    <row r="185" spans="1:8" x14ac:dyDescent="0.25">
      <c r="A185" s="41"/>
      <c r="B185" s="6"/>
      <c r="C185" s="7"/>
      <c r="D185" s="41"/>
      <c r="E185" s="41"/>
      <c r="F185" s="41"/>
      <c r="G185" s="41"/>
      <c r="H185" s="41"/>
    </row>
    <row r="186" spans="1:8" x14ac:dyDescent="0.25">
      <c r="A186" s="41"/>
      <c r="B186" s="6"/>
      <c r="C186" s="7"/>
      <c r="D186" s="41"/>
      <c r="E186" s="41"/>
      <c r="F186" s="41"/>
      <c r="G186" s="41"/>
      <c r="H186" s="41"/>
    </row>
    <row r="187" spans="1:8" x14ac:dyDescent="0.25">
      <c r="A187" s="41"/>
      <c r="B187" s="6"/>
      <c r="C187" s="7"/>
      <c r="D187" s="41"/>
      <c r="E187" s="41"/>
      <c r="F187" s="41"/>
      <c r="G187" s="41"/>
      <c r="H187" s="41"/>
    </row>
    <row r="188" spans="1:8" x14ac:dyDescent="0.25">
      <c r="A188" s="41"/>
      <c r="B188" s="6"/>
      <c r="C188" s="7"/>
      <c r="D188" s="41"/>
      <c r="E188" s="41"/>
      <c r="F188" s="41"/>
      <c r="G188" s="41"/>
      <c r="H188" s="41"/>
    </row>
    <row r="189" spans="1:8" ht="23.25" x14ac:dyDescent="0.25">
      <c r="A189" s="134" t="s">
        <v>53</v>
      </c>
      <c r="B189" s="134"/>
      <c r="C189" s="134"/>
      <c r="D189" s="134"/>
      <c r="E189" s="134"/>
      <c r="F189" s="134"/>
      <c r="G189" s="134"/>
      <c r="H189" s="41"/>
    </row>
    <row r="190" spans="1:8" x14ac:dyDescent="0.25">
      <c r="A190" s="9"/>
      <c r="B190" s="10"/>
      <c r="C190" s="11"/>
      <c r="D190" s="11"/>
      <c r="E190" s="9"/>
      <c r="F190" s="11"/>
      <c r="G190" s="11"/>
      <c r="H190" s="41"/>
    </row>
    <row r="191" spans="1:8" x14ac:dyDescent="0.25">
      <c r="A191" s="12" t="s">
        <v>48</v>
      </c>
      <c r="B191" s="5" t="str">
        <f>B4</f>
        <v>: September 2023</v>
      </c>
      <c r="C191" s="11"/>
      <c r="D191" s="11"/>
      <c r="E191" s="9"/>
      <c r="F191" s="11"/>
      <c r="G191" s="11"/>
      <c r="H191" s="41"/>
    </row>
    <row r="192" spans="1:8" x14ac:dyDescent="0.25">
      <c r="A192" s="4" t="s">
        <v>49</v>
      </c>
      <c r="B192" s="135" t="s">
        <v>108</v>
      </c>
      <c r="C192" s="135"/>
      <c r="D192" s="135"/>
      <c r="E192" s="135"/>
      <c r="F192" s="135"/>
      <c r="G192" s="135"/>
      <c r="H192" s="41"/>
    </row>
    <row r="193" spans="1:14" x14ac:dyDescent="0.25">
      <c r="A193" s="136" t="s">
        <v>31</v>
      </c>
      <c r="B193" s="136" t="s">
        <v>47</v>
      </c>
      <c r="C193" s="143" t="s">
        <v>51</v>
      </c>
      <c r="D193" s="139" t="s">
        <v>42</v>
      </c>
      <c r="E193" s="140"/>
      <c r="F193" s="141"/>
      <c r="G193" s="136" t="s">
        <v>2</v>
      </c>
      <c r="H193" s="41"/>
    </row>
    <row r="194" spans="1:14" x14ac:dyDescent="0.25">
      <c r="A194" s="137"/>
      <c r="B194" s="137"/>
      <c r="C194" s="143"/>
      <c r="D194" s="129" t="s">
        <v>43</v>
      </c>
      <c r="E194" s="139" t="s">
        <v>44</v>
      </c>
      <c r="F194" s="141"/>
      <c r="G194" s="137"/>
      <c r="H194" s="41"/>
    </row>
    <row r="195" spans="1:14" x14ac:dyDescent="0.25">
      <c r="A195" s="138"/>
      <c r="B195" s="138"/>
      <c r="C195" s="129" t="s">
        <v>58</v>
      </c>
      <c r="D195" s="1" t="s">
        <v>45</v>
      </c>
      <c r="E195" s="1" t="s">
        <v>46</v>
      </c>
      <c r="F195" s="1" t="s">
        <v>45</v>
      </c>
      <c r="G195" s="138"/>
      <c r="H195" s="41"/>
    </row>
    <row r="196" spans="1:14" x14ac:dyDescent="0.25">
      <c r="A196" s="13" t="s">
        <v>109</v>
      </c>
      <c r="B196" s="32" t="s">
        <v>3</v>
      </c>
      <c r="C196" s="14">
        <f>C198+C202+C206+C210+C214+C218+C222+C226</f>
        <v>51985402496</v>
      </c>
      <c r="D196" s="42">
        <f>H196/C196*100%</f>
        <v>0.7513187165378834</v>
      </c>
      <c r="E196" s="74">
        <f>E198+E202+E206+E210+E214+E218+E222+E226</f>
        <v>38982353813</v>
      </c>
      <c r="F196" s="42">
        <f>E196/C196*100%</f>
        <v>0.74987115500355095</v>
      </c>
      <c r="G196" s="15" t="s">
        <v>1</v>
      </c>
      <c r="H196" s="43">
        <f>H198+H202+H206+H210+H214+H218+H222+H226</f>
        <v>39057605882</v>
      </c>
      <c r="K196" s="47">
        <f>C196-C130</f>
        <v>0</v>
      </c>
      <c r="L196" s="47" t="e">
        <f>#REF!-#REF!</f>
        <v>#REF!</v>
      </c>
      <c r="M196" s="47">
        <f t="shared" ref="M196:N196" si="15">D196-D130</f>
        <v>1.4475615343324533E-3</v>
      </c>
      <c r="N196" s="47">
        <f t="shared" si="15"/>
        <v>0</v>
      </c>
    </row>
    <row r="197" spans="1:14" ht="16.5" x14ac:dyDescent="0.25">
      <c r="A197" s="13"/>
      <c r="B197" s="32"/>
      <c r="C197" s="14"/>
      <c r="D197" s="42"/>
      <c r="E197" s="45"/>
      <c r="F197" s="42"/>
      <c r="G197" s="15"/>
      <c r="H197" s="46"/>
    </row>
    <row r="198" spans="1:14" x14ac:dyDescent="0.25">
      <c r="A198" s="16" t="s">
        <v>110</v>
      </c>
      <c r="B198" s="17" t="s">
        <v>3</v>
      </c>
      <c r="C198" s="48">
        <f>SUM(C199:C200)</f>
        <v>15629071544</v>
      </c>
      <c r="D198" s="49">
        <f>H198/C198*100%</f>
        <v>0.73008106181332866</v>
      </c>
      <c r="E198" s="48">
        <f>SUM(E199:E200)</f>
        <v>11335237079</v>
      </c>
      <c r="F198" s="49">
        <f>E198/C198*100%</f>
        <v>0.72526618405247478</v>
      </c>
      <c r="G198" s="18" t="s">
        <v>0</v>
      </c>
      <c r="H198" s="48">
        <f>SUM(H199:H200)</f>
        <v>11410489148</v>
      </c>
    </row>
    <row r="199" spans="1:14" ht="30" x14ac:dyDescent="0.25">
      <c r="A199" s="39" t="s">
        <v>37</v>
      </c>
      <c r="B199" s="36" t="s">
        <v>24</v>
      </c>
      <c r="C199" s="37">
        <f>SUM(C134:C140)</f>
        <v>14557351544</v>
      </c>
      <c r="D199" s="76">
        <f>H199/C199*100%</f>
        <v>0.73202097605399419</v>
      </c>
      <c r="E199" s="37">
        <f>SUM(E134:E140)</f>
        <v>10581034617</v>
      </c>
      <c r="F199" s="58">
        <f>E199/C199*100%</f>
        <v>0.72685162441935458</v>
      </c>
      <c r="G199" s="27" t="s">
        <v>32</v>
      </c>
      <c r="H199" s="37">
        <f>SUM(H134:H140)</f>
        <v>10656286686</v>
      </c>
    </row>
    <row r="200" spans="1:14" ht="30" x14ac:dyDescent="0.25">
      <c r="A200" s="39" t="s">
        <v>38</v>
      </c>
      <c r="B200" s="36" t="s">
        <v>35</v>
      </c>
      <c r="C200" s="77">
        <f>SUM(C142)</f>
        <v>1071720000</v>
      </c>
      <c r="D200" s="76">
        <f>H200/C200*100%</f>
        <v>0.70373088306647258</v>
      </c>
      <c r="E200" s="77">
        <f>SUM(E142)</f>
        <v>754202462</v>
      </c>
      <c r="F200" s="58">
        <f>E200/C200*100%</f>
        <v>0.70373088306647258</v>
      </c>
      <c r="G200" s="27" t="s">
        <v>32</v>
      </c>
      <c r="H200" s="77">
        <f>SUM(H142)</f>
        <v>754202462</v>
      </c>
    </row>
    <row r="201" spans="1:14" x14ac:dyDescent="0.25">
      <c r="A201" s="17"/>
      <c r="B201" s="17"/>
      <c r="C201" s="48"/>
      <c r="D201" s="49"/>
      <c r="E201" s="82"/>
      <c r="F201" s="49"/>
      <c r="G201" s="18"/>
      <c r="H201" s="46"/>
    </row>
    <row r="202" spans="1:14" x14ac:dyDescent="0.25">
      <c r="A202" s="16" t="s">
        <v>113</v>
      </c>
      <c r="B202" s="17" t="s">
        <v>114</v>
      </c>
      <c r="C202" s="48">
        <f>SUM(C203:C204)</f>
        <v>4964600912</v>
      </c>
      <c r="D202" s="49">
        <f>H202/C202*100%</f>
        <v>0.88529000616676357</v>
      </c>
      <c r="E202" s="88">
        <f>SUM(E203:E204)</f>
        <v>4395111572</v>
      </c>
      <c r="F202" s="49">
        <f>E202/C202*100%</f>
        <v>0.88529000616676357</v>
      </c>
      <c r="G202" s="18" t="s">
        <v>0</v>
      </c>
      <c r="H202" s="43">
        <f>SUM(H203:H204)</f>
        <v>4395111572</v>
      </c>
    </row>
    <row r="203" spans="1:14" ht="30" x14ac:dyDescent="0.25">
      <c r="A203" s="39" t="s">
        <v>38</v>
      </c>
      <c r="B203" s="36" t="s">
        <v>35</v>
      </c>
      <c r="C203" s="37">
        <f>SUM(C146)</f>
        <v>185000000</v>
      </c>
      <c r="D203" s="76">
        <f>H203/C203*100%</f>
        <v>0.83898572972972973</v>
      </c>
      <c r="E203" s="37">
        <f>SUM(E146)</f>
        <v>155212360</v>
      </c>
      <c r="F203" s="58">
        <f>E203/C203*100%</f>
        <v>0.83898572972972973</v>
      </c>
      <c r="G203" s="27" t="s">
        <v>32</v>
      </c>
      <c r="H203" s="37">
        <f>SUM(H146)</f>
        <v>155212360</v>
      </c>
    </row>
    <row r="204" spans="1:14" ht="30" x14ac:dyDescent="0.25">
      <c r="A204" s="39" t="s">
        <v>39</v>
      </c>
      <c r="B204" s="36" t="s">
        <v>36</v>
      </c>
      <c r="C204" s="77">
        <f>SUM(C148:C148)</f>
        <v>4779600912</v>
      </c>
      <c r="D204" s="76">
        <f>H204/C204*100%</f>
        <v>0.88708226692212166</v>
      </c>
      <c r="E204" s="77">
        <f>SUM(E148:E148)</f>
        <v>4239899212</v>
      </c>
      <c r="F204" s="58">
        <f>E204/C204*100%</f>
        <v>0.88708226692212166</v>
      </c>
      <c r="G204" s="27" t="s">
        <v>32</v>
      </c>
      <c r="H204" s="77">
        <f>SUM(H148:H148)</f>
        <v>4239899212</v>
      </c>
    </row>
    <row r="205" spans="1:14" x14ac:dyDescent="0.25">
      <c r="A205" s="17"/>
      <c r="B205" s="17"/>
      <c r="C205" s="48"/>
      <c r="D205" s="49"/>
      <c r="E205" s="82"/>
      <c r="F205" s="49"/>
      <c r="G205" s="18"/>
      <c r="H205" s="46"/>
    </row>
    <row r="206" spans="1:14" x14ac:dyDescent="0.25">
      <c r="A206" s="16" t="s">
        <v>115</v>
      </c>
      <c r="B206" s="17" t="s">
        <v>4</v>
      </c>
      <c r="C206" s="48">
        <f>SUM(C207:C209)</f>
        <v>4665737968</v>
      </c>
      <c r="D206" s="49">
        <f>H206/C206*100%</f>
        <v>0.74172962599600489</v>
      </c>
      <c r="E206" s="88">
        <f>SUM(E207:E209)</f>
        <v>3460716078</v>
      </c>
      <c r="F206" s="49">
        <f>E206/C206*100%</f>
        <v>0.74172962599600489</v>
      </c>
      <c r="G206" s="18" t="s">
        <v>0</v>
      </c>
      <c r="H206" s="43">
        <f>SUM(H207:H209)</f>
        <v>3460716078</v>
      </c>
    </row>
    <row r="207" spans="1:14" ht="30" x14ac:dyDescent="0.25">
      <c r="A207" s="39" t="s">
        <v>38</v>
      </c>
      <c r="B207" s="36" t="s">
        <v>35</v>
      </c>
      <c r="C207" s="37">
        <f>SUM(C152)</f>
        <v>335000000</v>
      </c>
      <c r="D207" s="76">
        <f>H207/C207*100%</f>
        <v>0.75796450746268662</v>
      </c>
      <c r="E207" s="37">
        <f>SUM(E152)</f>
        <v>253918110</v>
      </c>
      <c r="F207" s="58">
        <f>E207/C207*100%</f>
        <v>0.75796450746268662</v>
      </c>
      <c r="G207" s="27" t="s">
        <v>32</v>
      </c>
      <c r="H207" s="37">
        <f>SUM(H152)</f>
        <v>253918110</v>
      </c>
    </row>
    <row r="208" spans="1:14" ht="30" x14ac:dyDescent="0.25">
      <c r="A208" s="39" t="s">
        <v>39</v>
      </c>
      <c r="B208" s="36" t="s">
        <v>36</v>
      </c>
      <c r="C208" s="77">
        <f>SUM(C154:C154)</f>
        <v>4330737968</v>
      </c>
      <c r="D208" s="76">
        <f>H208/C208*100%</f>
        <v>0.74047379261806223</v>
      </c>
      <c r="E208" s="77">
        <f>SUM(E154:E154)</f>
        <v>3206797968</v>
      </c>
      <c r="F208" s="58">
        <f>E208/C208*100%</f>
        <v>0.74047379261806223</v>
      </c>
      <c r="G208" s="27" t="s">
        <v>32</v>
      </c>
      <c r="H208" s="77">
        <f>SUM(H154:H154)</f>
        <v>3206797968</v>
      </c>
    </row>
    <row r="209" spans="1:8" x14ac:dyDescent="0.25">
      <c r="A209" s="17"/>
      <c r="B209" s="17"/>
      <c r="C209" s="48"/>
      <c r="D209" s="49"/>
      <c r="E209" s="82"/>
      <c r="F209" s="49"/>
      <c r="G209" s="18"/>
      <c r="H209" s="46"/>
    </row>
    <row r="210" spans="1:8" x14ac:dyDescent="0.25">
      <c r="A210" s="16" t="s">
        <v>116</v>
      </c>
      <c r="B210" s="17" t="s">
        <v>5</v>
      </c>
      <c r="C210" s="48">
        <f>SUM(C211:C212)</f>
        <v>4852385176</v>
      </c>
      <c r="D210" s="49">
        <f>H210/C210*100%</f>
        <v>0.40869691833383837</v>
      </c>
      <c r="E210" s="88">
        <f>SUM(E211:E212)</f>
        <v>1983154868</v>
      </c>
      <c r="F210" s="49">
        <f>E210/C210*100%</f>
        <v>0.40869691833383837</v>
      </c>
      <c r="G210" s="18" t="s">
        <v>0</v>
      </c>
      <c r="H210" s="43">
        <f>SUM(H211:H212)</f>
        <v>1983154868</v>
      </c>
    </row>
    <row r="211" spans="1:8" ht="30" x14ac:dyDescent="0.25">
      <c r="A211" s="39" t="s">
        <v>38</v>
      </c>
      <c r="B211" s="36" t="s">
        <v>35</v>
      </c>
      <c r="C211" s="37">
        <f>SUM(C158)</f>
        <v>185000000</v>
      </c>
      <c r="D211" s="76">
        <f>H211/C211*100%</f>
        <v>0.7335535135135135</v>
      </c>
      <c r="E211" s="37">
        <f>SUM(E158)</f>
        <v>135707400</v>
      </c>
      <c r="F211" s="58">
        <f>E211/C211*100%</f>
        <v>0.7335535135135135</v>
      </c>
      <c r="G211" s="27" t="s">
        <v>32</v>
      </c>
      <c r="H211" s="37">
        <f>SUM(H158)</f>
        <v>135707400</v>
      </c>
    </row>
    <row r="212" spans="1:8" ht="30" x14ac:dyDescent="0.25">
      <c r="A212" s="39" t="s">
        <v>39</v>
      </c>
      <c r="B212" s="36" t="s">
        <v>36</v>
      </c>
      <c r="C212" s="77">
        <f>SUM(C160:C160)</f>
        <v>4667385176</v>
      </c>
      <c r="D212" s="76">
        <f>H212/C212*100%</f>
        <v>0.39582065724930865</v>
      </c>
      <c r="E212" s="77">
        <f>SUM(E160:E160)</f>
        <v>1847447468</v>
      </c>
      <c r="F212" s="58">
        <f>E212/C212*100%</f>
        <v>0.39582065724930865</v>
      </c>
      <c r="G212" s="27" t="s">
        <v>32</v>
      </c>
      <c r="H212" s="77">
        <f>SUM(H160:H160)</f>
        <v>1847447468</v>
      </c>
    </row>
    <row r="213" spans="1:8" x14ac:dyDescent="0.25">
      <c r="A213" s="17"/>
      <c r="B213" s="17"/>
      <c r="C213" s="48"/>
      <c r="D213" s="49"/>
      <c r="E213" s="82"/>
      <c r="F213" s="49"/>
      <c r="G213" s="18"/>
      <c r="H213" s="46"/>
    </row>
    <row r="214" spans="1:8" x14ac:dyDescent="0.25">
      <c r="A214" s="16" t="s">
        <v>117</v>
      </c>
      <c r="B214" s="17" t="s">
        <v>6</v>
      </c>
      <c r="C214" s="48">
        <f>SUM(C215:C216)</f>
        <v>4174350760</v>
      </c>
      <c r="D214" s="49">
        <f>H214/C214*100%</f>
        <v>0.90015505069823121</v>
      </c>
      <c r="E214" s="88">
        <f>SUM(E215:E216)</f>
        <v>3757562920</v>
      </c>
      <c r="F214" s="49">
        <f>E214/C214*100%</f>
        <v>0.90015505069823121</v>
      </c>
      <c r="G214" s="18" t="s">
        <v>0</v>
      </c>
      <c r="H214" s="43">
        <f>SUM(H215:H216)</f>
        <v>3757562920</v>
      </c>
    </row>
    <row r="215" spans="1:8" ht="30" x14ac:dyDescent="0.25">
      <c r="A215" s="39" t="s">
        <v>38</v>
      </c>
      <c r="B215" s="36" t="s">
        <v>35</v>
      </c>
      <c r="C215" s="37">
        <f>SUM(C164)</f>
        <v>185000000</v>
      </c>
      <c r="D215" s="76">
        <f>H215/C215*100%</f>
        <v>0.79030464864864869</v>
      </c>
      <c r="E215" s="37">
        <f>SUM(E164)</f>
        <v>146206360</v>
      </c>
      <c r="F215" s="58">
        <f>E215/C215*100%</f>
        <v>0.79030464864864869</v>
      </c>
      <c r="G215" s="27" t="s">
        <v>32</v>
      </c>
      <c r="H215" s="37">
        <f>SUM(H164)</f>
        <v>146206360</v>
      </c>
    </row>
    <row r="216" spans="1:8" ht="30" x14ac:dyDescent="0.25">
      <c r="A216" s="39" t="s">
        <v>39</v>
      </c>
      <c r="B216" s="36" t="s">
        <v>36</v>
      </c>
      <c r="C216" s="77">
        <f>SUM(C166:C166)</f>
        <v>3989350760</v>
      </c>
      <c r="D216" s="76">
        <f>H216/C216*100%</f>
        <v>0.90524919398162929</v>
      </c>
      <c r="E216" s="77">
        <f>SUM(E166:E166)</f>
        <v>3611356560</v>
      </c>
      <c r="F216" s="58">
        <f>E216/C216*100%</f>
        <v>0.90524919398162929</v>
      </c>
      <c r="G216" s="27" t="s">
        <v>32</v>
      </c>
      <c r="H216" s="77">
        <f>SUM(H166:H166)</f>
        <v>3611356560</v>
      </c>
    </row>
    <row r="217" spans="1:8" x14ac:dyDescent="0.25">
      <c r="A217" s="17"/>
      <c r="B217" s="17"/>
      <c r="C217" s="48"/>
      <c r="D217" s="49"/>
      <c r="E217" s="82"/>
      <c r="F217" s="49"/>
      <c r="G217" s="18"/>
      <c r="H217" s="46"/>
    </row>
    <row r="218" spans="1:8" x14ac:dyDescent="0.25">
      <c r="A218" s="16" t="s">
        <v>118</v>
      </c>
      <c r="B218" s="17" t="s">
        <v>7</v>
      </c>
      <c r="C218" s="48">
        <f>SUM(C219:C220)</f>
        <v>5637895328</v>
      </c>
      <c r="D218" s="49">
        <f>H218/C218*100%</f>
        <v>0.76588509839038998</v>
      </c>
      <c r="E218" s="88">
        <f>SUM(E219:E220)</f>
        <v>4317980018</v>
      </c>
      <c r="F218" s="49">
        <f>E218/C218*100%</f>
        <v>0.76588509839038998</v>
      </c>
      <c r="G218" s="18" t="s">
        <v>0</v>
      </c>
      <c r="H218" s="43">
        <f>SUM(H219:H220)</f>
        <v>4317980018</v>
      </c>
    </row>
    <row r="219" spans="1:8" ht="30" x14ac:dyDescent="0.25">
      <c r="A219" s="39" t="s">
        <v>38</v>
      </c>
      <c r="B219" s="36" t="s">
        <v>35</v>
      </c>
      <c r="C219" s="37">
        <f>SUM(C170)</f>
        <v>185000000</v>
      </c>
      <c r="D219" s="76">
        <f>H219/C219*100%</f>
        <v>0.74972627027027028</v>
      </c>
      <c r="E219" s="37">
        <f>SUM(E170)</f>
        <v>138699360</v>
      </c>
      <c r="F219" s="58">
        <f>E219/C219*100%</f>
        <v>0.74972627027027028</v>
      </c>
      <c r="G219" s="27" t="s">
        <v>32</v>
      </c>
      <c r="H219" s="37">
        <f>SUM(H170)</f>
        <v>138699360</v>
      </c>
    </row>
    <row r="220" spans="1:8" ht="30" x14ac:dyDescent="0.25">
      <c r="A220" s="39" t="s">
        <v>39</v>
      </c>
      <c r="B220" s="36" t="s">
        <v>36</v>
      </c>
      <c r="C220" s="77">
        <f>SUM(C172:C172)</f>
        <v>5452895328</v>
      </c>
      <c r="D220" s="76">
        <f>H220/C220*100%</f>
        <v>0.76643331782656221</v>
      </c>
      <c r="E220" s="77">
        <f>SUM(E172:E172)</f>
        <v>4179280658</v>
      </c>
      <c r="F220" s="58">
        <f>E220/C220*100%</f>
        <v>0.76643331782656221</v>
      </c>
      <c r="G220" s="27" t="s">
        <v>32</v>
      </c>
      <c r="H220" s="77">
        <f>SUM(H172:H172)</f>
        <v>4179280658</v>
      </c>
    </row>
    <row r="221" spans="1:8" ht="16.5" x14ac:dyDescent="0.25">
      <c r="A221" s="17"/>
      <c r="B221" s="17"/>
      <c r="C221" s="48"/>
      <c r="D221" s="49"/>
      <c r="E221" s="83"/>
      <c r="F221" s="49"/>
      <c r="G221" s="18"/>
      <c r="H221" s="46"/>
    </row>
    <row r="222" spans="1:8" x14ac:dyDescent="0.25">
      <c r="A222" s="16" t="s">
        <v>119</v>
      </c>
      <c r="B222" s="17" t="s">
        <v>8</v>
      </c>
      <c r="C222" s="48">
        <f>SUM(C223:C224)</f>
        <v>2486374720</v>
      </c>
      <c r="D222" s="49">
        <f>H222/C222*100%</f>
        <v>0.88483415725848436</v>
      </c>
      <c r="E222" s="88">
        <f>SUM(E223:E224)</f>
        <v>2200029280</v>
      </c>
      <c r="F222" s="49">
        <f>E222/C222*100%</f>
        <v>0.88483415725848436</v>
      </c>
      <c r="G222" s="18" t="s">
        <v>0</v>
      </c>
      <c r="H222" s="43">
        <f>SUM(H223:H224)</f>
        <v>2200029280</v>
      </c>
    </row>
    <row r="223" spans="1:8" ht="30" x14ac:dyDescent="0.25">
      <c r="A223" s="39" t="s">
        <v>38</v>
      </c>
      <c r="B223" s="36" t="s">
        <v>35</v>
      </c>
      <c r="C223" s="37">
        <f>SUM(C176)</f>
        <v>185000000</v>
      </c>
      <c r="D223" s="76">
        <f>H223/C223*100%</f>
        <v>0.80768843243243238</v>
      </c>
      <c r="E223" s="37">
        <f>SUM(E176)</f>
        <v>149422360</v>
      </c>
      <c r="F223" s="58">
        <f>E223/C223*100%</f>
        <v>0.80768843243243238</v>
      </c>
      <c r="G223" s="27" t="s">
        <v>32</v>
      </c>
      <c r="H223" s="37">
        <f>SUM(H176)</f>
        <v>149422360</v>
      </c>
    </row>
    <row r="224" spans="1:8" ht="30" x14ac:dyDescent="0.25">
      <c r="A224" s="39" t="s">
        <v>39</v>
      </c>
      <c r="B224" s="36" t="s">
        <v>36</v>
      </c>
      <c r="C224" s="77">
        <f>SUM(C178:C178)</f>
        <v>2301374720</v>
      </c>
      <c r="D224" s="76">
        <f>H224/C224*100%</f>
        <v>0.89103565020476105</v>
      </c>
      <c r="E224" s="77">
        <f>SUM(E178:E178)</f>
        <v>2050606920</v>
      </c>
      <c r="F224" s="58">
        <f>E224/C224*100%</f>
        <v>0.89103565020476105</v>
      </c>
      <c r="G224" s="27" t="s">
        <v>32</v>
      </c>
      <c r="H224" s="77">
        <f>SUM(H178:H178)</f>
        <v>2050606920</v>
      </c>
    </row>
    <row r="225" spans="1:14" ht="16.5" x14ac:dyDescent="0.25">
      <c r="A225" s="17"/>
      <c r="B225" s="17"/>
      <c r="C225" s="48"/>
      <c r="D225" s="49"/>
      <c r="E225" s="83"/>
      <c r="F225" s="49"/>
      <c r="G225" s="18"/>
      <c r="H225" s="46"/>
    </row>
    <row r="226" spans="1:14" x14ac:dyDescent="0.25">
      <c r="A226" s="16" t="s">
        <v>120</v>
      </c>
      <c r="B226" s="17" t="s">
        <v>9</v>
      </c>
      <c r="C226" s="48">
        <f>SUM(C227:C228)</f>
        <v>9574986088</v>
      </c>
      <c r="D226" s="49">
        <f>H226/C226*100%</f>
        <v>0.78669169111799553</v>
      </c>
      <c r="E226" s="88">
        <f>SUM(E227:E228)</f>
        <v>7532561998</v>
      </c>
      <c r="F226" s="49">
        <f>E226/C226*100%</f>
        <v>0.78669169111799553</v>
      </c>
      <c r="G226" s="18" t="s">
        <v>0</v>
      </c>
      <c r="H226" s="43">
        <f>SUM(H227:H228)</f>
        <v>7532561998</v>
      </c>
    </row>
    <row r="227" spans="1:14" ht="30" x14ac:dyDescent="0.25">
      <c r="A227" s="39" t="s">
        <v>38</v>
      </c>
      <c r="B227" s="36" t="s">
        <v>35</v>
      </c>
      <c r="C227" s="37">
        <f>SUM(C182)</f>
        <v>185000000</v>
      </c>
      <c r="D227" s="76">
        <f>H227/C227*100%</f>
        <v>0.75057789189189195</v>
      </c>
      <c r="E227" s="37">
        <f>SUM(E182)</f>
        <v>138856910</v>
      </c>
      <c r="F227" s="58">
        <f>E227/C227*100%</f>
        <v>0.75057789189189195</v>
      </c>
      <c r="G227" s="27" t="s">
        <v>32</v>
      </c>
      <c r="H227" s="37">
        <f>SUM(H182)</f>
        <v>138856910</v>
      </c>
    </row>
    <row r="228" spans="1:14" ht="30" x14ac:dyDescent="0.25">
      <c r="A228" s="39" t="s">
        <v>39</v>
      </c>
      <c r="B228" s="36" t="s">
        <v>36</v>
      </c>
      <c r="C228" s="77">
        <f>SUM(C184:C184)</f>
        <v>9389986088</v>
      </c>
      <c r="D228" s="76">
        <f>H228/C228*100%</f>
        <v>0.78740319939864856</v>
      </c>
      <c r="E228" s="77">
        <f>SUM(E184:E184)</f>
        <v>7393705088</v>
      </c>
      <c r="F228" s="58">
        <f>E228/C228*100%</f>
        <v>0.78740319939864856</v>
      </c>
      <c r="G228" s="27" t="s">
        <v>32</v>
      </c>
      <c r="H228" s="77">
        <f>SUM(H184:H184)</f>
        <v>7393705088</v>
      </c>
    </row>
    <row r="233" spans="1:14" ht="23.25" x14ac:dyDescent="0.25">
      <c r="A233" s="134" t="s">
        <v>53</v>
      </c>
      <c r="B233" s="134"/>
      <c r="C233" s="134"/>
      <c r="D233" s="134"/>
      <c r="E233" s="134"/>
      <c r="F233" s="134"/>
      <c r="G233" s="134"/>
      <c r="H233" s="41"/>
    </row>
    <row r="234" spans="1:14" x14ac:dyDescent="0.25">
      <c r="A234" s="9"/>
      <c r="B234" s="10"/>
      <c r="C234" s="11"/>
      <c r="D234" s="11"/>
      <c r="E234" s="9"/>
      <c r="F234" s="11"/>
      <c r="G234" s="11"/>
      <c r="H234" s="41"/>
    </row>
    <row r="235" spans="1:14" x14ac:dyDescent="0.25">
      <c r="A235" s="12" t="s">
        <v>48</v>
      </c>
      <c r="B235" s="5" t="str">
        <f>B4</f>
        <v>: September 2023</v>
      </c>
      <c r="C235" s="11"/>
      <c r="D235" s="11"/>
      <c r="E235" s="9"/>
      <c r="F235" s="11"/>
      <c r="G235" s="11"/>
      <c r="H235" s="41"/>
    </row>
    <row r="236" spans="1:14" x14ac:dyDescent="0.25">
      <c r="A236" s="4" t="s">
        <v>49</v>
      </c>
      <c r="B236" s="135" t="s">
        <v>108</v>
      </c>
      <c r="C236" s="135"/>
      <c r="D236" s="135"/>
      <c r="E236" s="135"/>
      <c r="F236" s="135"/>
      <c r="G236" s="135"/>
      <c r="H236" s="41"/>
    </row>
    <row r="237" spans="1:14" ht="15" customHeight="1" x14ac:dyDescent="0.25">
      <c r="A237" s="136" t="s">
        <v>31</v>
      </c>
      <c r="B237" s="136" t="s">
        <v>68</v>
      </c>
      <c r="C237" s="143" t="s">
        <v>51</v>
      </c>
      <c r="D237" s="139" t="s">
        <v>42</v>
      </c>
      <c r="E237" s="140"/>
      <c r="F237" s="141"/>
      <c r="G237" s="136" t="s">
        <v>2</v>
      </c>
      <c r="H237" s="41"/>
    </row>
    <row r="238" spans="1:14" x14ac:dyDescent="0.25">
      <c r="A238" s="137"/>
      <c r="B238" s="137"/>
      <c r="C238" s="143"/>
      <c r="D238" s="129" t="s">
        <v>43</v>
      </c>
      <c r="E238" s="139" t="s">
        <v>44</v>
      </c>
      <c r="F238" s="141"/>
      <c r="G238" s="137"/>
      <c r="H238" s="41"/>
    </row>
    <row r="239" spans="1:14" x14ac:dyDescent="0.25">
      <c r="A239" s="138"/>
      <c r="B239" s="138"/>
      <c r="C239" s="129" t="s">
        <v>58</v>
      </c>
      <c r="D239" s="1" t="s">
        <v>45</v>
      </c>
      <c r="E239" s="1" t="s">
        <v>46</v>
      </c>
      <c r="F239" s="1" t="s">
        <v>45</v>
      </c>
      <c r="G239" s="138"/>
      <c r="H239" s="41"/>
    </row>
    <row r="240" spans="1:14" x14ac:dyDescent="0.25">
      <c r="A240" s="13" t="s">
        <v>109</v>
      </c>
      <c r="B240" s="32" t="s">
        <v>3</v>
      </c>
      <c r="C240" s="14">
        <f>SUM(C242:C244)</f>
        <v>51985402496</v>
      </c>
      <c r="D240" s="42">
        <f>H240/C240*100%</f>
        <v>0.7513187165378834</v>
      </c>
      <c r="E240" s="14">
        <f>SUM(E242:E244)</f>
        <v>38982353813</v>
      </c>
      <c r="F240" s="42">
        <f>E240/C240*100%</f>
        <v>0.74987115500355095</v>
      </c>
      <c r="G240" s="15" t="s">
        <v>1</v>
      </c>
      <c r="H240" s="14">
        <f>SUM(H242:H244)</f>
        <v>39057605882</v>
      </c>
      <c r="K240" s="47">
        <f>C240-C196</f>
        <v>0</v>
      </c>
      <c r="L240" s="47" t="e">
        <f>#REF!-#REF!</f>
        <v>#REF!</v>
      </c>
      <c r="M240" s="47">
        <f t="shared" ref="M240:N240" si="16">D240-D196</f>
        <v>0</v>
      </c>
      <c r="N240" s="47">
        <f t="shared" si="16"/>
        <v>0</v>
      </c>
    </row>
    <row r="241" spans="1:8" ht="16.5" x14ac:dyDescent="0.25">
      <c r="A241" s="13"/>
      <c r="B241" s="32"/>
      <c r="C241" s="14"/>
      <c r="D241" s="42"/>
      <c r="E241" s="45"/>
      <c r="F241" s="42"/>
      <c r="G241" s="15"/>
      <c r="H241" s="46"/>
    </row>
    <row r="242" spans="1:8" ht="30" x14ac:dyDescent="0.25">
      <c r="A242" s="39" t="s">
        <v>37</v>
      </c>
      <c r="B242" s="36" t="s">
        <v>24</v>
      </c>
      <c r="C242" s="37">
        <f>C199</f>
        <v>14557351544</v>
      </c>
      <c r="D242" s="76">
        <f>H242/C242*100%</f>
        <v>0.73202097605399419</v>
      </c>
      <c r="E242" s="37">
        <f>E199</f>
        <v>10581034617</v>
      </c>
      <c r="F242" s="58">
        <f>E242/C242*100%</f>
        <v>0.72685162441935458</v>
      </c>
      <c r="G242" s="27" t="s">
        <v>32</v>
      </c>
      <c r="H242" s="37">
        <f>H199</f>
        <v>10656286686</v>
      </c>
    </row>
    <row r="243" spans="1:8" ht="30" x14ac:dyDescent="0.25">
      <c r="A243" s="39" t="s">
        <v>38</v>
      </c>
      <c r="B243" s="36" t="s">
        <v>35</v>
      </c>
      <c r="C243" s="77">
        <f>C200+C203+C207+C211+C215+C219+C223+C227</f>
        <v>2516720000</v>
      </c>
      <c r="D243" s="76">
        <f t="shared" ref="D243:D244" si="17">H243/C243*100%</f>
        <v>0.74391482644076412</v>
      </c>
      <c r="E243" s="77">
        <f>E200+E203+E207+E211+E215+E219+E223+E227</f>
        <v>1872225322</v>
      </c>
      <c r="F243" s="58">
        <f t="shared" ref="F243:F244" si="18">E243/C243*100%</f>
        <v>0.74391482644076412</v>
      </c>
      <c r="G243" s="27" t="s">
        <v>32</v>
      </c>
      <c r="H243" s="77">
        <f>H200+H203+H207+H211+H215+H219+H223+H227</f>
        <v>1872225322</v>
      </c>
    </row>
    <row r="244" spans="1:8" ht="30" x14ac:dyDescent="0.25">
      <c r="A244" s="39" t="s">
        <v>39</v>
      </c>
      <c r="B244" s="36" t="s">
        <v>36</v>
      </c>
      <c r="C244" s="77">
        <f>C204+C208+C212+C216+C220+C224+C228</f>
        <v>34911330952</v>
      </c>
      <c r="D244" s="76">
        <f t="shared" si="17"/>
        <v>0.75989924046365243</v>
      </c>
      <c r="E244" s="77">
        <f>E204+E208+E212+E216+E220+E224+E228</f>
        <v>26529093874</v>
      </c>
      <c r="F244" s="58">
        <f t="shared" si="18"/>
        <v>0.75989924046365243</v>
      </c>
      <c r="G244" s="27" t="s">
        <v>32</v>
      </c>
      <c r="H244" s="77">
        <f>H204+H208+H212+H216+H220+H224+H228</f>
        <v>26529093874</v>
      </c>
    </row>
  </sheetData>
  <mergeCells count="32">
    <mergeCell ref="A233:G233"/>
    <mergeCell ref="B236:G236"/>
    <mergeCell ref="A237:A239"/>
    <mergeCell ref="B237:B239"/>
    <mergeCell ref="C237:C238"/>
    <mergeCell ref="D237:F237"/>
    <mergeCell ref="G237:G239"/>
    <mergeCell ref="E238:F238"/>
    <mergeCell ref="A189:G189"/>
    <mergeCell ref="B192:G192"/>
    <mergeCell ref="A193:A195"/>
    <mergeCell ref="B193:B195"/>
    <mergeCell ref="C193:C194"/>
    <mergeCell ref="D193:F193"/>
    <mergeCell ref="G193:G195"/>
    <mergeCell ref="E194:F194"/>
    <mergeCell ref="A123:G123"/>
    <mergeCell ref="B126:G126"/>
    <mergeCell ref="A127:A129"/>
    <mergeCell ref="B127:B129"/>
    <mergeCell ref="C127:C128"/>
    <mergeCell ref="D127:F127"/>
    <mergeCell ref="G127:G129"/>
    <mergeCell ref="E128:F128"/>
    <mergeCell ref="A2:G2"/>
    <mergeCell ref="B5:G5"/>
    <mergeCell ref="A6:A8"/>
    <mergeCell ref="B6:B8"/>
    <mergeCell ref="C6:C8"/>
    <mergeCell ref="D6:F6"/>
    <mergeCell ref="G6:G8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kec. sei kunjang(JANUARI)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OKTOBER PERUBAHAN</vt:lpstr>
      <vt:lpstr>NOVEMBER</vt:lpstr>
      <vt:lpstr>DESEMBER</vt:lpstr>
      <vt:lpstr>JULI!Print_Area</vt:lpstr>
      <vt:lpstr>JUNI!Print_Area</vt:lpstr>
      <vt:lpstr>'kec. sei kunjang(JANUARI)'!Print_Area</vt:lpstr>
      <vt:lpstr>MARET!Print_Area</vt:lpstr>
      <vt:lpstr>'OKTOBER PERUBAHAN'!Print_Area</vt:lpstr>
      <vt:lpstr>JULI!Print_Titles</vt:lpstr>
      <vt:lpstr>JUNI!Print_Titles</vt:lpstr>
      <vt:lpstr>MARET!Print_Titles</vt:lpstr>
      <vt:lpstr>'OKTOBER PERUBAHAN'!Print_Titles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mantul</dc:creator>
  <cp:lastModifiedBy>User</cp:lastModifiedBy>
  <cp:lastPrinted>2023-10-23T01:46:24Z</cp:lastPrinted>
  <dcterms:created xsi:type="dcterms:W3CDTF">2021-01-23T00:02:19Z</dcterms:created>
  <dcterms:modified xsi:type="dcterms:W3CDTF">2023-12-28T14:35:15Z</dcterms:modified>
</cp:coreProperties>
</file>